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80.xml" ContentType="application/vnd.ms-excel.controlproperties+xml"/>
  <Override PartName="/xl/ctrlProps/ctrlProp1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server_n\共有\平成30年度-令和4年度（指定管理第3期）\令和4年度(2022年度)\03相談・事業\00.相談\07.申請書類\令和4年用\"/>
    </mc:Choice>
  </mc:AlternateContent>
  <xr:revisionPtr revIDLastSave="0" documentId="13_ncr:1_{ECC8DDF1-E5C0-40A7-956D-F47BD5477930}" xr6:coauthVersionLast="47" xr6:coauthVersionMax="47" xr10:uidLastSave="{00000000-0000-0000-0000-000000000000}"/>
  <bookViews>
    <workbookView xWindow="20370" yWindow="-120" windowWidth="28110" windowHeight="16440" tabRatio="746" xr2:uid="{00000000-000D-0000-FFFF-FFFF00000000}"/>
  </bookViews>
  <sheets>
    <sheet name="※必ずはじめにお読みください※" sheetId="52" r:id="rId1"/>
    <sheet name="01 使用承認申請書" sheetId="53" r:id="rId2"/>
    <sheet name="02-1 利用計画書" sheetId="54" r:id="rId3"/>
    <sheet name="02-2 利用計画書 (冬季)" sheetId="67" r:id="rId4"/>
    <sheet name="03 食事申込書" sheetId="65" r:id="rId5"/>
    <sheet name="04 食物アレルギー確認書" sheetId="56" r:id="rId6"/>
    <sheet name="05 利用者名簿" sheetId="58" r:id="rId7"/>
    <sheet name="06-1　人数報告用紙（4.20～11.10用）" sheetId="2" r:id="rId8"/>
    <sheet name="06-2　人数報告用紙（11.11~4.19用）" sheetId="68" r:id="rId9"/>
    <sheet name="07 使用料減免申請書" sheetId="66" r:id="rId10"/>
    <sheet name="08-1 補助的指導者（使用申込書）" sheetId="61" r:id="rId11"/>
    <sheet name="08-2 補助的指導者（駐車カード）" sheetId="60" r:id="rId12"/>
    <sheet name="09 車両動向報告書 " sheetId="70" r:id="rId13"/>
    <sheet name="10 利用日変更（取消）報告書" sheetId="62" r:id="rId14"/>
  </sheets>
  <externalReferences>
    <externalReference r:id="rId15"/>
  </externalReferences>
  <definedNames>
    <definedName name="_xlnm._FilterDatabase" localSheetId="1" hidden="1">'01 使用承認申請書'!$A$1:$BB$34</definedName>
    <definedName name="_xlnm.Print_Area" localSheetId="0">※必ずはじめにお読みください※!$A$1:$Z$30</definedName>
    <definedName name="_xlnm.Print_Area" localSheetId="1">'01 使用承認申請書'!$A$1:$AZ$36</definedName>
    <definedName name="_xlnm.Print_Area" localSheetId="2">'02-1 利用計画書'!$A$1:$BZ$223</definedName>
    <definedName name="_xlnm.Print_Area" localSheetId="3">'02-2 利用計画書 (冬季)'!$A$1:$BZ$255</definedName>
    <definedName name="_xlnm.Print_Area" localSheetId="4">'03 食事申込書'!$A$1:$AZ$50</definedName>
    <definedName name="_xlnm.Print_Area" localSheetId="5">'04 食物アレルギー確認書'!$A$1:$AY$56</definedName>
    <definedName name="_xlnm.Print_Area" localSheetId="6">'05 利用者名簿'!$A$1:$AZ$171</definedName>
    <definedName name="_xlnm.Print_Area" localSheetId="7">'06-1　人数報告用紙（4.20～11.10用）'!$A$1:$CX$47</definedName>
    <definedName name="_xlnm.Print_Area" localSheetId="8">'06-2　人数報告用紙（11.11~4.19用）'!$A$1:$CX$47</definedName>
    <definedName name="_xlnm.Print_Area" localSheetId="9">'07 使用料減免申請書'!$A$1:$AZ$54</definedName>
    <definedName name="_xlnm.Print_Area" localSheetId="10">'08-1 補助的指導者（使用申込書）'!$A$1:$AZ$41</definedName>
    <definedName name="_xlnm.Print_Area" localSheetId="11">'08-2 補助的指導者（駐車カード）'!$A$1:$EZ$180</definedName>
    <definedName name="_xlnm.Print_Area" localSheetId="12">'09 車両動向報告書 '!$A$1:$BP$74</definedName>
    <definedName name="_xlnm.Print_Area" localSheetId="13">'10 利用日変更（取消）報告書'!$A$1:$AZ$29</definedName>
    <definedName name="一">'05 利用者名簿'!$D$261</definedName>
    <definedName name="引">'05 利用者名簿'!$C$261</definedName>
    <definedName name="携帯食">'03 食事申込書'!$BG$87:$BG$98</definedName>
    <definedName name="時機" localSheetId="12">'03 食事申込書'!$BK$55:$BK$57</definedName>
    <definedName name="時機">'03 食事申込書'!$BK$55:$BK$57</definedName>
    <definedName name="小">'05 利用者名簿'!$A$261:$A$285</definedName>
    <definedName name="食事時機">'03 食事申込書'!$BK$55:$BK$57</definedName>
    <definedName name="食堂">'03 食事申込書'!$BG$54:$BG$60</definedName>
    <definedName name="炊事">'03 食事申込書'!$BG$65:$BG$75</definedName>
    <definedName name="中">'05 利用者名簿'!$B$261:$B$285</definedName>
    <definedName name="通常食">'03 食事申込書'!$BG$54:$BG$61</definedName>
    <definedName name="料金区分" localSheetId="12">'05 利用者名簿'!$A$260:$D$260</definedName>
    <definedName name="料金区分">'05 利用者名簿'!$A$260:$D$260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1" i="70" l="1"/>
  <c r="G7" i="70"/>
  <c r="AT44" i="68"/>
  <c r="AR44" i="68"/>
  <c r="AQ44" i="68"/>
  <c r="AO44" i="68"/>
  <c r="AN44" i="68"/>
  <c r="AL44" i="68"/>
  <c r="AK44" i="68"/>
  <c r="AI44" i="68"/>
  <c r="AH44" i="68"/>
  <c r="AF44" i="68"/>
  <c r="AE44" i="68"/>
  <c r="AC44" i="68"/>
  <c r="Y44" i="68"/>
  <c r="W44" i="68"/>
  <c r="AT43" i="68"/>
  <c r="AQ43" i="68"/>
  <c r="AO43" i="68"/>
  <c r="AN43" i="68"/>
  <c r="AL43" i="68"/>
  <c r="AK43" i="68"/>
  <c r="AI43" i="68"/>
  <c r="AH43" i="68"/>
  <c r="AF43" i="68"/>
  <c r="AE43" i="68"/>
  <c r="AC43" i="68"/>
  <c r="Y43" i="68"/>
  <c r="W43" i="68"/>
  <c r="W46" i="65"/>
  <c r="Y46" i="65"/>
  <c r="W44" i="65"/>
  <c r="AR43" i="68" s="1"/>
  <c r="AW44" i="65"/>
  <c r="AQ44" i="2"/>
  <c r="AO44" i="2"/>
  <c r="AN44" i="2"/>
  <c r="AL44" i="2"/>
  <c r="AK44" i="2"/>
  <c r="AI44" i="2"/>
  <c r="AH44" i="2"/>
  <c r="AF44" i="2"/>
  <c r="AE44" i="2"/>
  <c r="AC44" i="2"/>
  <c r="AQ43" i="2"/>
  <c r="AO43" i="2"/>
  <c r="AN43" i="2"/>
  <c r="AL43" i="2"/>
  <c r="AK43" i="2"/>
  <c r="AI43" i="2"/>
  <c r="AH43" i="2"/>
  <c r="AF43" i="2"/>
  <c r="AE43" i="2"/>
  <c r="AC43" i="2"/>
  <c r="Y44" i="2"/>
  <c r="Y43" i="2"/>
  <c r="W44" i="2"/>
  <c r="W43" i="2"/>
  <c r="AY46" i="65"/>
  <c r="AW46" i="65"/>
  <c r="AY44" i="65"/>
  <c r="AT44" i="2" l="1"/>
  <c r="Y44" i="65"/>
  <c r="AT43" i="2" s="1"/>
  <c r="AR44" i="2"/>
  <c r="AR43" i="2"/>
  <c r="R40" i="65"/>
  <c r="AP40" i="65"/>
  <c r="BB40" i="65"/>
  <c r="BC40" i="65" s="1"/>
  <c r="CE24" i="2"/>
  <c r="CE23" i="2"/>
  <c r="CE24" i="68"/>
  <c r="CE23" i="68"/>
  <c r="AE34" i="2"/>
  <c r="G64" i="70"/>
  <c r="B2" i="70"/>
  <c r="B3" i="70"/>
  <c r="F3" i="70"/>
  <c r="I3" i="70"/>
  <c r="B39" i="70"/>
  <c r="AJ39" i="70"/>
  <c r="B40" i="70"/>
  <c r="F40" i="70"/>
  <c r="I40" i="70"/>
  <c r="AO52" i="70"/>
  <c r="G44" i="70" l="1"/>
  <c r="G35" i="70"/>
  <c r="G52" i="70"/>
  <c r="G19" i="70"/>
  <c r="G56" i="70"/>
  <c r="G31" i="70"/>
  <c r="G72" i="70"/>
  <c r="G15" i="70"/>
  <c r="G23" i="70"/>
  <c r="G60" i="70"/>
  <c r="G68" i="70"/>
  <c r="G48" i="70"/>
  <c r="G27" i="70"/>
  <c r="D9" i="53"/>
  <c r="K5" i="58"/>
  <c r="O4" i="68"/>
  <c r="M4" i="68"/>
  <c r="E3" i="68"/>
  <c r="J4" i="68"/>
  <c r="H4" i="68"/>
  <c r="E4" i="68"/>
  <c r="BW40" i="54"/>
  <c r="BW39" i="54"/>
  <c r="BS39" i="54"/>
  <c r="H39" i="54"/>
  <c r="BA34" i="2"/>
  <c r="AE33" i="2"/>
  <c r="BA33" i="2" s="1"/>
  <c r="AE31" i="2"/>
  <c r="BA31" i="2" s="1"/>
  <c r="AE30" i="2"/>
  <c r="BA30" i="2" s="1"/>
  <c r="AE29" i="2"/>
  <c r="BA29" i="2" s="1"/>
  <c r="AE28" i="2"/>
  <c r="BA28" i="2" s="1"/>
  <c r="AE27" i="2"/>
  <c r="BA27" i="2" s="1"/>
  <c r="AE26" i="2"/>
  <c r="BA26" i="2" s="1"/>
  <c r="AE25" i="2"/>
  <c r="BA25" i="2" s="1"/>
  <c r="AE24" i="2"/>
  <c r="AD24" i="2"/>
  <c r="AE23" i="2"/>
  <c r="AD23" i="2"/>
  <c r="AE34" i="68"/>
  <c r="BA34" i="68" s="1"/>
  <c r="AE33" i="68"/>
  <c r="BA33" i="68" s="1"/>
  <c r="AE31" i="68"/>
  <c r="BA31" i="68" s="1"/>
  <c r="AE30" i="68"/>
  <c r="BA30" i="68" s="1"/>
  <c r="AE29" i="68"/>
  <c r="BA29" i="68" s="1"/>
  <c r="AE28" i="68"/>
  <c r="BA28" i="68" s="1"/>
  <c r="AE27" i="68"/>
  <c r="BA27" i="68" s="1"/>
  <c r="AE26" i="68"/>
  <c r="AE25" i="68"/>
  <c r="BA25" i="68" s="1"/>
  <c r="AE24" i="68"/>
  <c r="AD24" i="68"/>
  <c r="AE23" i="68"/>
  <c r="AD23" i="68"/>
  <c r="CF34" i="68"/>
  <c r="CX34" i="68" s="1"/>
  <c r="CF33" i="68"/>
  <c r="CX33" i="68" s="1"/>
  <c r="CF31" i="68"/>
  <c r="CX31" i="68" s="1"/>
  <c r="CF30" i="68"/>
  <c r="CX30" i="68" s="1"/>
  <c r="CF29" i="68"/>
  <c r="CX29" i="68" s="1"/>
  <c r="CF28" i="68"/>
  <c r="CX28" i="68" s="1"/>
  <c r="CF27" i="68"/>
  <c r="CX27" i="68" s="1"/>
  <c r="CF26" i="68"/>
  <c r="CX26" i="68" s="1"/>
  <c r="CF25" i="68"/>
  <c r="CX25" i="68" s="1"/>
  <c r="CF24" i="68"/>
  <c r="CX24" i="68" s="1"/>
  <c r="CF23" i="68"/>
  <c r="CX23" i="68" s="1"/>
  <c r="CF31" i="2"/>
  <c r="CX31" i="2" s="1"/>
  <c r="CF34" i="2"/>
  <c r="CX34" i="2" s="1"/>
  <c r="CF33" i="2"/>
  <c r="CX33" i="2" s="1"/>
  <c r="CF30" i="2"/>
  <c r="CX30" i="2" s="1"/>
  <c r="CF29" i="2"/>
  <c r="CX29" i="2" s="1"/>
  <c r="CF28" i="2"/>
  <c r="CX28" i="2" s="1"/>
  <c r="CF27" i="2"/>
  <c r="CX27" i="2" s="1"/>
  <c r="CF26" i="2"/>
  <c r="CX26" i="2" s="1"/>
  <c r="CF25" i="2"/>
  <c r="CX25" i="2" s="1"/>
  <c r="CF24" i="2"/>
  <c r="CF23" i="2"/>
  <c r="BA24" i="2" l="1"/>
  <c r="AX35" i="2"/>
  <c r="AF35" i="2"/>
  <c r="AI35" i="2"/>
  <c r="AL35" i="2"/>
  <c r="BA23" i="2"/>
  <c r="AO35" i="2"/>
  <c r="AR35" i="2"/>
  <c r="AU35" i="2"/>
  <c r="AX35" i="68"/>
  <c r="BA24" i="68"/>
  <c r="AF35" i="68"/>
  <c r="BA26" i="68"/>
  <c r="AI35" i="68"/>
  <c r="BA23" i="68"/>
  <c r="AL35" i="68"/>
  <c r="AO35" i="68"/>
  <c r="AR35" i="68"/>
  <c r="AU35" i="68"/>
  <c r="CX23" i="2"/>
  <c r="CX24" i="2"/>
  <c r="DC34" i="68"/>
  <c r="DC33" i="68"/>
  <c r="DC32" i="68"/>
  <c r="DC31" i="68"/>
  <c r="DC30" i="68"/>
  <c r="DC29" i="68"/>
  <c r="DC27" i="68"/>
  <c r="DC26" i="68"/>
  <c r="DC25" i="68"/>
  <c r="AE4" i="54" l="1"/>
  <c r="AE39" i="54" s="1"/>
  <c r="H4" i="54"/>
  <c r="BJ56" i="68"/>
  <c r="BK55" i="68"/>
  <c r="BK57" i="68" s="1"/>
  <c r="BJ54" i="68"/>
  <c r="BJ53" i="68"/>
  <c r="BJ52" i="68"/>
  <c r="BJ51" i="68"/>
  <c r="BJ50" i="68"/>
  <c r="BS45" i="68"/>
  <c r="BQ45" i="68"/>
  <c r="BP45" i="68"/>
  <c r="BO45" i="68"/>
  <c r="BN45" i="68"/>
  <c r="BM45" i="68"/>
  <c r="BK45" i="68"/>
  <c r="R45" i="68"/>
  <c r="P45" i="68"/>
  <c r="O45" i="68"/>
  <c r="N45" i="68"/>
  <c r="M45" i="68"/>
  <c r="L45" i="68"/>
  <c r="J45" i="68"/>
  <c r="BU41" i="68"/>
  <c r="BJ40" i="68"/>
  <c r="BU40" i="68" s="1"/>
  <c r="BJ39" i="68"/>
  <c r="BU39" i="68" s="1"/>
  <c r="BJ38" i="68"/>
  <c r="BU38" i="68" s="1"/>
  <c r="BS37" i="68"/>
  <c r="BQ37" i="68"/>
  <c r="BP37" i="68"/>
  <c r="BO37" i="68"/>
  <c r="BN37" i="68"/>
  <c r="BM37" i="68"/>
  <c r="BK37" i="68"/>
  <c r="R37" i="68"/>
  <c r="P37" i="68"/>
  <c r="O37" i="68"/>
  <c r="N37" i="68"/>
  <c r="M37" i="68"/>
  <c r="L37" i="68"/>
  <c r="J37" i="68"/>
  <c r="BJ33" i="68"/>
  <c r="BJ37" i="68" s="1"/>
  <c r="CF22" i="68" s="1"/>
  <c r="CX22" i="68" s="1"/>
  <c r="BU32" i="68"/>
  <c r="BU31" i="68"/>
  <c r="BU30" i="68"/>
  <c r="BS29" i="68"/>
  <c r="BQ29" i="68"/>
  <c r="BP29" i="68"/>
  <c r="BO29" i="68"/>
  <c r="BN29" i="68"/>
  <c r="BM29" i="68"/>
  <c r="BK29" i="68"/>
  <c r="BJ29" i="68"/>
  <c r="R29" i="68"/>
  <c r="P29" i="68"/>
  <c r="O29" i="68"/>
  <c r="N29" i="68"/>
  <c r="M29" i="68"/>
  <c r="L29" i="68"/>
  <c r="J29" i="68"/>
  <c r="BI27" i="68"/>
  <c r="H27" i="68"/>
  <c r="BU29" i="68"/>
  <c r="CV35" i="68"/>
  <c r="I29" i="68"/>
  <c r="CF20" i="68"/>
  <c r="CB20" i="68"/>
  <c r="CE20" i="68" s="1"/>
  <c r="CX20" i="68" s="1"/>
  <c r="CA20" i="68"/>
  <c r="BZ20" i="68"/>
  <c r="CF19" i="68"/>
  <c r="CB19" i="68"/>
  <c r="CE19" i="68" s="1"/>
  <c r="CA19" i="68"/>
  <c r="BZ19" i="68"/>
  <c r="CF18" i="68"/>
  <c r="CB18" i="68"/>
  <c r="CE18" i="68" s="1"/>
  <c r="CX18" i="68" s="1"/>
  <c r="CA18" i="68"/>
  <c r="BZ18" i="68"/>
  <c r="CF17" i="68"/>
  <c r="CB17" i="68"/>
  <c r="CE17" i="68" s="1"/>
  <c r="CX17" i="68" s="1"/>
  <c r="CA17" i="68"/>
  <c r="BZ17" i="68"/>
  <c r="CF16" i="68"/>
  <c r="CB16" i="68"/>
  <c r="CE16" i="68" s="1"/>
  <c r="CX16" i="68" s="1"/>
  <c r="CA16" i="68"/>
  <c r="BZ16" i="68"/>
  <c r="CF15" i="68"/>
  <c r="CB15" i="68"/>
  <c r="CE15" i="68" s="1"/>
  <c r="CX15" i="68" s="1"/>
  <c r="CA15" i="68"/>
  <c r="BZ15" i="68"/>
  <c r="CF14" i="68"/>
  <c r="CB14" i="68"/>
  <c r="CE14" i="68" s="1"/>
  <c r="CX14" i="68" s="1"/>
  <c r="CA14" i="68"/>
  <c r="BZ14" i="68"/>
  <c r="CF13" i="68"/>
  <c r="CB13" i="68"/>
  <c r="CE13" i="68" s="1"/>
  <c r="CX13" i="68" s="1"/>
  <c r="CA13" i="68"/>
  <c r="BZ13" i="68"/>
  <c r="CF12" i="68"/>
  <c r="CB12" i="68"/>
  <c r="CE12" i="68" s="1"/>
  <c r="CA12" i="68"/>
  <c r="BZ12" i="68"/>
  <c r="R4" i="68"/>
  <c r="BW177" i="54"/>
  <c r="BW126" i="54"/>
  <c r="BW75" i="54"/>
  <c r="M46" i="68" l="1"/>
  <c r="CX19" i="68"/>
  <c r="R46" i="68"/>
  <c r="BU33" i="68"/>
  <c r="BK46" i="68"/>
  <c r="N46" i="68"/>
  <c r="J46" i="68"/>
  <c r="BM46" i="68"/>
  <c r="CG35" i="68"/>
  <c r="L46" i="68"/>
  <c r="CX35" i="68"/>
  <c r="BP46" i="68"/>
  <c r="BU37" i="68"/>
  <c r="BU46" i="68" s="1"/>
  <c r="O46" i="68"/>
  <c r="BQ46" i="68"/>
  <c r="P46" i="68"/>
  <c r="BS46" i="68"/>
  <c r="BJ57" i="68"/>
  <c r="BN46" i="68"/>
  <c r="BU45" i="68"/>
  <c r="BJ45" i="68"/>
  <c r="BJ46" i="68" s="1"/>
  <c r="BO46" i="68"/>
  <c r="CW35" i="68"/>
  <c r="CG21" i="68"/>
  <c r="CX12" i="68"/>
  <c r="CX21" i="68" s="1"/>
  <c r="CJ21" i="68"/>
  <c r="CJ36" i="68" s="1"/>
  <c r="CJ37" i="68" s="1"/>
  <c r="CJ35" i="68"/>
  <c r="T29" i="68"/>
  <c r="CM35" i="68"/>
  <c r="CP35" i="68"/>
  <c r="CS35" i="68"/>
  <c r="BW209" i="67"/>
  <c r="BW208" i="67"/>
  <c r="BS208" i="67"/>
  <c r="BK208" i="67"/>
  <c r="A244" i="67" s="1"/>
  <c r="BE208" i="67"/>
  <c r="A237" i="67" s="1"/>
  <c r="BA208" i="67"/>
  <c r="A231" i="67" s="1"/>
  <c r="AU208" i="67"/>
  <c r="A228" i="67" s="1"/>
  <c r="AO208" i="67"/>
  <c r="A221" i="67" s="1"/>
  <c r="AK208" i="67"/>
  <c r="A215" i="67" s="1"/>
  <c r="AE208" i="67"/>
  <c r="H208" i="67"/>
  <c r="BW158" i="67"/>
  <c r="BW157" i="67"/>
  <c r="BS157" i="67"/>
  <c r="BK157" i="67"/>
  <c r="A193" i="67" s="1"/>
  <c r="BE157" i="67"/>
  <c r="A186" i="67" s="1"/>
  <c r="BA157" i="67"/>
  <c r="A180" i="67" s="1"/>
  <c r="AU157" i="67"/>
  <c r="A177" i="67" s="1"/>
  <c r="AO157" i="67"/>
  <c r="A170" i="67" s="1"/>
  <c r="AK157" i="67"/>
  <c r="A164" i="67" s="1"/>
  <c r="AE157" i="67"/>
  <c r="H157" i="67"/>
  <c r="BW107" i="67"/>
  <c r="BW106" i="67"/>
  <c r="BS106" i="67"/>
  <c r="BK106" i="67"/>
  <c r="A142" i="67" s="1"/>
  <c r="BE106" i="67"/>
  <c r="A135" i="67" s="1"/>
  <c r="BA106" i="67"/>
  <c r="A129" i="67" s="1"/>
  <c r="AU106" i="67"/>
  <c r="A126" i="67" s="1"/>
  <c r="AO106" i="67"/>
  <c r="A119" i="67" s="1"/>
  <c r="AK106" i="67"/>
  <c r="A113" i="67" s="1"/>
  <c r="AE106" i="67"/>
  <c r="H106" i="67"/>
  <c r="BW56" i="67"/>
  <c r="BS55" i="67"/>
  <c r="BK55" i="67"/>
  <c r="A91" i="67" s="1"/>
  <c r="BE55" i="67"/>
  <c r="A84" i="67" s="1"/>
  <c r="BA55" i="67"/>
  <c r="A78" i="67" s="1"/>
  <c r="AU55" i="67"/>
  <c r="A75" i="67" s="1"/>
  <c r="AO55" i="67"/>
  <c r="A68" i="67" s="1"/>
  <c r="AK55" i="67"/>
  <c r="A62" i="67" s="1"/>
  <c r="AE55" i="67"/>
  <c r="H55" i="67"/>
  <c r="BW5" i="67"/>
  <c r="BS4" i="67"/>
  <c r="BK4" i="67"/>
  <c r="A40" i="67" s="1"/>
  <c r="BE4" i="67"/>
  <c r="A33" i="67" s="1"/>
  <c r="BA4" i="67"/>
  <c r="A27" i="67" s="1"/>
  <c r="AU4" i="67"/>
  <c r="A24" i="67" s="1"/>
  <c r="AO4" i="67"/>
  <c r="A17" i="67" s="1"/>
  <c r="AK4" i="67"/>
  <c r="A11" i="67" s="1"/>
  <c r="AE4" i="67"/>
  <c r="H4" i="67"/>
  <c r="A110" i="54"/>
  <c r="A97" i="54"/>
  <c r="A94" i="54"/>
  <c r="A87" i="54"/>
  <c r="A103" i="54"/>
  <c r="A81" i="54"/>
  <c r="A212" i="54"/>
  <c r="A205" i="54"/>
  <c r="A199" i="54"/>
  <c r="A196" i="54"/>
  <c r="A189" i="54"/>
  <c r="A183" i="54"/>
  <c r="A161" i="54"/>
  <c r="A154" i="54"/>
  <c r="A148" i="54"/>
  <c r="A145" i="54"/>
  <c r="A138" i="54"/>
  <c r="A132" i="54"/>
  <c r="P12" i="62"/>
  <c r="P11" i="62"/>
  <c r="R147" i="60"/>
  <c r="BL138" i="60"/>
  <c r="AM138" i="60"/>
  <c r="R138" i="60"/>
  <c r="R102" i="60"/>
  <c r="BL93" i="60"/>
  <c r="AM93" i="60"/>
  <c r="R93" i="60"/>
  <c r="R57" i="60"/>
  <c r="BL48" i="60"/>
  <c r="AM48" i="60"/>
  <c r="R48" i="60"/>
  <c r="R12" i="60"/>
  <c r="BL3" i="60"/>
  <c r="AM3" i="60"/>
  <c r="R3" i="60"/>
  <c r="AB29" i="61"/>
  <c r="B29" i="61"/>
  <c r="AC23" i="61"/>
  <c r="C23" i="61"/>
  <c r="AS22" i="61"/>
  <c r="AP22" i="61"/>
  <c r="AM22" i="61"/>
  <c r="S22" i="61"/>
  <c r="P22" i="61"/>
  <c r="M22" i="61"/>
  <c r="AP16" i="61"/>
  <c r="P14" i="61"/>
  <c r="P13" i="61"/>
  <c r="AW51" i="66"/>
  <c r="AR51" i="66" s="1"/>
  <c r="AL51" i="66"/>
  <c r="AW49" i="66"/>
  <c r="AL49" i="66" s="1"/>
  <c r="AW47" i="66"/>
  <c r="AL47" i="66" s="1"/>
  <c r="AR47" i="66"/>
  <c r="AW45" i="66"/>
  <c r="AL45" i="66" s="1"/>
  <c r="AV35" i="66"/>
  <c r="AH26" i="66"/>
  <c r="AH24" i="66"/>
  <c r="AU19" i="66"/>
  <c r="AS19" i="66"/>
  <c r="AM19" i="66"/>
  <c r="U19" i="66"/>
  <c r="S19" i="66"/>
  <c r="O19" i="66"/>
  <c r="M19" i="66"/>
  <c r="N12" i="66"/>
  <c r="N11" i="66"/>
  <c r="BJ56" i="2"/>
  <c r="BK55" i="2"/>
  <c r="BK57" i="2" s="1"/>
  <c r="BJ54" i="2"/>
  <c r="BJ53" i="2"/>
  <c r="BJ52" i="2"/>
  <c r="BJ51" i="2"/>
  <c r="BJ50" i="2"/>
  <c r="BS45" i="2"/>
  <c r="BQ45" i="2"/>
  <c r="BP45" i="2"/>
  <c r="BO45" i="2"/>
  <c r="BN45" i="2"/>
  <c r="BM45" i="2"/>
  <c r="BK45" i="2"/>
  <c r="R45" i="2"/>
  <c r="P45" i="2"/>
  <c r="O45" i="2"/>
  <c r="N45" i="2"/>
  <c r="M45" i="2"/>
  <c r="L45" i="2"/>
  <c r="J45" i="2"/>
  <c r="BU41" i="2"/>
  <c r="BJ40" i="2"/>
  <c r="BU40" i="2" s="1"/>
  <c r="BJ39" i="2"/>
  <c r="BJ38" i="2"/>
  <c r="BU38" i="2" s="1"/>
  <c r="BS37" i="2"/>
  <c r="BS46" i="2" s="1"/>
  <c r="BQ37" i="2"/>
  <c r="BP37" i="2"/>
  <c r="BO37" i="2"/>
  <c r="BN37" i="2"/>
  <c r="BM37" i="2"/>
  <c r="BK37" i="2"/>
  <c r="R37" i="2"/>
  <c r="P37" i="2"/>
  <c r="P46" i="2" s="1"/>
  <c r="O37" i="2"/>
  <c r="N37" i="2"/>
  <c r="M37" i="2"/>
  <c r="L37" i="2"/>
  <c r="J37" i="2"/>
  <c r="DC34" i="2"/>
  <c r="DC33" i="2"/>
  <c r="BJ33" i="2"/>
  <c r="BJ37" i="2" s="1"/>
  <c r="CF22" i="2" s="1"/>
  <c r="CX22" i="2" s="1"/>
  <c r="DC32" i="2"/>
  <c r="BU32" i="2"/>
  <c r="DC31" i="2"/>
  <c r="BU31" i="2"/>
  <c r="DC30" i="2"/>
  <c r="BU30" i="2"/>
  <c r="DC29" i="2"/>
  <c r="BS29" i="2"/>
  <c r="BQ29" i="2"/>
  <c r="BP29" i="2"/>
  <c r="BO29" i="2"/>
  <c r="BN29" i="2"/>
  <c r="BM29" i="2"/>
  <c r="BK29" i="2"/>
  <c r="BJ29" i="2"/>
  <c r="R29" i="2"/>
  <c r="P29" i="2"/>
  <c r="O29" i="2"/>
  <c r="N29" i="2"/>
  <c r="M29" i="2"/>
  <c r="L29" i="2"/>
  <c r="J29" i="2"/>
  <c r="DC27" i="2"/>
  <c r="BI27" i="2"/>
  <c r="H27" i="2"/>
  <c r="DC26" i="2"/>
  <c r="BU26" i="2"/>
  <c r="DC25" i="2"/>
  <c r="BU25" i="2"/>
  <c r="BU24" i="2"/>
  <c r="BU23" i="2"/>
  <c r="BI23" i="2"/>
  <c r="H23" i="2"/>
  <c r="CF20" i="2"/>
  <c r="CB20" i="2"/>
  <c r="CE20" i="2" s="1"/>
  <c r="CA20" i="2"/>
  <c r="BZ20" i="2"/>
  <c r="CF19" i="2"/>
  <c r="CB19" i="2"/>
  <c r="CE19" i="2" s="1"/>
  <c r="CA19" i="2"/>
  <c r="BZ19" i="2"/>
  <c r="CF18" i="2"/>
  <c r="CB18" i="2"/>
  <c r="CE18" i="2" s="1"/>
  <c r="CA18" i="2"/>
  <c r="BZ18" i="2"/>
  <c r="CF17" i="2"/>
  <c r="CB17" i="2"/>
  <c r="CE17" i="2" s="1"/>
  <c r="CA17" i="2"/>
  <c r="BZ17" i="2"/>
  <c r="CF16" i="2"/>
  <c r="CB16" i="2"/>
  <c r="CE16" i="2" s="1"/>
  <c r="CA16" i="2"/>
  <c r="BZ16" i="2"/>
  <c r="CF15" i="2"/>
  <c r="CB15" i="2"/>
  <c r="CE15" i="2" s="1"/>
  <c r="CA15" i="2"/>
  <c r="BZ15" i="2"/>
  <c r="CF14" i="2"/>
  <c r="CB14" i="2"/>
  <c r="CE14" i="2" s="1"/>
  <c r="CA14" i="2"/>
  <c r="BZ14" i="2"/>
  <c r="CF13" i="2"/>
  <c r="CB13" i="2"/>
  <c r="CE13" i="2" s="1"/>
  <c r="CA13" i="2"/>
  <c r="BZ13" i="2"/>
  <c r="CF12" i="2"/>
  <c r="CB12" i="2"/>
  <c r="CE12" i="2" s="1"/>
  <c r="CA12" i="2"/>
  <c r="BZ12" i="2"/>
  <c r="R4" i="2"/>
  <c r="O4" i="2"/>
  <c r="M4" i="2"/>
  <c r="J4" i="2"/>
  <c r="H4" i="2"/>
  <c r="E4" i="2"/>
  <c r="E3" i="2"/>
  <c r="BC332" i="58"/>
  <c r="BE332" i="58" s="1"/>
  <c r="BB332" i="58"/>
  <c r="BD332" i="58" s="1"/>
  <c r="BC331" i="58"/>
  <c r="BE331" i="58" s="1"/>
  <c r="BB331" i="58"/>
  <c r="BD331" i="58" s="1"/>
  <c r="BC330" i="58"/>
  <c r="BE330" i="58" s="1"/>
  <c r="BB330" i="58"/>
  <c r="BD330" i="58" s="1"/>
  <c r="BE329" i="58"/>
  <c r="BC329" i="58"/>
  <c r="BB329" i="58"/>
  <c r="BD329" i="58" s="1"/>
  <c r="BC328" i="58"/>
  <c r="BE328" i="58" s="1"/>
  <c r="BB328" i="58"/>
  <c r="BD328" i="58" s="1"/>
  <c r="BC327" i="58"/>
  <c r="BE327" i="58" s="1"/>
  <c r="BB327" i="58"/>
  <c r="BD327" i="58" s="1"/>
  <c r="BE326" i="58"/>
  <c r="BC326" i="58"/>
  <c r="BB326" i="58"/>
  <c r="BD326" i="58" s="1"/>
  <c r="BC325" i="58"/>
  <c r="BE325" i="58" s="1"/>
  <c r="BB325" i="58"/>
  <c r="BD325" i="58" s="1"/>
  <c r="BC324" i="58"/>
  <c r="BE324" i="58" s="1"/>
  <c r="BB324" i="58"/>
  <c r="BD324" i="58" s="1"/>
  <c r="BC323" i="58"/>
  <c r="BE323" i="58" s="1"/>
  <c r="BB323" i="58"/>
  <c r="BD323" i="58" s="1"/>
  <c r="BC322" i="58"/>
  <c r="BE322" i="58" s="1"/>
  <c r="BB322" i="58"/>
  <c r="BD322" i="58" s="1"/>
  <c r="BC321" i="58"/>
  <c r="BE321" i="58" s="1"/>
  <c r="BB321" i="58"/>
  <c r="BD321" i="58" s="1"/>
  <c r="BC320" i="58"/>
  <c r="BE320" i="58" s="1"/>
  <c r="BB320" i="58"/>
  <c r="BD320" i="58" s="1"/>
  <c r="BC319" i="58"/>
  <c r="BE319" i="58" s="1"/>
  <c r="BB319" i="58"/>
  <c r="BD319" i="58" s="1"/>
  <c r="BC318" i="58"/>
  <c r="BE318" i="58" s="1"/>
  <c r="BB318" i="58"/>
  <c r="BD318" i="58" s="1"/>
  <c r="BE317" i="58"/>
  <c r="BD317" i="58"/>
  <c r="BC317" i="58"/>
  <c r="BB317" i="58"/>
  <c r="BC316" i="58"/>
  <c r="BE316" i="58" s="1"/>
  <c r="BB316" i="58"/>
  <c r="BD316" i="58" s="1"/>
  <c r="BC315" i="58"/>
  <c r="BE315" i="58" s="1"/>
  <c r="BB315" i="58"/>
  <c r="BD315" i="58" s="1"/>
  <c r="BE314" i="58"/>
  <c r="BC314" i="58"/>
  <c r="BB314" i="58"/>
  <c r="BD314" i="58" s="1"/>
  <c r="BC313" i="58"/>
  <c r="BE313" i="58" s="1"/>
  <c r="BB313" i="58"/>
  <c r="BD313" i="58" s="1"/>
  <c r="BC312" i="58"/>
  <c r="BE312" i="58" s="1"/>
  <c r="BB312" i="58"/>
  <c r="BD312" i="58" s="1"/>
  <c r="BE311" i="58"/>
  <c r="BC311" i="58"/>
  <c r="BB311" i="58"/>
  <c r="BD311" i="58" s="1"/>
  <c r="BC310" i="58"/>
  <c r="BE310" i="58" s="1"/>
  <c r="BB310" i="58"/>
  <c r="BD310" i="58" s="1"/>
  <c r="BD309" i="58"/>
  <c r="BC309" i="58"/>
  <c r="BE309" i="58" s="1"/>
  <c r="BB309" i="58"/>
  <c r="BC308" i="58"/>
  <c r="BE308" i="58" s="1"/>
  <c r="BB308" i="58"/>
  <c r="BD308" i="58" s="1"/>
  <c r="BC307" i="58"/>
  <c r="BE307" i="58" s="1"/>
  <c r="BB307" i="58"/>
  <c r="BD307" i="58" s="1"/>
  <c r="BC306" i="58"/>
  <c r="BE306" i="58" s="1"/>
  <c r="BB306" i="58"/>
  <c r="BD306" i="58" s="1"/>
  <c r="BC305" i="58"/>
  <c r="BE305" i="58" s="1"/>
  <c r="BB305" i="58"/>
  <c r="BD305" i="58" s="1"/>
  <c r="BC304" i="58"/>
  <c r="BE304" i="58" s="1"/>
  <c r="BB304" i="58"/>
  <c r="BD304" i="58" s="1"/>
  <c r="BC303" i="58"/>
  <c r="BE303" i="58" s="1"/>
  <c r="BB303" i="58"/>
  <c r="BD303" i="58" s="1"/>
  <c r="BE302" i="58"/>
  <c r="BC302" i="58"/>
  <c r="BB302" i="58"/>
  <c r="BD302" i="58" s="1"/>
  <c r="BC301" i="58"/>
  <c r="BE301" i="58" s="1"/>
  <c r="BB301" i="58"/>
  <c r="BD301" i="58" s="1"/>
  <c r="BC300" i="58"/>
  <c r="BE300" i="58" s="1"/>
  <c r="BB300" i="58"/>
  <c r="BD300" i="58" s="1"/>
  <c r="BC299" i="58"/>
  <c r="BE299" i="58" s="1"/>
  <c r="BB299" i="58"/>
  <c r="BD299" i="58" s="1"/>
  <c r="BC298" i="58"/>
  <c r="BE298" i="58" s="1"/>
  <c r="BB298" i="58"/>
  <c r="BD298" i="58" s="1"/>
  <c r="BE297" i="58"/>
  <c r="BC297" i="58"/>
  <c r="BB297" i="58"/>
  <c r="BD297" i="58" s="1"/>
  <c r="BC296" i="58"/>
  <c r="BE296" i="58" s="1"/>
  <c r="BB296" i="58"/>
  <c r="BD296" i="58" s="1"/>
  <c r="BD295" i="58"/>
  <c r="BC295" i="58"/>
  <c r="BE295" i="58" s="1"/>
  <c r="BB295" i="58"/>
  <c r="BE294" i="58"/>
  <c r="BC294" i="58"/>
  <c r="BB294" i="58"/>
  <c r="BD294" i="58" s="1"/>
  <c r="BC293" i="58"/>
  <c r="BE293" i="58" s="1"/>
  <c r="BB293" i="58"/>
  <c r="BD293" i="58" s="1"/>
  <c r="BC292" i="58"/>
  <c r="BE292" i="58" s="1"/>
  <c r="BB292" i="58"/>
  <c r="BD292" i="58" s="1"/>
  <c r="BC291" i="58"/>
  <c r="BE291" i="58" s="1"/>
  <c r="BB291" i="58"/>
  <c r="BD291" i="58" s="1"/>
  <c r="BC290" i="58"/>
  <c r="BE290" i="58" s="1"/>
  <c r="BB290" i="58"/>
  <c r="BD290" i="58" s="1"/>
  <c r="BC289" i="58"/>
  <c r="BE289" i="58" s="1"/>
  <c r="BB289" i="58"/>
  <c r="BD289" i="58" s="1"/>
  <c r="BC288" i="58"/>
  <c r="BE288" i="58" s="1"/>
  <c r="BB288" i="58"/>
  <c r="BD288" i="58" s="1"/>
  <c r="BC287" i="58"/>
  <c r="BE287" i="58" s="1"/>
  <c r="BB287" i="58"/>
  <c r="BD287" i="58" s="1"/>
  <c r="BC286" i="58"/>
  <c r="BE286" i="58" s="1"/>
  <c r="BB286" i="58"/>
  <c r="BD286" i="58" s="1"/>
  <c r="BC285" i="58"/>
  <c r="BE285" i="58" s="1"/>
  <c r="BB285" i="58"/>
  <c r="BD285" i="58" s="1"/>
  <c r="BC284" i="58"/>
  <c r="BE284" i="58" s="1"/>
  <c r="BB284" i="58"/>
  <c r="BD284" i="58" s="1"/>
  <c r="BD283" i="58"/>
  <c r="BC283" i="58"/>
  <c r="BE283" i="58" s="1"/>
  <c r="BB283" i="58"/>
  <c r="BC282" i="58"/>
  <c r="BE282" i="58" s="1"/>
  <c r="BB282" i="58"/>
  <c r="BD282" i="58" s="1"/>
  <c r="BC281" i="58"/>
  <c r="BE281" i="58" s="1"/>
  <c r="BB281" i="58"/>
  <c r="BD281" i="58" s="1"/>
  <c r="BC280" i="58"/>
  <c r="BE280" i="58" s="1"/>
  <c r="BB280" i="58"/>
  <c r="BD280" i="58" s="1"/>
  <c r="BC279" i="58"/>
  <c r="BE279" i="58" s="1"/>
  <c r="BB279" i="58"/>
  <c r="BD279" i="58" s="1"/>
  <c r="BC278" i="58"/>
  <c r="BE278" i="58" s="1"/>
  <c r="BB278" i="58"/>
  <c r="BD278" i="58" s="1"/>
  <c r="BD277" i="58"/>
  <c r="BC277" i="58"/>
  <c r="BE277" i="58" s="1"/>
  <c r="BB277" i="58"/>
  <c r="BC276" i="58"/>
  <c r="BE276" i="58" s="1"/>
  <c r="BB276" i="58"/>
  <c r="BD276" i="58" s="1"/>
  <c r="BC275" i="58"/>
  <c r="BE275" i="58" s="1"/>
  <c r="BB275" i="58"/>
  <c r="BD275" i="58" s="1"/>
  <c r="BE274" i="58"/>
  <c r="BC274" i="58"/>
  <c r="BB274" i="58"/>
  <c r="BD274" i="58" s="1"/>
  <c r="BC273" i="58"/>
  <c r="BE273" i="58" s="1"/>
  <c r="BB273" i="58"/>
  <c r="BD273" i="58" s="1"/>
  <c r="BC272" i="58"/>
  <c r="BE272" i="58" s="1"/>
  <c r="BB272" i="58"/>
  <c r="BD272" i="58" s="1"/>
  <c r="BC271" i="58"/>
  <c r="BE271" i="58" s="1"/>
  <c r="BB271" i="58"/>
  <c r="BD271" i="58" s="1"/>
  <c r="BE270" i="58"/>
  <c r="BC270" i="58"/>
  <c r="BB270" i="58"/>
  <c r="BD270" i="58" s="1"/>
  <c r="BC269" i="58"/>
  <c r="BE269" i="58" s="1"/>
  <c r="BB269" i="58"/>
  <c r="BD269" i="58" s="1"/>
  <c r="BC268" i="58"/>
  <c r="BE268" i="58" s="1"/>
  <c r="BB268" i="58"/>
  <c r="BD268" i="58" s="1"/>
  <c r="BC267" i="58"/>
  <c r="BE267" i="58" s="1"/>
  <c r="BB267" i="58"/>
  <c r="BD267" i="58" s="1"/>
  <c r="BC266" i="58"/>
  <c r="BE266" i="58" s="1"/>
  <c r="BB266" i="58"/>
  <c r="BD266" i="58" s="1"/>
  <c r="BC265" i="58"/>
  <c r="BE265" i="58" s="1"/>
  <c r="BB265" i="58"/>
  <c r="BD265" i="58" s="1"/>
  <c r="BC264" i="58"/>
  <c r="BE264" i="58" s="1"/>
  <c r="BB264" i="58"/>
  <c r="BD264" i="58" s="1"/>
  <c r="BD263" i="58"/>
  <c r="BC263" i="58"/>
  <c r="BE263" i="58" s="1"/>
  <c r="BB263" i="58"/>
  <c r="BC262" i="58"/>
  <c r="BE262" i="58" s="1"/>
  <c r="BB262" i="58"/>
  <c r="BD262" i="58" s="1"/>
  <c r="BC261" i="58"/>
  <c r="BE261" i="58" s="1"/>
  <c r="BB261" i="58"/>
  <c r="BD261" i="58" s="1"/>
  <c r="BC260" i="58"/>
  <c r="BE260" i="58" s="1"/>
  <c r="BB260" i="58"/>
  <c r="BD260" i="58" s="1"/>
  <c r="BC259" i="58"/>
  <c r="BE259" i="58" s="1"/>
  <c r="BB259" i="58"/>
  <c r="BD259" i="58" s="1"/>
  <c r="BC258" i="58"/>
  <c r="BE258" i="58" s="1"/>
  <c r="BB258" i="58"/>
  <c r="BD258" i="58" s="1"/>
  <c r="BC257" i="58"/>
  <c r="BE257" i="58" s="1"/>
  <c r="BB257" i="58"/>
  <c r="BD257" i="58" s="1"/>
  <c r="BL256" i="58"/>
  <c r="BK256" i="58"/>
  <c r="BH256" i="58"/>
  <c r="BG256" i="58"/>
  <c r="BC256" i="58"/>
  <c r="BE256" i="58" s="1"/>
  <c r="BB256" i="58"/>
  <c r="BD256" i="58" s="1"/>
  <c r="BL255" i="58"/>
  <c r="BK255" i="58"/>
  <c r="BH255" i="58"/>
  <c r="BG255" i="58"/>
  <c r="BC255" i="58"/>
  <c r="BE255" i="58" s="1"/>
  <c r="BB255" i="58"/>
  <c r="BD255" i="58" s="1"/>
  <c r="BL254" i="58"/>
  <c r="BK254" i="58"/>
  <c r="BH254" i="58"/>
  <c r="BG254" i="58"/>
  <c r="BC254" i="58"/>
  <c r="BE254" i="58" s="1"/>
  <c r="BB254" i="58"/>
  <c r="BD254" i="58" s="1"/>
  <c r="BL253" i="58"/>
  <c r="BK253" i="58"/>
  <c r="BH253" i="58"/>
  <c r="BG253" i="58"/>
  <c r="BC253" i="58"/>
  <c r="BE253" i="58" s="1"/>
  <c r="BB253" i="58"/>
  <c r="BD253" i="58" s="1"/>
  <c r="BL252" i="58"/>
  <c r="BK252" i="58"/>
  <c r="BH252" i="58"/>
  <c r="BG252" i="58"/>
  <c r="BC252" i="58"/>
  <c r="BE252" i="58" s="1"/>
  <c r="BB252" i="58"/>
  <c r="BD252" i="58" s="1"/>
  <c r="BL251" i="58"/>
  <c r="BK251" i="58"/>
  <c r="BH251" i="58"/>
  <c r="BG251" i="58"/>
  <c r="BC251" i="58"/>
  <c r="BE251" i="58" s="1"/>
  <c r="BB251" i="58"/>
  <c r="BD251" i="58" s="1"/>
  <c r="BL250" i="58"/>
  <c r="BK250" i="58"/>
  <c r="BH250" i="58"/>
  <c r="BG250" i="58"/>
  <c r="BC250" i="58"/>
  <c r="BE250" i="58" s="1"/>
  <c r="BB250" i="58"/>
  <c r="BD250" i="58" s="1"/>
  <c r="BL249" i="58"/>
  <c r="BK249" i="58"/>
  <c r="BH249" i="58"/>
  <c r="BG249" i="58"/>
  <c r="BC249" i="58"/>
  <c r="BE249" i="58" s="1"/>
  <c r="BB249" i="58"/>
  <c r="BD249" i="58" s="1"/>
  <c r="BL248" i="58"/>
  <c r="BK248" i="58"/>
  <c r="BH248" i="58"/>
  <c r="BG248" i="58"/>
  <c r="BC248" i="58"/>
  <c r="BE248" i="58" s="1"/>
  <c r="BB248" i="58"/>
  <c r="BD248" i="58" s="1"/>
  <c r="BL247" i="58"/>
  <c r="BK247" i="58"/>
  <c r="BH247" i="58"/>
  <c r="BG247" i="58"/>
  <c r="BC247" i="58"/>
  <c r="BE247" i="58" s="1"/>
  <c r="BB247" i="58"/>
  <c r="BD247" i="58" s="1"/>
  <c r="BL246" i="58"/>
  <c r="BK246" i="58"/>
  <c r="BH246" i="58"/>
  <c r="BG246" i="58"/>
  <c r="BC246" i="58"/>
  <c r="BE246" i="58" s="1"/>
  <c r="BB246" i="58"/>
  <c r="BD246" i="58" s="1"/>
  <c r="BL245" i="58"/>
  <c r="BK245" i="58"/>
  <c r="BH245" i="58"/>
  <c r="BG245" i="58"/>
  <c r="BC245" i="58"/>
  <c r="BE245" i="58" s="1"/>
  <c r="BB245" i="58"/>
  <c r="BD245" i="58" s="1"/>
  <c r="BL244" i="58"/>
  <c r="BK244" i="58"/>
  <c r="BH244" i="58"/>
  <c r="BG244" i="58"/>
  <c r="BC244" i="58"/>
  <c r="BE244" i="58" s="1"/>
  <c r="BB244" i="58"/>
  <c r="BD244" i="58" s="1"/>
  <c r="BL243" i="58"/>
  <c r="BK243" i="58"/>
  <c r="BH243" i="58"/>
  <c r="BG243" i="58"/>
  <c r="BC243" i="58"/>
  <c r="BE243" i="58" s="1"/>
  <c r="BB243" i="58"/>
  <c r="BD243" i="58" s="1"/>
  <c r="BL242" i="58"/>
  <c r="BK242" i="58"/>
  <c r="BH242" i="58"/>
  <c r="BG242" i="58"/>
  <c r="BC242" i="58"/>
  <c r="BE242" i="58" s="1"/>
  <c r="BB242" i="58"/>
  <c r="BD242" i="58" s="1"/>
  <c r="BL241" i="58"/>
  <c r="BK241" i="58"/>
  <c r="BH241" i="58"/>
  <c r="BG241" i="58"/>
  <c r="BC241" i="58"/>
  <c r="BE241" i="58" s="1"/>
  <c r="BB241" i="58"/>
  <c r="BD241" i="58" s="1"/>
  <c r="BL240" i="58"/>
  <c r="BK240" i="58"/>
  <c r="BH240" i="58"/>
  <c r="BG240" i="58"/>
  <c r="BC240" i="58"/>
  <c r="BE240" i="58" s="1"/>
  <c r="BB240" i="58"/>
  <c r="BD240" i="58" s="1"/>
  <c r="BL239" i="58"/>
  <c r="BK239" i="58"/>
  <c r="BH239" i="58"/>
  <c r="BG239" i="58"/>
  <c r="BC239" i="58"/>
  <c r="BE239" i="58" s="1"/>
  <c r="BB239" i="58"/>
  <c r="BD239" i="58" s="1"/>
  <c r="BL238" i="58"/>
  <c r="BK238" i="58"/>
  <c r="BH238" i="58"/>
  <c r="BG238" i="58"/>
  <c r="BC238" i="58"/>
  <c r="BE238" i="58" s="1"/>
  <c r="BB238" i="58"/>
  <c r="BD238" i="58" s="1"/>
  <c r="BL237" i="58"/>
  <c r="BK237" i="58"/>
  <c r="BH237" i="58"/>
  <c r="BG237" i="58"/>
  <c r="BC237" i="58"/>
  <c r="BE237" i="58" s="1"/>
  <c r="BB237" i="58"/>
  <c r="BD237" i="58" s="1"/>
  <c r="BL236" i="58"/>
  <c r="BK236" i="58"/>
  <c r="BH236" i="58"/>
  <c r="BG236" i="58"/>
  <c r="BC236" i="58"/>
  <c r="BE236" i="58" s="1"/>
  <c r="BB236" i="58"/>
  <c r="BD236" i="58" s="1"/>
  <c r="BL235" i="58"/>
  <c r="BK235" i="58"/>
  <c r="BH235" i="58"/>
  <c r="BG235" i="58"/>
  <c r="BC235" i="58"/>
  <c r="BE235" i="58" s="1"/>
  <c r="BB235" i="58"/>
  <c r="BD235" i="58" s="1"/>
  <c r="BL234" i="58"/>
  <c r="BK234" i="58"/>
  <c r="BH234" i="58"/>
  <c r="BG234" i="58"/>
  <c r="BC234" i="58"/>
  <c r="BE234" i="58" s="1"/>
  <c r="BB234" i="58"/>
  <c r="BD234" i="58" s="1"/>
  <c r="BL233" i="58"/>
  <c r="BK233" i="58"/>
  <c r="BH233" i="58"/>
  <c r="BG233" i="58"/>
  <c r="BC233" i="58"/>
  <c r="BE233" i="58" s="1"/>
  <c r="BB233" i="58"/>
  <c r="BD233" i="58" s="1"/>
  <c r="BL232" i="58"/>
  <c r="BK232" i="58"/>
  <c r="BH232" i="58"/>
  <c r="BG232" i="58"/>
  <c r="BC232" i="58"/>
  <c r="BE232" i="58" s="1"/>
  <c r="BB232" i="58"/>
  <c r="BD232" i="58" s="1"/>
  <c r="BL231" i="58"/>
  <c r="BK231" i="58"/>
  <c r="BH231" i="58"/>
  <c r="BG231" i="58"/>
  <c r="BC231" i="58"/>
  <c r="BE231" i="58" s="1"/>
  <c r="BB231" i="58"/>
  <c r="BD231" i="58" s="1"/>
  <c r="BL230" i="58"/>
  <c r="BK230" i="58"/>
  <c r="BH230" i="58"/>
  <c r="BG230" i="58"/>
  <c r="BC230" i="58"/>
  <c r="BE230" i="58" s="1"/>
  <c r="BB230" i="58"/>
  <c r="BD230" i="58" s="1"/>
  <c r="BL229" i="58"/>
  <c r="BK229" i="58"/>
  <c r="BH229" i="58"/>
  <c r="BG229" i="58"/>
  <c r="BC229" i="58"/>
  <c r="BE229" i="58" s="1"/>
  <c r="BB229" i="58"/>
  <c r="BD229" i="58" s="1"/>
  <c r="BL228" i="58"/>
  <c r="BK228" i="58"/>
  <c r="BH228" i="58"/>
  <c r="BG228" i="58"/>
  <c r="BC228" i="58"/>
  <c r="BE228" i="58" s="1"/>
  <c r="BB228" i="58"/>
  <c r="BD228" i="58" s="1"/>
  <c r="BL227" i="58"/>
  <c r="BK227" i="58"/>
  <c r="BH227" i="58"/>
  <c r="BG227" i="58"/>
  <c r="BC227" i="58"/>
  <c r="BE227" i="58" s="1"/>
  <c r="BB227" i="58"/>
  <c r="BD227" i="58" s="1"/>
  <c r="BC226" i="58"/>
  <c r="BE226" i="58" s="1"/>
  <c r="BB226" i="58"/>
  <c r="BD226" i="58" s="1"/>
  <c r="BC225" i="58"/>
  <c r="BE225" i="58" s="1"/>
  <c r="BB225" i="58"/>
  <c r="BD225" i="58" s="1"/>
  <c r="BC224" i="58"/>
  <c r="BE224" i="58" s="1"/>
  <c r="BB224" i="58"/>
  <c r="BD224" i="58" s="1"/>
  <c r="BC223" i="58"/>
  <c r="BE223" i="58" s="1"/>
  <c r="BB223" i="58"/>
  <c r="BD223" i="58" s="1"/>
  <c r="BC222" i="58"/>
  <c r="BE222" i="58" s="1"/>
  <c r="BB222" i="58"/>
  <c r="BD222" i="58" s="1"/>
  <c r="BC221" i="58"/>
  <c r="BE221" i="58" s="1"/>
  <c r="BB221" i="58"/>
  <c r="BD221" i="58" s="1"/>
  <c r="BC220" i="58"/>
  <c r="BE220" i="58" s="1"/>
  <c r="BB220" i="58"/>
  <c r="BD220" i="58" s="1"/>
  <c r="BC219" i="58"/>
  <c r="BE219" i="58" s="1"/>
  <c r="BB219" i="58"/>
  <c r="BD219" i="58" s="1"/>
  <c r="BC218" i="58"/>
  <c r="BE218" i="58" s="1"/>
  <c r="BB218" i="58"/>
  <c r="BD218" i="58" s="1"/>
  <c r="BD217" i="58"/>
  <c r="BC217" i="58"/>
  <c r="BE217" i="58" s="1"/>
  <c r="BB217" i="58"/>
  <c r="R217" i="58"/>
  <c r="Q217" i="58"/>
  <c r="P217" i="58"/>
  <c r="O217" i="58"/>
  <c r="N217" i="58"/>
  <c r="M217" i="58"/>
  <c r="L217" i="58"/>
  <c r="K217" i="58"/>
  <c r="J217" i="58"/>
  <c r="I217" i="58"/>
  <c r="H217" i="58"/>
  <c r="G217" i="58"/>
  <c r="F217" i="58"/>
  <c r="E217" i="58"/>
  <c r="D217" i="58"/>
  <c r="C217" i="58"/>
  <c r="B217" i="58"/>
  <c r="A217" i="58"/>
  <c r="BC216" i="58"/>
  <c r="BE216" i="58" s="1"/>
  <c r="BB216" i="58"/>
  <c r="BD216" i="58" s="1"/>
  <c r="R216" i="58"/>
  <c r="Q216" i="58"/>
  <c r="P216" i="58"/>
  <c r="O216" i="58"/>
  <c r="N216" i="58"/>
  <c r="M216" i="58"/>
  <c r="L216" i="58"/>
  <c r="K216" i="58"/>
  <c r="J216" i="58"/>
  <c r="I216" i="58"/>
  <c r="H216" i="58"/>
  <c r="G216" i="58"/>
  <c r="F216" i="58"/>
  <c r="E216" i="58"/>
  <c r="D216" i="58"/>
  <c r="C216" i="58"/>
  <c r="B216" i="58"/>
  <c r="A216" i="58"/>
  <c r="BC215" i="58"/>
  <c r="BE215" i="58" s="1"/>
  <c r="BB215" i="58"/>
  <c r="BD215" i="58" s="1"/>
  <c r="BC214" i="58"/>
  <c r="BE214" i="58" s="1"/>
  <c r="BB214" i="58"/>
  <c r="BD214" i="58" s="1"/>
  <c r="BH213" i="58"/>
  <c r="BG213" i="58"/>
  <c r="BC213" i="58"/>
  <c r="BE213" i="58" s="1"/>
  <c r="BB213" i="58"/>
  <c r="BD213" i="58" s="1"/>
  <c r="BH212" i="58"/>
  <c r="BG212" i="58"/>
  <c r="BD212" i="58"/>
  <c r="BC212" i="58"/>
  <c r="BE212" i="58" s="1"/>
  <c r="BB212" i="58"/>
  <c r="BH211" i="58"/>
  <c r="BG211" i="58"/>
  <c r="BC211" i="58"/>
  <c r="BE211" i="58" s="1"/>
  <c r="BB211" i="58"/>
  <c r="BD211" i="58" s="1"/>
  <c r="BH210" i="58"/>
  <c r="BG210" i="58"/>
  <c r="BC210" i="58"/>
  <c r="BE210" i="58" s="1"/>
  <c r="BB210" i="58"/>
  <c r="BD210" i="58" s="1"/>
  <c r="BH209" i="58"/>
  <c r="BG209" i="58"/>
  <c r="BC209" i="58"/>
  <c r="BE209" i="58" s="1"/>
  <c r="BB209" i="58"/>
  <c r="BD209" i="58" s="1"/>
  <c r="BH208" i="58"/>
  <c r="BG208" i="58"/>
  <c r="BC208" i="58"/>
  <c r="BE208" i="58" s="1"/>
  <c r="BB208" i="58"/>
  <c r="BD208" i="58" s="1"/>
  <c r="BH207" i="58"/>
  <c r="BG207" i="58"/>
  <c r="BC207" i="58"/>
  <c r="BE207" i="58" s="1"/>
  <c r="BB207" i="58"/>
  <c r="BD207" i="58" s="1"/>
  <c r="BH206" i="58"/>
  <c r="BG206" i="58"/>
  <c r="BD206" i="58"/>
  <c r="BC206" i="58"/>
  <c r="BE206" i="58" s="1"/>
  <c r="BB206" i="58"/>
  <c r="BH205" i="58"/>
  <c r="BG205" i="58"/>
  <c r="BC205" i="58"/>
  <c r="BE205" i="58" s="1"/>
  <c r="BB205" i="58"/>
  <c r="BD205" i="58" s="1"/>
  <c r="BH204" i="58"/>
  <c r="BG204" i="58"/>
  <c r="BC204" i="58"/>
  <c r="BE204" i="58" s="1"/>
  <c r="BB204" i="58"/>
  <c r="BD204" i="58" s="1"/>
  <c r="BH203" i="58"/>
  <c r="BG203" i="58"/>
  <c r="BC203" i="58"/>
  <c r="BE203" i="58" s="1"/>
  <c r="BB203" i="58"/>
  <c r="BD203" i="58" s="1"/>
  <c r="BH202" i="58"/>
  <c r="BG202" i="58"/>
  <c r="BC202" i="58"/>
  <c r="BE202" i="58" s="1"/>
  <c r="BB202" i="58"/>
  <c r="BD202" i="58" s="1"/>
  <c r="BH201" i="58"/>
  <c r="BG201" i="58"/>
  <c r="BC201" i="58"/>
  <c r="BE201" i="58" s="1"/>
  <c r="BB201" i="58"/>
  <c r="BD201" i="58" s="1"/>
  <c r="BH200" i="58"/>
  <c r="BG200" i="58"/>
  <c r="BC200" i="58"/>
  <c r="BE200" i="58" s="1"/>
  <c r="BB200" i="58"/>
  <c r="BD200" i="58" s="1"/>
  <c r="BH199" i="58"/>
  <c r="BG199" i="58"/>
  <c r="BC199" i="58"/>
  <c r="BE199" i="58" s="1"/>
  <c r="BB199" i="58"/>
  <c r="BD199" i="58" s="1"/>
  <c r="BH198" i="58"/>
  <c r="BG198" i="58"/>
  <c r="BD198" i="58"/>
  <c r="BC198" i="58"/>
  <c r="BE198" i="58" s="1"/>
  <c r="BB198" i="58"/>
  <c r="BH197" i="58"/>
  <c r="BG197" i="58"/>
  <c r="BC197" i="58"/>
  <c r="BE197" i="58" s="1"/>
  <c r="BB197" i="58"/>
  <c r="BD197" i="58" s="1"/>
  <c r="BH196" i="58"/>
  <c r="BG196" i="58"/>
  <c r="BC196" i="58"/>
  <c r="BE196" i="58" s="1"/>
  <c r="BB196" i="58"/>
  <c r="BD196" i="58" s="1"/>
  <c r="BH195" i="58"/>
  <c r="BG195" i="58"/>
  <c r="BC195" i="58"/>
  <c r="BE195" i="58" s="1"/>
  <c r="BB195" i="58"/>
  <c r="BD195" i="58" s="1"/>
  <c r="BH194" i="58"/>
  <c r="BG194" i="58"/>
  <c r="BC194" i="58"/>
  <c r="BE194" i="58" s="1"/>
  <c r="BB194" i="58"/>
  <c r="BD194" i="58" s="1"/>
  <c r="BH193" i="58"/>
  <c r="BG193" i="58"/>
  <c r="BC193" i="58"/>
  <c r="BE193" i="58" s="1"/>
  <c r="BB193" i="58"/>
  <c r="BD193" i="58" s="1"/>
  <c r="BH192" i="58"/>
  <c r="BG192" i="58"/>
  <c r="BC192" i="58"/>
  <c r="BE192" i="58" s="1"/>
  <c r="BB192" i="58"/>
  <c r="BD192" i="58" s="1"/>
  <c r="BH191" i="58"/>
  <c r="BG191" i="58"/>
  <c r="BE191" i="58"/>
  <c r="BD191" i="58"/>
  <c r="BC191" i="58"/>
  <c r="BB191" i="58"/>
  <c r="BH190" i="58"/>
  <c r="BG190" i="58"/>
  <c r="BC190" i="58"/>
  <c r="BE190" i="58" s="1"/>
  <c r="BB190" i="58"/>
  <c r="BD190" i="58" s="1"/>
  <c r="BH189" i="58"/>
  <c r="BG189" i="58"/>
  <c r="BC189" i="58"/>
  <c r="BE189" i="58" s="1"/>
  <c r="BB189" i="58"/>
  <c r="BD189" i="58" s="1"/>
  <c r="BH188" i="58"/>
  <c r="BG188" i="58"/>
  <c r="BE188" i="58"/>
  <c r="BC188" i="58"/>
  <c r="BB188" i="58"/>
  <c r="BD188" i="58" s="1"/>
  <c r="BH187" i="58"/>
  <c r="BG187" i="58"/>
  <c r="BC187" i="58"/>
  <c r="BE187" i="58" s="1"/>
  <c r="BB187" i="58"/>
  <c r="BD187" i="58" s="1"/>
  <c r="BH186" i="58"/>
  <c r="BG186" i="58"/>
  <c r="BC186" i="58"/>
  <c r="BE186" i="58" s="1"/>
  <c r="BB186" i="58"/>
  <c r="BD186" i="58" s="1"/>
  <c r="BH185" i="58"/>
  <c r="BG185" i="58"/>
  <c r="BC185" i="58"/>
  <c r="BE185" i="58" s="1"/>
  <c r="BB185" i="58"/>
  <c r="BD185" i="58" s="1"/>
  <c r="BH184" i="58"/>
  <c r="BG184" i="58"/>
  <c r="BC184" i="58"/>
  <c r="BE184" i="58" s="1"/>
  <c r="BB184" i="58"/>
  <c r="BD184" i="58" s="1"/>
  <c r="BC183" i="58"/>
  <c r="BE183" i="58" s="1"/>
  <c r="BB183" i="58"/>
  <c r="BD183" i="58" s="1"/>
  <c r="BC182" i="58"/>
  <c r="BE182" i="58" s="1"/>
  <c r="BB182" i="58"/>
  <c r="BD182" i="58" s="1"/>
  <c r="BC181" i="58"/>
  <c r="BE181" i="58" s="1"/>
  <c r="BB181" i="58"/>
  <c r="BD181" i="58" s="1"/>
  <c r="BC180" i="58"/>
  <c r="BE180" i="58" s="1"/>
  <c r="BB180" i="58"/>
  <c r="BD180" i="58" s="1"/>
  <c r="BC179" i="58"/>
  <c r="BE179" i="58" s="1"/>
  <c r="BB179" i="58"/>
  <c r="BD179" i="58" s="1"/>
  <c r="BC178" i="58"/>
  <c r="BE178" i="58" s="1"/>
  <c r="BB178" i="58"/>
  <c r="BD178" i="58" s="1"/>
  <c r="BC177" i="58"/>
  <c r="BE177" i="58" s="1"/>
  <c r="BB177" i="58"/>
  <c r="BD177" i="58" s="1"/>
  <c r="BC176" i="58"/>
  <c r="BE176" i="58" s="1"/>
  <c r="BB176" i="58"/>
  <c r="BD176" i="58" s="1"/>
  <c r="BD175" i="58"/>
  <c r="BC175" i="58"/>
  <c r="BE175" i="58" s="1"/>
  <c r="BB175" i="58"/>
  <c r="BC174" i="58"/>
  <c r="BE174" i="58" s="1"/>
  <c r="BB174" i="58"/>
  <c r="BD174" i="58" s="1"/>
  <c r="R174" i="58"/>
  <c r="Q174" i="58"/>
  <c r="P174" i="58"/>
  <c r="O174" i="58"/>
  <c r="N174" i="58"/>
  <c r="M174" i="58"/>
  <c r="L174" i="58"/>
  <c r="K174" i="58"/>
  <c r="J174" i="58"/>
  <c r="I174" i="58"/>
  <c r="H174" i="58"/>
  <c r="G174" i="58"/>
  <c r="F174" i="58"/>
  <c r="E174" i="58"/>
  <c r="D174" i="58"/>
  <c r="C174" i="58"/>
  <c r="B174" i="58"/>
  <c r="A174" i="58"/>
  <c r="BC173" i="58"/>
  <c r="BE173" i="58" s="1"/>
  <c r="BB173" i="58"/>
  <c r="BD173" i="58" s="1"/>
  <c r="R173" i="58"/>
  <c r="Q173" i="58"/>
  <c r="P173" i="58"/>
  <c r="O173" i="58"/>
  <c r="N173" i="58"/>
  <c r="M173" i="58"/>
  <c r="L173" i="58"/>
  <c r="K173" i="58"/>
  <c r="J173" i="58"/>
  <c r="I173" i="58"/>
  <c r="H173" i="58"/>
  <c r="G173" i="58"/>
  <c r="F173" i="58"/>
  <c r="E173" i="58"/>
  <c r="D173" i="58"/>
  <c r="C173" i="58"/>
  <c r="B173" i="58"/>
  <c r="A173" i="58"/>
  <c r="BC172" i="58"/>
  <c r="BE172" i="58" s="1"/>
  <c r="BB172" i="58"/>
  <c r="BD172" i="58" s="1"/>
  <c r="BD171" i="58"/>
  <c r="BC171" i="58"/>
  <c r="BE171" i="58" s="1"/>
  <c r="BB171" i="58"/>
  <c r="BH170" i="58"/>
  <c r="BG170" i="58"/>
  <c r="BC170" i="58"/>
  <c r="BE170" i="58" s="1"/>
  <c r="BB170" i="58"/>
  <c r="BD170" i="58" s="1"/>
  <c r="BH169" i="58"/>
  <c r="BG169" i="58"/>
  <c r="BC169" i="58"/>
  <c r="BE169" i="58" s="1"/>
  <c r="BB169" i="58"/>
  <c r="BD169" i="58" s="1"/>
  <c r="BH168" i="58"/>
  <c r="BG168" i="58"/>
  <c r="BC168" i="58"/>
  <c r="BE168" i="58" s="1"/>
  <c r="BB168" i="58"/>
  <c r="BD168" i="58" s="1"/>
  <c r="BH167" i="58"/>
  <c r="BG167" i="58"/>
  <c r="BC167" i="58"/>
  <c r="BE167" i="58" s="1"/>
  <c r="BB167" i="58"/>
  <c r="BD167" i="58" s="1"/>
  <c r="BH166" i="58"/>
  <c r="BG166" i="58"/>
  <c r="BC166" i="58"/>
  <c r="BE166" i="58" s="1"/>
  <c r="BB166" i="58"/>
  <c r="BD166" i="58" s="1"/>
  <c r="BH165" i="58"/>
  <c r="BG165" i="58"/>
  <c r="BC165" i="58"/>
  <c r="BE165" i="58" s="1"/>
  <c r="BB165" i="58"/>
  <c r="BD165" i="58" s="1"/>
  <c r="BH164" i="58"/>
  <c r="BG164" i="58"/>
  <c r="BD164" i="58"/>
  <c r="BC164" i="58"/>
  <c r="BE164" i="58" s="1"/>
  <c r="BB164" i="58"/>
  <c r="BH163" i="58"/>
  <c r="BG163" i="58"/>
  <c r="BC163" i="58"/>
  <c r="BE163" i="58" s="1"/>
  <c r="BB163" i="58"/>
  <c r="BD163" i="58" s="1"/>
  <c r="BH162" i="58"/>
  <c r="BG162" i="58"/>
  <c r="BC162" i="58"/>
  <c r="BE162" i="58" s="1"/>
  <c r="BB162" i="58"/>
  <c r="BD162" i="58" s="1"/>
  <c r="BH161" i="58"/>
  <c r="BG161" i="58"/>
  <c r="BC161" i="58"/>
  <c r="BE161" i="58" s="1"/>
  <c r="BB161" i="58"/>
  <c r="BD161" i="58" s="1"/>
  <c r="BH160" i="58"/>
  <c r="BG160" i="58"/>
  <c r="BC160" i="58"/>
  <c r="BE160" i="58" s="1"/>
  <c r="BB160" i="58"/>
  <c r="BD160" i="58" s="1"/>
  <c r="BH159" i="58"/>
  <c r="BG159" i="58"/>
  <c r="BC159" i="58"/>
  <c r="BE159" i="58" s="1"/>
  <c r="BB159" i="58"/>
  <c r="BD159" i="58" s="1"/>
  <c r="BH158" i="58"/>
  <c r="BG158" i="58"/>
  <c r="BC158" i="58"/>
  <c r="BE158" i="58" s="1"/>
  <c r="BB158" i="58"/>
  <c r="BD158" i="58" s="1"/>
  <c r="BH157" i="58"/>
  <c r="BG157" i="58"/>
  <c r="BC157" i="58"/>
  <c r="BE157" i="58" s="1"/>
  <c r="BB157" i="58"/>
  <c r="BD157" i="58" s="1"/>
  <c r="BH156" i="58"/>
  <c r="BG156" i="58"/>
  <c r="BE156" i="58"/>
  <c r="BC156" i="58"/>
  <c r="BB156" i="58"/>
  <c r="BD156" i="58" s="1"/>
  <c r="BH155" i="58"/>
  <c r="BG155" i="58"/>
  <c r="BC155" i="58"/>
  <c r="BE155" i="58" s="1"/>
  <c r="BB155" i="58"/>
  <c r="BD155" i="58" s="1"/>
  <c r="BH154" i="58"/>
  <c r="BG154" i="58"/>
  <c r="BC154" i="58"/>
  <c r="BE154" i="58" s="1"/>
  <c r="BB154" i="58"/>
  <c r="BD154" i="58" s="1"/>
  <c r="BH153" i="58"/>
  <c r="BG153" i="58"/>
  <c r="BC153" i="58"/>
  <c r="BE153" i="58" s="1"/>
  <c r="BB153" i="58"/>
  <c r="BD153" i="58" s="1"/>
  <c r="BH152" i="58"/>
  <c r="BG152" i="58"/>
  <c r="BC152" i="58"/>
  <c r="BE152" i="58" s="1"/>
  <c r="BB152" i="58"/>
  <c r="BD152" i="58" s="1"/>
  <c r="BH151" i="58"/>
  <c r="BG151" i="58"/>
  <c r="BC151" i="58"/>
  <c r="BE151" i="58" s="1"/>
  <c r="BB151" i="58"/>
  <c r="BD151" i="58" s="1"/>
  <c r="BH150" i="58"/>
  <c r="BG150" i="58"/>
  <c r="BC150" i="58"/>
  <c r="BE150" i="58" s="1"/>
  <c r="BB150" i="58"/>
  <c r="BD150" i="58" s="1"/>
  <c r="BH149" i="58"/>
  <c r="BG149" i="58"/>
  <c r="BC149" i="58"/>
  <c r="BE149" i="58" s="1"/>
  <c r="BB149" i="58"/>
  <c r="BD149" i="58" s="1"/>
  <c r="BH148" i="58"/>
  <c r="BG148" i="58"/>
  <c r="BE148" i="58"/>
  <c r="BD148" i="58"/>
  <c r="BC148" i="58"/>
  <c r="BB148" i="58"/>
  <c r="BH147" i="58"/>
  <c r="BG147" i="58"/>
  <c r="BC147" i="58"/>
  <c r="BE147" i="58" s="1"/>
  <c r="BB147" i="58"/>
  <c r="BD147" i="58" s="1"/>
  <c r="BH146" i="58"/>
  <c r="BG146" i="58"/>
  <c r="BC146" i="58"/>
  <c r="BE146" i="58" s="1"/>
  <c r="BB146" i="58"/>
  <c r="BD146" i="58" s="1"/>
  <c r="BH145" i="58"/>
  <c r="BG145" i="58"/>
  <c r="BC145" i="58"/>
  <c r="BE145" i="58" s="1"/>
  <c r="BB145" i="58"/>
  <c r="BD145" i="58" s="1"/>
  <c r="BH144" i="58"/>
  <c r="BG144" i="58"/>
  <c r="BD144" i="58"/>
  <c r="BC144" i="58"/>
  <c r="BE144" i="58" s="1"/>
  <c r="BB144" i="58"/>
  <c r="BH143" i="58"/>
  <c r="BG143" i="58"/>
  <c r="BC143" i="58"/>
  <c r="BE143" i="58" s="1"/>
  <c r="BB143" i="58"/>
  <c r="BD143" i="58" s="1"/>
  <c r="BH142" i="58"/>
  <c r="BG142" i="58"/>
  <c r="BC142" i="58"/>
  <c r="BE142" i="58" s="1"/>
  <c r="BB142" i="58"/>
  <c r="BD142" i="58" s="1"/>
  <c r="BH141" i="58"/>
  <c r="BG141" i="58"/>
  <c r="BC141" i="58"/>
  <c r="BE141" i="58" s="1"/>
  <c r="BB141" i="58"/>
  <c r="BD141" i="58" s="1"/>
  <c r="BC140" i="58"/>
  <c r="BE140" i="58" s="1"/>
  <c r="BB140" i="58"/>
  <c r="BD140" i="58" s="1"/>
  <c r="BE139" i="58"/>
  <c r="BC139" i="58"/>
  <c r="BB139" i="58"/>
  <c r="BD139" i="58" s="1"/>
  <c r="BC138" i="58"/>
  <c r="BE138" i="58" s="1"/>
  <c r="BB138" i="58"/>
  <c r="BD138" i="58" s="1"/>
  <c r="BC137" i="58"/>
  <c r="BE137" i="58" s="1"/>
  <c r="BB137" i="58"/>
  <c r="BD137" i="58" s="1"/>
  <c r="BC136" i="58"/>
  <c r="BE136" i="58" s="1"/>
  <c r="BB136" i="58"/>
  <c r="BD136" i="58" s="1"/>
  <c r="BC135" i="58"/>
  <c r="BE135" i="58" s="1"/>
  <c r="BB135" i="58"/>
  <c r="BD135" i="58" s="1"/>
  <c r="BC134" i="58"/>
  <c r="BE134" i="58" s="1"/>
  <c r="BB134" i="58"/>
  <c r="BD134" i="58" s="1"/>
  <c r="BC133" i="58"/>
  <c r="BE133" i="58" s="1"/>
  <c r="BB133" i="58"/>
  <c r="BD133" i="58" s="1"/>
  <c r="BC132" i="58"/>
  <c r="BE132" i="58" s="1"/>
  <c r="BB132" i="58"/>
  <c r="BD132" i="58" s="1"/>
  <c r="BC131" i="58"/>
  <c r="BE131" i="58" s="1"/>
  <c r="BB131" i="58"/>
  <c r="BD131" i="58" s="1"/>
  <c r="R131" i="58"/>
  <c r="Q131" i="58"/>
  <c r="P131" i="58"/>
  <c r="O131" i="58"/>
  <c r="N131" i="58"/>
  <c r="M131" i="58"/>
  <c r="L131" i="58"/>
  <c r="K131" i="58"/>
  <c r="J131" i="58"/>
  <c r="I131" i="58"/>
  <c r="H131" i="58"/>
  <c r="G131" i="58"/>
  <c r="F131" i="58"/>
  <c r="E131" i="58"/>
  <c r="D131" i="58"/>
  <c r="C131" i="58"/>
  <c r="B131" i="58"/>
  <c r="A131" i="58"/>
  <c r="BC130" i="58"/>
  <c r="BE130" i="58" s="1"/>
  <c r="BB130" i="58"/>
  <c r="BD130" i="58" s="1"/>
  <c r="R130" i="58"/>
  <c r="Q130" i="58"/>
  <c r="P130" i="58"/>
  <c r="O130" i="58"/>
  <c r="N130" i="58"/>
  <c r="M130" i="58"/>
  <c r="L130" i="58"/>
  <c r="K130" i="58"/>
  <c r="J130" i="58"/>
  <c r="I130" i="58"/>
  <c r="H130" i="58"/>
  <c r="G130" i="58"/>
  <c r="F130" i="58"/>
  <c r="E130" i="58"/>
  <c r="D130" i="58"/>
  <c r="C130" i="58"/>
  <c r="B130" i="58"/>
  <c r="A130" i="58"/>
  <c r="BC129" i="58"/>
  <c r="BE129" i="58" s="1"/>
  <c r="BB129" i="58"/>
  <c r="BD129" i="58" s="1"/>
  <c r="BD128" i="58"/>
  <c r="BC128" i="58"/>
  <c r="BE128" i="58" s="1"/>
  <c r="BB128" i="58"/>
  <c r="BC127" i="58"/>
  <c r="BE127" i="58" s="1"/>
  <c r="BB127" i="58"/>
  <c r="BD127" i="58" s="1"/>
  <c r="BC126" i="58"/>
  <c r="BE126" i="58" s="1"/>
  <c r="BB126" i="58"/>
  <c r="BD126" i="58" s="1"/>
  <c r="BC125" i="58"/>
  <c r="BE125" i="58" s="1"/>
  <c r="BB125" i="58"/>
  <c r="BD125" i="58" s="1"/>
  <c r="BC124" i="58"/>
  <c r="BE124" i="58" s="1"/>
  <c r="BB124" i="58"/>
  <c r="BD124" i="58" s="1"/>
  <c r="BE123" i="58"/>
  <c r="BC123" i="58"/>
  <c r="BB123" i="58"/>
  <c r="BD123" i="58" s="1"/>
  <c r="BD122" i="58"/>
  <c r="BC122" i="58"/>
  <c r="BE122" i="58" s="1"/>
  <c r="BB122" i="58"/>
  <c r="BC121" i="58"/>
  <c r="BE121" i="58" s="1"/>
  <c r="BB121" i="58"/>
  <c r="BD121" i="58" s="1"/>
  <c r="BC120" i="58"/>
  <c r="BE120" i="58" s="1"/>
  <c r="BB120" i="58"/>
  <c r="BD120" i="58" s="1"/>
  <c r="BC119" i="58"/>
  <c r="BE119" i="58" s="1"/>
  <c r="BB119" i="58"/>
  <c r="BD119" i="58" s="1"/>
  <c r="CC118" i="58"/>
  <c r="BC118" i="58"/>
  <c r="BE118" i="58" s="1"/>
  <c r="BB118" i="58"/>
  <c r="BD118" i="58" s="1"/>
  <c r="CC117" i="58"/>
  <c r="BC117" i="58"/>
  <c r="BE117" i="58" s="1"/>
  <c r="BB117" i="58"/>
  <c r="BD117" i="58" s="1"/>
  <c r="CC116" i="58"/>
  <c r="BC116" i="58"/>
  <c r="BE116" i="58" s="1"/>
  <c r="BB116" i="58"/>
  <c r="BD116" i="58" s="1"/>
  <c r="CC115" i="58"/>
  <c r="BD115" i="58"/>
  <c r="BC115" i="58"/>
  <c r="BE115" i="58" s="1"/>
  <c r="BB115" i="58"/>
  <c r="CC114" i="58"/>
  <c r="BC114" i="58"/>
  <c r="BE114" i="58" s="1"/>
  <c r="BB114" i="58"/>
  <c r="BD114" i="58" s="1"/>
  <c r="CC113" i="58"/>
  <c r="BC113" i="58"/>
  <c r="BE113" i="58" s="1"/>
  <c r="BB113" i="58"/>
  <c r="BD113" i="58" s="1"/>
  <c r="CC112" i="58"/>
  <c r="BC112" i="58"/>
  <c r="BE112" i="58" s="1"/>
  <c r="BB112" i="58"/>
  <c r="BD112" i="58" s="1"/>
  <c r="CC111" i="58"/>
  <c r="BC111" i="58"/>
  <c r="BE111" i="58" s="1"/>
  <c r="BB111" i="58"/>
  <c r="BD111" i="58" s="1"/>
  <c r="CC110" i="58"/>
  <c r="BC110" i="58"/>
  <c r="BE110" i="58" s="1"/>
  <c r="BB110" i="58"/>
  <c r="BD110" i="58" s="1"/>
  <c r="CC109" i="58"/>
  <c r="BC109" i="58"/>
  <c r="BE109" i="58" s="1"/>
  <c r="BB109" i="58"/>
  <c r="BD109" i="58" s="1"/>
  <c r="CC108" i="58"/>
  <c r="BC108" i="58"/>
  <c r="BE108" i="58" s="1"/>
  <c r="BB108" i="58"/>
  <c r="BD108" i="58" s="1"/>
  <c r="CC107" i="58"/>
  <c r="BC107" i="58"/>
  <c r="BE107" i="58" s="1"/>
  <c r="BB107" i="58"/>
  <c r="BD107" i="58" s="1"/>
  <c r="CC106" i="58"/>
  <c r="BC106" i="58"/>
  <c r="BE106" i="58" s="1"/>
  <c r="BB106" i="58"/>
  <c r="BD106" i="58" s="1"/>
  <c r="CC105" i="58"/>
  <c r="BC105" i="58"/>
  <c r="BE105" i="58" s="1"/>
  <c r="BB105" i="58"/>
  <c r="BD105" i="58" s="1"/>
  <c r="CC104" i="58"/>
  <c r="BC104" i="58"/>
  <c r="BE104" i="58" s="1"/>
  <c r="BB104" i="58"/>
  <c r="BD104" i="58" s="1"/>
  <c r="CC103" i="58"/>
  <c r="BC103" i="58"/>
  <c r="BE103" i="58" s="1"/>
  <c r="BB103" i="58"/>
  <c r="BD103" i="58" s="1"/>
  <c r="CC102" i="58"/>
  <c r="BD102" i="58"/>
  <c r="BC102" i="58"/>
  <c r="BE102" i="58" s="1"/>
  <c r="BB102" i="58"/>
  <c r="CC101" i="58"/>
  <c r="BL101" i="58"/>
  <c r="BC101" i="58"/>
  <c r="BE101" i="58" s="1"/>
  <c r="BB101" i="58"/>
  <c r="BD101" i="58" s="1"/>
  <c r="CC100" i="58"/>
  <c r="BL100" i="58"/>
  <c r="BC100" i="58"/>
  <c r="BE100" i="58" s="1"/>
  <c r="BB100" i="58"/>
  <c r="BD100" i="58" s="1"/>
  <c r="CC99" i="58"/>
  <c r="BL99" i="58"/>
  <c r="BC99" i="58"/>
  <c r="BE99" i="58" s="1"/>
  <c r="BB99" i="58"/>
  <c r="BD99" i="58" s="1"/>
  <c r="CC98" i="58"/>
  <c r="BL98" i="58"/>
  <c r="BC98" i="58"/>
  <c r="BE98" i="58" s="1"/>
  <c r="BB98" i="58"/>
  <c r="BD98" i="58" s="1"/>
  <c r="CC97" i="58"/>
  <c r="BL97" i="58"/>
  <c r="BC97" i="58"/>
  <c r="BE97" i="58" s="1"/>
  <c r="BB97" i="58"/>
  <c r="BD97" i="58" s="1"/>
  <c r="CC96" i="58"/>
  <c r="BL96" i="58"/>
  <c r="BC96" i="58"/>
  <c r="BE96" i="58" s="1"/>
  <c r="BB96" i="58"/>
  <c r="BD96" i="58" s="1"/>
  <c r="CC95" i="58"/>
  <c r="BL95" i="58"/>
  <c r="BC95" i="58"/>
  <c r="BE95" i="58" s="1"/>
  <c r="BB95" i="58"/>
  <c r="BD95" i="58" s="1"/>
  <c r="CE94" i="58"/>
  <c r="CD94" i="58"/>
  <c r="CC94" i="58"/>
  <c r="BL94" i="58"/>
  <c r="BC94" i="58"/>
  <c r="BE94" i="58" s="1"/>
  <c r="BB94" i="58"/>
  <c r="BD94" i="58" s="1"/>
  <c r="CC93" i="58"/>
  <c r="BL93" i="58"/>
  <c r="BD93" i="58"/>
  <c r="BC93" i="58"/>
  <c r="BE93" i="58" s="1"/>
  <c r="BB93" i="58"/>
  <c r="CC92" i="58"/>
  <c r="BL92" i="58"/>
  <c r="BC92" i="58"/>
  <c r="BE92" i="58" s="1"/>
  <c r="BB92" i="58"/>
  <c r="BD92" i="58" s="1"/>
  <c r="CC91" i="58"/>
  <c r="BL91" i="58"/>
  <c r="BC91" i="58"/>
  <c r="BE91" i="58" s="1"/>
  <c r="BB91" i="58"/>
  <c r="BD91" i="58" s="1"/>
  <c r="CC90" i="58"/>
  <c r="BL90" i="58"/>
  <c r="BC90" i="58"/>
  <c r="BE90" i="58" s="1"/>
  <c r="BB90" i="58"/>
  <c r="BD90" i="58" s="1"/>
  <c r="CC89" i="58"/>
  <c r="BL89" i="58"/>
  <c r="BC89" i="58"/>
  <c r="BE89" i="58" s="1"/>
  <c r="BB89" i="58"/>
  <c r="BD89" i="58" s="1"/>
  <c r="CC88" i="58"/>
  <c r="BL88" i="58"/>
  <c r="BC88" i="58"/>
  <c r="BE88" i="58" s="1"/>
  <c r="BB88" i="58"/>
  <c r="BD88" i="58" s="1"/>
  <c r="R88" i="58"/>
  <c r="Q88" i="58"/>
  <c r="P88" i="58"/>
  <c r="O88" i="58"/>
  <c r="N88" i="58"/>
  <c r="M88" i="58"/>
  <c r="L88" i="58"/>
  <c r="K88" i="58"/>
  <c r="J88" i="58"/>
  <c r="I88" i="58"/>
  <c r="H88" i="58"/>
  <c r="G88" i="58"/>
  <c r="F88" i="58"/>
  <c r="E88" i="58"/>
  <c r="D88" i="58"/>
  <c r="C88" i="58"/>
  <c r="B88" i="58"/>
  <c r="A88" i="58"/>
  <c r="CC87" i="58"/>
  <c r="BL87" i="58"/>
  <c r="BC87" i="58"/>
  <c r="BE87" i="58" s="1"/>
  <c r="BB87" i="58"/>
  <c r="BD87" i="58" s="1"/>
  <c r="R87" i="58"/>
  <c r="Q87" i="58"/>
  <c r="P87" i="58"/>
  <c r="O87" i="58"/>
  <c r="N87" i="58"/>
  <c r="M87" i="58"/>
  <c r="L87" i="58"/>
  <c r="K87" i="58"/>
  <c r="J87" i="58"/>
  <c r="I87" i="58"/>
  <c r="H87" i="58"/>
  <c r="G87" i="58"/>
  <c r="F87" i="58"/>
  <c r="E87" i="58"/>
  <c r="D87" i="58"/>
  <c r="C87" i="58"/>
  <c r="B87" i="58"/>
  <c r="A87" i="58"/>
  <c r="CC86" i="58"/>
  <c r="BC86" i="58"/>
  <c r="BE86" i="58" s="1"/>
  <c r="BB86" i="58"/>
  <c r="BD86" i="58" s="1"/>
  <c r="CC85" i="58"/>
  <c r="BN85" i="58"/>
  <c r="BM85" i="58"/>
  <c r="BL85" i="58"/>
  <c r="BK85" i="58"/>
  <c r="BJ85" i="58"/>
  <c r="BI85" i="58"/>
  <c r="BH85" i="58"/>
  <c r="BG85" i="58"/>
  <c r="BC85" i="58"/>
  <c r="BE85" i="58" s="1"/>
  <c r="BB85" i="58"/>
  <c r="BD85" i="58" s="1"/>
  <c r="CC84" i="58"/>
  <c r="BN84" i="58"/>
  <c r="BM84" i="58"/>
  <c r="BL84" i="58"/>
  <c r="BK84" i="58"/>
  <c r="BJ84" i="58"/>
  <c r="BI84" i="58"/>
  <c r="BH84" i="58"/>
  <c r="BG84" i="58"/>
  <c r="BE84" i="58"/>
  <c r="BC84" i="58"/>
  <c r="BB84" i="58"/>
  <c r="BD84" i="58" s="1"/>
  <c r="CC83" i="58"/>
  <c r="BN83" i="58"/>
  <c r="BM83" i="58"/>
  <c r="BL83" i="58"/>
  <c r="BK83" i="58"/>
  <c r="BJ83" i="58"/>
  <c r="BI83" i="58"/>
  <c r="BH83" i="58"/>
  <c r="BG83" i="58"/>
  <c r="BD83" i="58"/>
  <c r="BC83" i="58"/>
  <c r="BE83" i="58" s="1"/>
  <c r="BB83" i="58"/>
  <c r="CC82" i="58"/>
  <c r="BN82" i="58"/>
  <c r="BM82" i="58"/>
  <c r="BL82" i="58"/>
  <c r="BK82" i="58"/>
  <c r="BJ82" i="58"/>
  <c r="BI82" i="58"/>
  <c r="BH82" i="58"/>
  <c r="BG82" i="58"/>
  <c r="BD82" i="58"/>
  <c r="BC82" i="58"/>
  <c r="BE82" i="58" s="1"/>
  <c r="BB82" i="58"/>
  <c r="CC81" i="58"/>
  <c r="BN81" i="58"/>
  <c r="BM81" i="58"/>
  <c r="BL81" i="58"/>
  <c r="BK81" i="58"/>
  <c r="BJ81" i="58"/>
  <c r="BI81" i="58"/>
  <c r="BH81" i="58"/>
  <c r="BG81" i="58"/>
  <c r="BD81" i="58"/>
  <c r="BC81" i="58"/>
  <c r="BE81" i="58" s="1"/>
  <c r="BB81" i="58"/>
  <c r="CC80" i="58"/>
  <c r="BN80" i="58"/>
  <c r="BM80" i="58"/>
  <c r="BL80" i="58"/>
  <c r="BK80" i="58"/>
  <c r="BJ80" i="58"/>
  <c r="BI80" i="58"/>
  <c r="BH80" i="58"/>
  <c r="BG80" i="58"/>
  <c r="BC80" i="58"/>
  <c r="BE80" i="58" s="1"/>
  <c r="BB80" i="58"/>
  <c r="BD80" i="58" s="1"/>
  <c r="CC79" i="58"/>
  <c r="BN79" i="58"/>
  <c r="BM79" i="58"/>
  <c r="BL79" i="58"/>
  <c r="BK79" i="58"/>
  <c r="BJ79" i="58"/>
  <c r="BI79" i="58"/>
  <c r="BH79" i="58"/>
  <c r="BG79" i="58"/>
  <c r="BC79" i="58"/>
  <c r="BE79" i="58" s="1"/>
  <c r="BB79" i="58"/>
  <c r="BD79" i="58" s="1"/>
  <c r="CC78" i="58"/>
  <c r="BN78" i="58"/>
  <c r="BM78" i="58"/>
  <c r="BL78" i="58"/>
  <c r="BK78" i="58"/>
  <c r="BJ78" i="58"/>
  <c r="BI78" i="58"/>
  <c r="BH78" i="58"/>
  <c r="BG78" i="58"/>
  <c r="BC78" i="58"/>
  <c r="BE78" i="58" s="1"/>
  <c r="BB78" i="58"/>
  <c r="BD78" i="58" s="1"/>
  <c r="CC77" i="58"/>
  <c r="BN77" i="58"/>
  <c r="BM77" i="58"/>
  <c r="BL77" i="58"/>
  <c r="BK77" i="58"/>
  <c r="BJ77" i="58"/>
  <c r="BI77" i="58"/>
  <c r="BH77" i="58"/>
  <c r="BG77" i="58"/>
  <c r="BC77" i="58"/>
  <c r="BE77" i="58" s="1"/>
  <c r="BB77" i="58"/>
  <c r="BD77" i="58" s="1"/>
  <c r="CC76" i="58"/>
  <c r="BN76" i="58"/>
  <c r="BM76" i="58"/>
  <c r="BL76" i="58"/>
  <c r="BK76" i="58"/>
  <c r="BJ76" i="58"/>
  <c r="BI76" i="58"/>
  <c r="BH76" i="58"/>
  <c r="BG76" i="58"/>
  <c r="BC76" i="58"/>
  <c r="BE76" i="58" s="1"/>
  <c r="BB76" i="58"/>
  <c r="BD76" i="58" s="1"/>
  <c r="CC75" i="58"/>
  <c r="BN75" i="58"/>
  <c r="BM75" i="58"/>
  <c r="BL75" i="58"/>
  <c r="BK75" i="58"/>
  <c r="BJ75" i="58"/>
  <c r="BI75" i="58"/>
  <c r="BH75" i="58"/>
  <c r="BG75" i="58"/>
  <c r="BD75" i="58"/>
  <c r="BC75" i="58"/>
  <c r="BE75" i="58" s="1"/>
  <c r="BB75" i="58"/>
  <c r="CC74" i="58"/>
  <c r="BN74" i="58"/>
  <c r="BM74" i="58"/>
  <c r="BL74" i="58"/>
  <c r="BK74" i="58"/>
  <c r="BJ74" i="58"/>
  <c r="BI74" i="58"/>
  <c r="BF8" i="58" s="1"/>
  <c r="BH74" i="58"/>
  <c r="BG74" i="58"/>
  <c r="BE74" i="58"/>
  <c r="BD74" i="58"/>
  <c r="BC74" i="58"/>
  <c r="BB74" i="58"/>
  <c r="CC73" i="58"/>
  <c r="BC73" i="58"/>
  <c r="BE73" i="58" s="1"/>
  <c r="BB73" i="58"/>
  <c r="BD73" i="58" s="1"/>
  <c r="CC72" i="58"/>
  <c r="BC72" i="58"/>
  <c r="BE72" i="58" s="1"/>
  <c r="BB72" i="58"/>
  <c r="BD72" i="58" s="1"/>
  <c r="CC71" i="58"/>
  <c r="BC71" i="58"/>
  <c r="BE71" i="58" s="1"/>
  <c r="BB71" i="58"/>
  <c r="BD71" i="58" s="1"/>
  <c r="CC70" i="58"/>
  <c r="BC70" i="58"/>
  <c r="BE70" i="58" s="1"/>
  <c r="BB70" i="58"/>
  <c r="BD70" i="58" s="1"/>
  <c r="CC69" i="58"/>
  <c r="BQ69" i="58"/>
  <c r="BP69" i="58"/>
  <c r="BO69" i="58"/>
  <c r="BN69" i="58"/>
  <c r="BM69" i="58"/>
  <c r="BL69" i="58"/>
  <c r="BK69" i="58"/>
  <c r="BJ69" i="58"/>
  <c r="BI69" i="58"/>
  <c r="BH69" i="58"/>
  <c r="BC69" i="58"/>
  <c r="BE69" i="58" s="1"/>
  <c r="BB69" i="58"/>
  <c r="BD69" i="58" s="1"/>
  <c r="CE68" i="58"/>
  <c r="CD68" i="58"/>
  <c r="CC68" i="58"/>
  <c r="BQ68" i="58"/>
  <c r="BP68" i="58"/>
  <c r="BO68" i="58"/>
  <c r="BN68" i="58"/>
  <c r="BM68" i="58"/>
  <c r="BL68" i="58"/>
  <c r="BK68" i="58"/>
  <c r="BJ68" i="58"/>
  <c r="BI68" i="58"/>
  <c r="BH68" i="58"/>
  <c r="BD68" i="58"/>
  <c r="BC68" i="58"/>
  <c r="BE68" i="58" s="1"/>
  <c r="BB68" i="58"/>
  <c r="CC67" i="58"/>
  <c r="BQ67" i="58"/>
  <c r="BP67" i="58"/>
  <c r="BO67" i="58"/>
  <c r="BN67" i="58"/>
  <c r="BM67" i="58"/>
  <c r="BL67" i="58"/>
  <c r="BK67" i="58"/>
  <c r="BJ67" i="58"/>
  <c r="BI67" i="58"/>
  <c r="BH67" i="58"/>
  <c r="BC67" i="58"/>
  <c r="BE67" i="58" s="1"/>
  <c r="BB67" i="58"/>
  <c r="BD67" i="58" s="1"/>
  <c r="CC66" i="58"/>
  <c r="BQ66" i="58"/>
  <c r="BP66" i="58"/>
  <c r="BO66" i="58"/>
  <c r="BN66" i="58"/>
  <c r="BM66" i="58"/>
  <c r="BL66" i="58"/>
  <c r="BK66" i="58"/>
  <c r="BJ66" i="58"/>
  <c r="BI66" i="58"/>
  <c r="BH66" i="58"/>
  <c r="BC66" i="58"/>
  <c r="BE66" i="58" s="1"/>
  <c r="BB66" i="58"/>
  <c r="BD66" i="58" s="1"/>
  <c r="CC65" i="58"/>
  <c r="BQ65" i="58"/>
  <c r="BP65" i="58"/>
  <c r="BO65" i="58"/>
  <c r="BN65" i="58"/>
  <c r="BM65" i="58"/>
  <c r="BL65" i="58"/>
  <c r="BK65" i="58"/>
  <c r="BJ65" i="58"/>
  <c r="BI65" i="58"/>
  <c r="BH65" i="58"/>
  <c r="BD65" i="58"/>
  <c r="BC65" i="58"/>
  <c r="BE65" i="58" s="1"/>
  <c r="BB65" i="58"/>
  <c r="CC64" i="58"/>
  <c r="BQ64" i="58"/>
  <c r="BP64" i="58"/>
  <c r="BO64" i="58"/>
  <c r="BN64" i="58"/>
  <c r="BM64" i="58"/>
  <c r="BL64" i="58"/>
  <c r="BK64" i="58"/>
  <c r="BJ64" i="58"/>
  <c r="BI64" i="58"/>
  <c r="BH64" i="58"/>
  <c r="BC64" i="58"/>
  <c r="BE64" i="58" s="1"/>
  <c r="BB64" i="58"/>
  <c r="BD64" i="58" s="1"/>
  <c r="CC63" i="58"/>
  <c r="BQ63" i="58"/>
  <c r="BP63" i="58"/>
  <c r="BO63" i="58"/>
  <c r="BN63" i="58"/>
  <c r="BM63" i="58"/>
  <c r="BL63" i="58"/>
  <c r="BK63" i="58"/>
  <c r="BJ63" i="58"/>
  <c r="BI63" i="58"/>
  <c r="BH63" i="58"/>
  <c r="BC63" i="58"/>
  <c r="BE63" i="58" s="1"/>
  <c r="BB63" i="58"/>
  <c r="BD63" i="58" s="1"/>
  <c r="CC62" i="58"/>
  <c r="BQ62" i="58"/>
  <c r="BP62" i="58"/>
  <c r="BO62" i="58"/>
  <c r="BN62" i="58"/>
  <c r="BM62" i="58"/>
  <c r="BL62" i="58"/>
  <c r="BK62" i="58"/>
  <c r="BJ62" i="58"/>
  <c r="BI62" i="58"/>
  <c r="BH62" i="58"/>
  <c r="BC62" i="58"/>
  <c r="BE62" i="58" s="1"/>
  <c r="BB62" i="58"/>
  <c r="BD62" i="58" s="1"/>
  <c r="CC61" i="58"/>
  <c r="BQ61" i="58"/>
  <c r="BP61" i="58"/>
  <c r="BO61" i="58"/>
  <c r="BN61" i="58"/>
  <c r="BM61" i="58"/>
  <c r="BL61" i="58"/>
  <c r="BK61" i="58"/>
  <c r="BJ61" i="58"/>
  <c r="BI61" i="58"/>
  <c r="BH61" i="58"/>
  <c r="BC61" i="58"/>
  <c r="BE61" i="58" s="1"/>
  <c r="BB61" i="58"/>
  <c r="BD61" i="58" s="1"/>
  <c r="CC60" i="58"/>
  <c r="BQ60" i="58"/>
  <c r="BP60" i="58"/>
  <c r="BO60" i="58"/>
  <c r="BN60" i="58"/>
  <c r="BM60" i="58"/>
  <c r="BL60" i="58"/>
  <c r="BK60" i="58"/>
  <c r="BJ60" i="58"/>
  <c r="BI60" i="58"/>
  <c r="BH60" i="58"/>
  <c r="BD60" i="58"/>
  <c r="BC60" i="58"/>
  <c r="BE60" i="58" s="1"/>
  <c r="BB60" i="58"/>
  <c r="CC59" i="58"/>
  <c r="BQ59" i="58"/>
  <c r="BP59" i="58"/>
  <c r="BO59" i="58"/>
  <c r="BN59" i="58"/>
  <c r="BM59" i="58"/>
  <c r="BL59" i="58"/>
  <c r="BK59" i="58"/>
  <c r="BJ59" i="58"/>
  <c r="BI59" i="58"/>
  <c r="BH59" i="58"/>
  <c r="BC59" i="58"/>
  <c r="BE59" i="58" s="1"/>
  <c r="BB59" i="58"/>
  <c r="BD59" i="58" s="1"/>
  <c r="CC58" i="58"/>
  <c r="BQ58" i="58"/>
  <c r="BP58" i="58"/>
  <c r="BO58" i="58"/>
  <c r="BN58" i="58"/>
  <c r="BM58" i="58"/>
  <c r="BL58" i="58"/>
  <c r="BK58" i="58"/>
  <c r="BJ58" i="58"/>
  <c r="BI58" i="58"/>
  <c r="BH58" i="58"/>
  <c r="BC58" i="58"/>
  <c r="BE58" i="58" s="1"/>
  <c r="BB58" i="58"/>
  <c r="BD58" i="58" s="1"/>
  <c r="CC57" i="58"/>
  <c r="BQ57" i="58"/>
  <c r="BP57" i="58"/>
  <c r="BO57" i="58"/>
  <c r="BN57" i="58"/>
  <c r="BM57" i="58"/>
  <c r="BL57" i="58"/>
  <c r="BK57" i="58"/>
  <c r="BJ57" i="58"/>
  <c r="BI57" i="58"/>
  <c r="BH57" i="58"/>
  <c r="BE57" i="58"/>
  <c r="BD57" i="58"/>
  <c r="BC57" i="58"/>
  <c r="BB57" i="58"/>
  <c r="CC56" i="58"/>
  <c r="BQ56" i="58"/>
  <c r="BP56" i="58"/>
  <c r="BO56" i="58"/>
  <c r="BN56" i="58"/>
  <c r="BM56" i="58"/>
  <c r="BL56" i="58"/>
  <c r="BK56" i="58"/>
  <c r="BJ56" i="58"/>
  <c r="BI56" i="58"/>
  <c r="BH56" i="58"/>
  <c r="BC56" i="58"/>
  <c r="BE56" i="58" s="1"/>
  <c r="BB56" i="58"/>
  <c r="BD56" i="58" s="1"/>
  <c r="CC55" i="58"/>
  <c r="BQ55" i="58"/>
  <c r="BP55" i="58"/>
  <c r="BO55" i="58"/>
  <c r="BN55" i="58"/>
  <c r="BM55" i="58"/>
  <c r="BL55" i="58"/>
  <c r="BK55" i="58"/>
  <c r="BJ55" i="58"/>
  <c r="BI55" i="58"/>
  <c r="BH55" i="58"/>
  <c r="BC55" i="58"/>
  <c r="BE55" i="58" s="1"/>
  <c r="BB55" i="58"/>
  <c r="BD55" i="58" s="1"/>
  <c r="CC54" i="58"/>
  <c r="BQ54" i="58"/>
  <c r="BP54" i="58"/>
  <c r="BO54" i="58"/>
  <c r="BN54" i="58"/>
  <c r="BM54" i="58"/>
  <c r="BL54" i="58"/>
  <c r="BK54" i="58"/>
  <c r="BJ54" i="58"/>
  <c r="BI54" i="58"/>
  <c r="BH54" i="58"/>
  <c r="BC54" i="58"/>
  <c r="BE54" i="58" s="1"/>
  <c r="BB54" i="58"/>
  <c r="BD54" i="58" s="1"/>
  <c r="CC53" i="58"/>
  <c r="BQ53" i="58"/>
  <c r="BP53" i="58"/>
  <c r="BO53" i="58"/>
  <c r="BN53" i="58"/>
  <c r="BM53" i="58"/>
  <c r="BL53" i="58"/>
  <c r="BK53" i="58"/>
  <c r="BJ53" i="58"/>
  <c r="BI53" i="58"/>
  <c r="BH53" i="58"/>
  <c r="BC53" i="58"/>
  <c r="BE53" i="58" s="1"/>
  <c r="BB53" i="58"/>
  <c r="BD53" i="58" s="1"/>
  <c r="CC52" i="58"/>
  <c r="BQ52" i="58"/>
  <c r="BP52" i="58"/>
  <c r="BO52" i="58"/>
  <c r="BN52" i="58"/>
  <c r="BM52" i="58"/>
  <c r="BL52" i="58"/>
  <c r="BK52" i="58"/>
  <c r="BJ52" i="58"/>
  <c r="BI52" i="58"/>
  <c r="BH52" i="58"/>
  <c r="BC52" i="58"/>
  <c r="BE52" i="58" s="1"/>
  <c r="BB52" i="58"/>
  <c r="BD52" i="58" s="1"/>
  <c r="CC51" i="58"/>
  <c r="BQ51" i="58"/>
  <c r="BP51" i="58"/>
  <c r="BO51" i="58"/>
  <c r="BN51" i="58"/>
  <c r="BM51" i="58"/>
  <c r="BL51" i="58"/>
  <c r="BK51" i="58"/>
  <c r="BJ51" i="58"/>
  <c r="BI51" i="58"/>
  <c r="BH51" i="58"/>
  <c r="BC51" i="58"/>
  <c r="BE51" i="58" s="1"/>
  <c r="BB51" i="58"/>
  <c r="BD51" i="58" s="1"/>
  <c r="CC50" i="58"/>
  <c r="BQ50" i="58"/>
  <c r="BP50" i="58"/>
  <c r="BO50" i="58"/>
  <c r="BN50" i="58"/>
  <c r="BM50" i="58"/>
  <c r="BL50" i="58"/>
  <c r="BK50" i="58"/>
  <c r="BJ50" i="58"/>
  <c r="BI50" i="58"/>
  <c r="BH50" i="58"/>
  <c r="BC50" i="58"/>
  <c r="BE50" i="58" s="1"/>
  <c r="BB50" i="58"/>
  <c r="BD50" i="58" s="1"/>
  <c r="CC49" i="58"/>
  <c r="BQ49" i="58"/>
  <c r="BP49" i="58"/>
  <c r="BO49" i="58"/>
  <c r="BN49" i="58"/>
  <c r="BM49" i="58"/>
  <c r="BL49" i="58"/>
  <c r="BK49" i="58"/>
  <c r="BJ49" i="58"/>
  <c r="BI49" i="58"/>
  <c r="BH49" i="58"/>
  <c r="BG49" i="58"/>
  <c r="BF49" i="58"/>
  <c r="BC49" i="58"/>
  <c r="BE49" i="58" s="1"/>
  <c r="BB49" i="58"/>
  <c r="BD49" i="58" s="1"/>
  <c r="CC48" i="58"/>
  <c r="BQ48" i="58"/>
  <c r="BP48" i="58"/>
  <c r="BO48" i="58"/>
  <c r="BN48" i="58"/>
  <c r="BM48" i="58"/>
  <c r="BL48" i="58"/>
  <c r="BK48" i="58"/>
  <c r="BJ48" i="58"/>
  <c r="BI48" i="58"/>
  <c r="BH48" i="58"/>
  <c r="BG48" i="58"/>
  <c r="BF48" i="58"/>
  <c r="BC48" i="58"/>
  <c r="BE48" i="58" s="1"/>
  <c r="BB48" i="58"/>
  <c r="BD48" i="58" s="1"/>
  <c r="CC47" i="58"/>
  <c r="BW47" i="58"/>
  <c r="BV47" i="58"/>
  <c r="BU47" i="58"/>
  <c r="BT47" i="58"/>
  <c r="BQ47" i="58"/>
  <c r="BP47" i="58"/>
  <c r="BO47" i="58"/>
  <c r="BN47" i="58"/>
  <c r="BM47" i="58"/>
  <c r="BL47" i="58"/>
  <c r="BK47" i="58"/>
  <c r="BJ47" i="58"/>
  <c r="BI47" i="58"/>
  <c r="BH47" i="58"/>
  <c r="BG47" i="58"/>
  <c r="BF47" i="58"/>
  <c r="BD47" i="58"/>
  <c r="BC47" i="58"/>
  <c r="BE47" i="58" s="1"/>
  <c r="BB47" i="58"/>
  <c r="CC46" i="58"/>
  <c r="BQ46" i="58"/>
  <c r="BP46" i="58"/>
  <c r="BO46" i="58"/>
  <c r="BN46" i="58"/>
  <c r="BM46" i="58"/>
  <c r="BL46" i="58"/>
  <c r="BK46" i="58"/>
  <c r="BJ46" i="58"/>
  <c r="BI46" i="58"/>
  <c r="BH46" i="58"/>
  <c r="BG46" i="58"/>
  <c r="BF46" i="58"/>
  <c r="BC46" i="58"/>
  <c r="BE46" i="58" s="1"/>
  <c r="BB46" i="58"/>
  <c r="BD46" i="58" s="1"/>
  <c r="CC45" i="58"/>
  <c r="BQ45" i="58"/>
  <c r="BP45" i="58"/>
  <c r="BO45" i="58"/>
  <c r="BN45" i="58"/>
  <c r="BM45" i="58"/>
  <c r="BL45" i="58"/>
  <c r="BK45" i="58"/>
  <c r="BJ45" i="58"/>
  <c r="BI45" i="58"/>
  <c r="BH45" i="58"/>
  <c r="BG45" i="58"/>
  <c r="BF45" i="58"/>
  <c r="BC45" i="58"/>
  <c r="BE45" i="58" s="1"/>
  <c r="BB45" i="58"/>
  <c r="BD45" i="58" s="1"/>
  <c r="R45" i="58"/>
  <c r="Q45" i="58"/>
  <c r="P45" i="58"/>
  <c r="O45" i="58"/>
  <c r="N45" i="58"/>
  <c r="M45" i="58"/>
  <c r="L45" i="58"/>
  <c r="K45" i="58"/>
  <c r="J45" i="58"/>
  <c r="I45" i="58"/>
  <c r="H45" i="58"/>
  <c r="G45" i="58"/>
  <c r="F45" i="58"/>
  <c r="E45" i="58"/>
  <c r="D45" i="58"/>
  <c r="C45" i="58"/>
  <c r="B45" i="58"/>
  <c r="A45" i="58"/>
  <c r="CC44" i="58"/>
  <c r="BQ44" i="58"/>
  <c r="BP44" i="58"/>
  <c r="BO44" i="58"/>
  <c r="BN44" i="58"/>
  <c r="BM44" i="58"/>
  <c r="BL44" i="58"/>
  <c r="BK44" i="58"/>
  <c r="BJ44" i="58"/>
  <c r="BI44" i="58"/>
  <c r="BH44" i="58"/>
  <c r="BG44" i="58"/>
  <c r="BF44" i="58"/>
  <c r="BC44" i="58"/>
  <c r="BE44" i="58" s="1"/>
  <c r="BB44" i="58"/>
  <c r="BD44" i="58" s="1"/>
  <c r="R44" i="58"/>
  <c r="Q44" i="58"/>
  <c r="P44" i="58"/>
  <c r="O44" i="58"/>
  <c r="N44" i="58"/>
  <c r="M44" i="58"/>
  <c r="L44" i="58"/>
  <c r="K44" i="58"/>
  <c r="J44" i="58"/>
  <c r="I44" i="58"/>
  <c r="H44" i="58"/>
  <c r="G44" i="58"/>
  <c r="F44" i="58"/>
  <c r="E44" i="58"/>
  <c r="D44" i="58"/>
  <c r="C44" i="58"/>
  <c r="B44" i="58"/>
  <c r="A44" i="58"/>
  <c r="CC43" i="58"/>
  <c r="BQ43" i="58"/>
  <c r="BP43" i="58"/>
  <c r="BO43" i="58"/>
  <c r="BN43" i="58"/>
  <c r="BM43" i="58"/>
  <c r="BL43" i="58"/>
  <c r="BK43" i="58"/>
  <c r="BJ43" i="58"/>
  <c r="BI43" i="58"/>
  <c r="BH43" i="58"/>
  <c r="BG43" i="58"/>
  <c r="BF43" i="58"/>
  <c r="BC43" i="58"/>
  <c r="BE43" i="58" s="1"/>
  <c r="BB43" i="58"/>
  <c r="BD43" i="58" s="1"/>
  <c r="CE42" i="58"/>
  <c r="CD42" i="58"/>
  <c r="CC42" i="58"/>
  <c r="BQ42" i="58"/>
  <c r="BP42" i="58"/>
  <c r="BO42" i="58"/>
  <c r="BN42" i="58"/>
  <c r="BM42" i="58"/>
  <c r="BL42" i="58"/>
  <c r="BK42" i="58"/>
  <c r="BJ42" i="58"/>
  <c r="BI42" i="58"/>
  <c r="BH42" i="58"/>
  <c r="BG42" i="58"/>
  <c r="BF42" i="58"/>
  <c r="BC42" i="58"/>
  <c r="BE42" i="58" s="1"/>
  <c r="BB42" i="58"/>
  <c r="BD42" i="58" s="1"/>
  <c r="CC41" i="58"/>
  <c r="BQ41" i="58"/>
  <c r="BP41" i="58"/>
  <c r="BO41" i="58"/>
  <c r="BN41" i="58"/>
  <c r="BM41" i="58"/>
  <c r="BL41" i="58"/>
  <c r="BK41" i="58"/>
  <c r="BJ41" i="58"/>
  <c r="BI41" i="58"/>
  <c r="BH41" i="58"/>
  <c r="BG41" i="58"/>
  <c r="BF41" i="58"/>
  <c r="BC41" i="58"/>
  <c r="BE41" i="58" s="1"/>
  <c r="BB41" i="58"/>
  <c r="BD41" i="58" s="1"/>
  <c r="CC40" i="58"/>
  <c r="BQ40" i="58"/>
  <c r="BP40" i="58"/>
  <c r="BO40" i="58"/>
  <c r="BN40" i="58"/>
  <c r="BM40" i="58"/>
  <c r="BL40" i="58"/>
  <c r="BK40" i="58"/>
  <c r="BJ40" i="58"/>
  <c r="BI40" i="58"/>
  <c r="BH40" i="58"/>
  <c r="BG40" i="58"/>
  <c r="BF40" i="58"/>
  <c r="BC40" i="58"/>
  <c r="BE40" i="58" s="1"/>
  <c r="BB40" i="58"/>
  <c r="BD40" i="58" s="1"/>
  <c r="CC39" i="58"/>
  <c r="BD39" i="58"/>
  <c r="BC39" i="58"/>
  <c r="BE39" i="58" s="1"/>
  <c r="BB39" i="58"/>
  <c r="CC38" i="58"/>
  <c r="BC38" i="58"/>
  <c r="BE38" i="58" s="1"/>
  <c r="BB38" i="58"/>
  <c r="BD38" i="58" s="1"/>
  <c r="CC37" i="58"/>
  <c r="BW37" i="58"/>
  <c r="BW67" i="58" s="1"/>
  <c r="BV37" i="58"/>
  <c r="BV67" i="58" s="1"/>
  <c r="BU37" i="58"/>
  <c r="BU67" i="58" s="1"/>
  <c r="BT37" i="58"/>
  <c r="BT67" i="58" s="1"/>
  <c r="BR37" i="58"/>
  <c r="BQ37" i="58"/>
  <c r="BP37" i="58"/>
  <c r="BO37" i="58"/>
  <c r="BN37" i="58"/>
  <c r="BM37" i="58"/>
  <c r="BL37" i="58"/>
  <c r="BK37" i="58"/>
  <c r="BJ37" i="58"/>
  <c r="BI37" i="58"/>
  <c r="BH37" i="58"/>
  <c r="BG37" i="58"/>
  <c r="BC37" i="58"/>
  <c r="BE37" i="58" s="1"/>
  <c r="BB37" i="58"/>
  <c r="BD37" i="58" s="1"/>
  <c r="CC36" i="58"/>
  <c r="BW36" i="58"/>
  <c r="CE113" i="58" s="1"/>
  <c r="BV36" i="58"/>
  <c r="CE87" i="58" s="1"/>
  <c r="BU36" i="58"/>
  <c r="BT36" i="58"/>
  <c r="CE35" i="58" s="1"/>
  <c r="BR36" i="58"/>
  <c r="BQ36" i="58"/>
  <c r="BP36" i="58"/>
  <c r="BO36" i="58"/>
  <c r="BN36" i="58"/>
  <c r="BM36" i="58"/>
  <c r="BL36" i="58"/>
  <c r="BK36" i="58"/>
  <c r="BJ36" i="58"/>
  <c r="BI36" i="58"/>
  <c r="BH36" i="58"/>
  <c r="BG36" i="58"/>
  <c r="BE36" i="58"/>
  <c r="BD36" i="58"/>
  <c r="BC36" i="58"/>
  <c r="BB36" i="58"/>
  <c r="CC35" i="58"/>
  <c r="BW35" i="58"/>
  <c r="CD112" i="58" s="1"/>
  <c r="BV35" i="58"/>
  <c r="CE86" i="58" s="1"/>
  <c r="BU35" i="58"/>
  <c r="BT35" i="58"/>
  <c r="CE34" i="58" s="1"/>
  <c r="BR35" i="58"/>
  <c r="BQ35" i="58"/>
  <c r="BP35" i="58"/>
  <c r="BO35" i="58"/>
  <c r="BN35" i="58"/>
  <c r="BM35" i="58"/>
  <c r="BL35" i="58"/>
  <c r="BK35" i="58"/>
  <c r="BJ35" i="58"/>
  <c r="BI35" i="58"/>
  <c r="BH35" i="58"/>
  <c r="BG35" i="58"/>
  <c r="BC35" i="58"/>
  <c r="BE35" i="58" s="1"/>
  <c r="BB35" i="58"/>
  <c r="BD35" i="58" s="1"/>
  <c r="AK35" i="58"/>
  <c r="AI35" i="58"/>
  <c r="AG35" i="58"/>
  <c r="CC34" i="58"/>
  <c r="BW34" i="58"/>
  <c r="CD111" i="58" s="1"/>
  <c r="BV34" i="58"/>
  <c r="CD85" i="58" s="1"/>
  <c r="BU34" i="58"/>
  <c r="BU64" i="58" s="1"/>
  <c r="BT34" i="58"/>
  <c r="CD33" i="58" s="1"/>
  <c r="BR34" i="58"/>
  <c r="BQ34" i="58"/>
  <c r="BP34" i="58"/>
  <c r="BO34" i="58"/>
  <c r="BN34" i="58"/>
  <c r="BM34" i="58"/>
  <c r="BL34" i="58"/>
  <c r="BK34" i="58"/>
  <c r="BJ34" i="58"/>
  <c r="BI34" i="58"/>
  <c r="BH34" i="58"/>
  <c r="BG34" i="58"/>
  <c r="BC34" i="58"/>
  <c r="BE34" i="58" s="1"/>
  <c r="BB34" i="58"/>
  <c r="BD34" i="58" s="1"/>
  <c r="AI34" i="58"/>
  <c r="CC33" i="58"/>
  <c r="BW33" i="58"/>
  <c r="BW63" i="58" s="1"/>
  <c r="BV33" i="58"/>
  <c r="BV63" i="58" s="1"/>
  <c r="BU33" i="58"/>
  <c r="CE58" i="58" s="1"/>
  <c r="BT33" i="58"/>
  <c r="BT63" i="58" s="1"/>
  <c r="BR33" i="58"/>
  <c r="BQ33" i="58"/>
  <c r="BP33" i="58"/>
  <c r="BO33" i="58"/>
  <c r="BN33" i="58"/>
  <c r="BM33" i="58"/>
  <c r="BL33" i="58"/>
  <c r="BK33" i="58"/>
  <c r="BJ33" i="58"/>
  <c r="BI33" i="58"/>
  <c r="BH33" i="58"/>
  <c r="BG33" i="58"/>
  <c r="BC33" i="58"/>
  <c r="BE33" i="58" s="1"/>
  <c r="BB33" i="58"/>
  <c r="BD33" i="58" s="1"/>
  <c r="CC32" i="58"/>
  <c r="BW32" i="58"/>
  <c r="BW62" i="58" s="1"/>
  <c r="BV32" i="58"/>
  <c r="BV62" i="58" s="1"/>
  <c r="BU32" i="58"/>
  <c r="BU62" i="58" s="1"/>
  <c r="BT32" i="58"/>
  <c r="BT62" i="58" s="1"/>
  <c r="BR32" i="58"/>
  <c r="BQ32" i="58"/>
  <c r="BP32" i="58"/>
  <c r="BO32" i="58"/>
  <c r="BN32" i="58"/>
  <c r="BM32" i="58"/>
  <c r="BL32" i="58"/>
  <c r="BK32" i="58"/>
  <c r="BJ32" i="58"/>
  <c r="BI32" i="58"/>
  <c r="BH32" i="58"/>
  <c r="BG32" i="58"/>
  <c r="BC32" i="58"/>
  <c r="BE32" i="58" s="1"/>
  <c r="BB32" i="58"/>
  <c r="BD32" i="58" s="1"/>
  <c r="CC31" i="58"/>
  <c r="BW31" i="58"/>
  <c r="CE108" i="58" s="1"/>
  <c r="BV31" i="58"/>
  <c r="CE82" i="58" s="1"/>
  <c r="BU31" i="58"/>
  <c r="CE56" i="58" s="1"/>
  <c r="BT31" i="58"/>
  <c r="BT61" i="58" s="1"/>
  <c r="BR31" i="58"/>
  <c r="BQ31" i="58"/>
  <c r="BP31" i="58"/>
  <c r="BO31" i="58"/>
  <c r="BN31" i="58"/>
  <c r="BM31" i="58"/>
  <c r="BL31" i="58"/>
  <c r="BK31" i="58"/>
  <c r="BJ31" i="58"/>
  <c r="BI31" i="58"/>
  <c r="BH31" i="58"/>
  <c r="BG31" i="58"/>
  <c r="BC31" i="58"/>
  <c r="BE31" i="58" s="1"/>
  <c r="BB31" i="58"/>
  <c r="BD31" i="58" s="1"/>
  <c r="CC30" i="58"/>
  <c r="BW30" i="58"/>
  <c r="CE107" i="58" s="1"/>
  <c r="BV30" i="58"/>
  <c r="CE81" i="58" s="1"/>
  <c r="BU30" i="58"/>
  <c r="CE55" i="58" s="1"/>
  <c r="BT30" i="58"/>
  <c r="BT60" i="58" s="1"/>
  <c r="BR30" i="58"/>
  <c r="BQ30" i="58"/>
  <c r="BP30" i="58"/>
  <c r="BO30" i="58"/>
  <c r="BN30" i="58"/>
  <c r="BM30" i="58"/>
  <c r="BL30" i="58"/>
  <c r="BK30" i="58"/>
  <c r="BJ30" i="58"/>
  <c r="BI30" i="58"/>
  <c r="BH30" i="58"/>
  <c r="BG30" i="58"/>
  <c r="BD30" i="58"/>
  <c r="BC30" i="58"/>
  <c r="BE30" i="58" s="1"/>
  <c r="BB30" i="58"/>
  <c r="AX30" i="58"/>
  <c r="AV30" i="58"/>
  <c r="AT30" i="58"/>
  <c r="AR30" i="58" s="1"/>
  <c r="AP30" i="58"/>
  <c r="AN30" i="58" s="1"/>
  <c r="AL30" i="58"/>
  <c r="AJ30" i="58" s="1"/>
  <c r="AH30" i="58"/>
  <c r="AF30" i="58" s="1"/>
  <c r="CC29" i="58"/>
  <c r="BW29" i="58"/>
  <c r="BV29" i="58"/>
  <c r="BV59" i="58" s="1"/>
  <c r="BU29" i="58"/>
  <c r="BU59" i="58" s="1"/>
  <c r="BT29" i="58"/>
  <c r="BT59" i="58" s="1"/>
  <c r="BR29" i="58"/>
  <c r="BQ29" i="58"/>
  <c r="BP29" i="58"/>
  <c r="BO29" i="58"/>
  <c r="BN29" i="58"/>
  <c r="BM29" i="58"/>
  <c r="BL29" i="58"/>
  <c r="BK29" i="58"/>
  <c r="BJ29" i="58"/>
  <c r="BI29" i="58"/>
  <c r="BH29" i="58"/>
  <c r="BG29" i="58"/>
  <c r="BC29" i="58"/>
  <c r="BE29" i="58" s="1"/>
  <c r="BB29" i="58"/>
  <c r="BD29" i="58" s="1"/>
  <c r="CC28" i="58"/>
  <c r="BW28" i="58"/>
  <c r="BV28" i="58"/>
  <c r="CE79" i="58" s="1"/>
  <c r="BU28" i="58"/>
  <c r="CE53" i="58" s="1"/>
  <c r="BT28" i="58"/>
  <c r="CE27" i="58" s="1"/>
  <c r="BR28" i="58"/>
  <c r="BQ28" i="58"/>
  <c r="BP28" i="58"/>
  <c r="BO28" i="58"/>
  <c r="BN28" i="58"/>
  <c r="BM28" i="58"/>
  <c r="BL28" i="58"/>
  <c r="BK28" i="58"/>
  <c r="BJ28" i="58"/>
  <c r="BI28" i="58"/>
  <c r="BH28" i="58"/>
  <c r="BG28" i="58"/>
  <c r="BC28" i="58"/>
  <c r="BE28" i="58" s="1"/>
  <c r="BB28" i="58"/>
  <c r="BD28" i="58" s="1"/>
  <c r="CC27" i="58"/>
  <c r="BW27" i="58"/>
  <c r="CD104" i="58" s="1"/>
  <c r="BV27" i="58"/>
  <c r="CE78" i="58" s="1"/>
  <c r="BU27" i="58"/>
  <c r="CD52" i="58" s="1"/>
  <c r="BT27" i="58"/>
  <c r="CE26" i="58" s="1"/>
  <c r="BR27" i="58"/>
  <c r="BQ27" i="58"/>
  <c r="BP27" i="58"/>
  <c r="BO27" i="58"/>
  <c r="BN27" i="58"/>
  <c r="BM27" i="58"/>
  <c r="BL27" i="58"/>
  <c r="BK27" i="58"/>
  <c r="BJ27" i="58"/>
  <c r="BI27" i="58"/>
  <c r="BH27" i="58"/>
  <c r="BG27" i="58"/>
  <c r="BC27" i="58"/>
  <c r="BE27" i="58" s="1"/>
  <c r="BB27" i="58"/>
  <c r="BD27" i="58" s="1"/>
  <c r="CC26" i="58"/>
  <c r="BW26" i="58"/>
  <c r="CD103" i="58" s="1"/>
  <c r="BV26" i="58"/>
  <c r="CD77" i="58" s="1"/>
  <c r="BU26" i="58"/>
  <c r="BU56" i="58" s="1"/>
  <c r="BT26" i="58"/>
  <c r="CE25" i="58" s="1"/>
  <c r="BR26" i="58"/>
  <c r="BQ26" i="58"/>
  <c r="BP26" i="58"/>
  <c r="BO26" i="58"/>
  <c r="BN26" i="58"/>
  <c r="BM26" i="58"/>
  <c r="BL26" i="58"/>
  <c r="BK26" i="58"/>
  <c r="BJ26" i="58"/>
  <c r="BI26" i="58"/>
  <c r="BH26" i="58"/>
  <c r="BG26" i="58"/>
  <c r="BE26" i="58"/>
  <c r="BC26" i="58"/>
  <c r="BB26" i="58"/>
  <c r="BD26" i="58" s="1"/>
  <c r="CC25" i="58"/>
  <c r="BW25" i="58"/>
  <c r="BW55" i="58" s="1"/>
  <c r="BV25" i="58"/>
  <c r="BU25" i="58"/>
  <c r="CE50" i="58" s="1"/>
  <c r="BT25" i="58"/>
  <c r="CE24" i="58" s="1"/>
  <c r="BR25" i="58"/>
  <c r="BQ25" i="58"/>
  <c r="BP25" i="58"/>
  <c r="BO25" i="58"/>
  <c r="BN25" i="58"/>
  <c r="BM25" i="58"/>
  <c r="BL25" i="58"/>
  <c r="BK25" i="58"/>
  <c r="BJ25" i="58"/>
  <c r="BI25" i="58"/>
  <c r="BH25" i="58"/>
  <c r="BG25" i="58"/>
  <c r="BC25" i="58"/>
  <c r="BE25" i="58" s="1"/>
  <c r="BB25" i="58"/>
  <c r="BD25" i="58" s="1"/>
  <c r="CC24" i="58"/>
  <c r="BW24" i="58"/>
  <c r="BV24" i="58"/>
  <c r="BU24" i="58"/>
  <c r="CD49" i="58" s="1"/>
  <c r="BT24" i="58"/>
  <c r="BR24" i="58"/>
  <c r="BQ24" i="58"/>
  <c r="BP24" i="58"/>
  <c r="BO24" i="58"/>
  <c r="BN24" i="58"/>
  <c r="BM24" i="58"/>
  <c r="BL24" i="58"/>
  <c r="BK24" i="58"/>
  <c r="BJ24" i="58"/>
  <c r="BI24" i="58"/>
  <c r="BH24" i="58"/>
  <c r="BG24" i="58"/>
  <c r="BC24" i="58"/>
  <c r="BE24" i="58" s="1"/>
  <c r="BB24" i="58"/>
  <c r="BD24" i="58" s="1"/>
  <c r="CC23" i="58"/>
  <c r="BW23" i="58"/>
  <c r="BV23" i="58"/>
  <c r="BU23" i="58"/>
  <c r="BT23" i="58"/>
  <c r="CD22" i="58" s="1"/>
  <c r="BR23" i="58"/>
  <c r="BQ23" i="58"/>
  <c r="BP23" i="58"/>
  <c r="BO23" i="58"/>
  <c r="BN23" i="58"/>
  <c r="BM23" i="58"/>
  <c r="BL23" i="58"/>
  <c r="BK23" i="58"/>
  <c r="BJ23" i="58"/>
  <c r="BI23" i="58"/>
  <c r="BH23" i="58"/>
  <c r="BG23" i="58"/>
  <c r="BC23" i="58"/>
  <c r="BE23" i="58" s="1"/>
  <c r="BB23" i="58"/>
  <c r="BD23" i="58" s="1"/>
  <c r="I23" i="58"/>
  <c r="R38" i="58" s="1"/>
  <c r="H23" i="58"/>
  <c r="R37" i="58" s="1"/>
  <c r="CC22" i="58"/>
  <c r="BW22" i="58"/>
  <c r="BV22" i="58"/>
  <c r="BU22" i="58"/>
  <c r="BT22" i="58"/>
  <c r="BT52" i="58" s="1"/>
  <c r="BR22" i="58"/>
  <c r="BQ22" i="58"/>
  <c r="BP22" i="58"/>
  <c r="BO22" i="58"/>
  <c r="BN22" i="58"/>
  <c r="BM22" i="58"/>
  <c r="BL22" i="58"/>
  <c r="BK22" i="58"/>
  <c r="BJ22" i="58"/>
  <c r="BI22" i="58"/>
  <c r="BH22" i="58"/>
  <c r="BG22" i="58"/>
  <c r="BC22" i="58"/>
  <c r="BE22" i="58" s="1"/>
  <c r="BB22" i="58"/>
  <c r="BD22" i="58" s="1"/>
  <c r="CC21" i="58"/>
  <c r="BW21" i="58"/>
  <c r="BV21" i="58"/>
  <c r="BU21" i="58"/>
  <c r="BT21" i="58"/>
  <c r="BT51" i="58" s="1"/>
  <c r="BR21" i="58"/>
  <c r="BQ21" i="58"/>
  <c r="BP21" i="58"/>
  <c r="BO21" i="58"/>
  <c r="BN21" i="58"/>
  <c r="BM21" i="58"/>
  <c r="BL21" i="58"/>
  <c r="BK21" i="58"/>
  <c r="BJ21" i="58"/>
  <c r="BI21" i="58"/>
  <c r="BH21" i="58"/>
  <c r="BG21" i="58"/>
  <c r="BC21" i="58"/>
  <c r="BE21" i="58" s="1"/>
  <c r="BB21" i="58"/>
  <c r="BD21" i="58" s="1"/>
  <c r="CC20" i="58"/>
  <c r="BW20" i="58"/>
  <c r="CE97" i="58" s="1"/>
  <c r="BV20" i="58"/>
  <c r="BU20" i="58"/>
  <c r="BT20" i="58"/>
  <c r="CE19" i="58" s="1"/>
  <c r="BR20" i="58"/>
  <c r="BQ20" i="58"/>
  <c r="BP20" i="58"/>
  <c r="BO20" i="58"/>
  <c r="BN20" i="58"/>
  <c r="BM20" i="58"/>
  <c r="BL20" i="58"/>
  <c r="BK20" i="58"/>
  <c r="BJ20" i="58"/>
  <c r="BI20" i="58"/>
  <c r="BH20" i="58"/>
  <c r="BG20" i="58"/>
  <c r="BC20" i="58"/>
  <c r="BE20" i="58" s="1"/>
  <c r="BB20" i="58"/>
  <c r="BD20" i="58" s="1"/>
  <c r="CC19" i="58"/>
  <c r="BW19" i="58"/>
  <c r="CD96" i="58" s="1"/>
  <c r="BV19" i="58"/>
  <c r="BU19" i="58"/>
  <c r="BT19" i="58"/>
  <c r="CD18" i="58" s="1"/>
  <c r="BR19" i="58"/>
  <c r="BQ19" i="58"/>
  <c r="BP19" i="58"/>
  <c r="BO19" i="58"/>
  <c r="BN19" i="58"/>
  <c r="BM19" i="58"/>
  <c r="BL19" i="58"/>
  <c r="BK19" i="58"/>
  <c r="BJ19" i="58"/>
  <c r="BI19" i="58"/>
  <c r="BH19" i="58"/>
  <c r="BG19" i="58"/>
  <c r="BC19" i="58"/>
  <c r="BE19" i="58" s="1"/>
  <c r="BB19" i="58"/>
  <c r="BD19" i="58" s="1"/>
  <c r="CC18" i="58"/>
  <c r="BW18" i="58"/>
  <c r="BV18" i="58"/>
  <c r="BU18" i="58"/>
  <c r="BT18" i="58"/>
  <c r="BT48" i="58" s="1"/>
  <c r="BR18" i="58"/>
  <c r="BQ18" i="58"/>
  <c r="BP18" i="58"/>
  <c r="BO18" i="58"/>
  <c r="BN18" i="58"/>
  <c r="BM18" i="58"/>
  <c r="BL18" i="58"/>
  <c r="BK18" i="58"/>
  <c r="BJ18" i="58"/>
  <c r="BI18" i="58"/>
  <c r="BH18" i="58"/>
  <c r="BG18" i="58"/>
  <c r="BC18" i="58"/>
  <c r="BE18" i="58" s="1"/>
  <c r="BB18" i="58"/>
  <c r="BD18" i="58" s="1"/>
  <c r="CC17" i="58"/>
  <c r="CA17" i="58"/>
  <c r="BS9" i="58" s="1"/>
  <c r="BZ17" i="58"/>
  <c r="BZ39" i="58" s="1"/>
  <c r="BY17" i="58"/>
  <c r="BY39" i="58" s="1"/>
  <c r="BX17" i="58"/>
  <c r="BR17" i="58"/>
  <c r="BQ17" i="58"/>
  <c r="BP17" i="58"/>
  <c r="BO17" i="58"/>
  <c r="BN17" i="58"/>
  <c r="BM17" i="58"/>
  <c r="BL17" i="58"/>
  <c r="BK17" i="58"/>
  <c r="BJ17" i="58"/>
  <c r="BI17" i="58"/>
  <c r="BH17" i="58"/>
  <c r="BG17" i="58"/>
  <c r="BC17" i="58"/>
  <c r="BE17" i="58" s="1"/>
  <c r="BB17" i="58"/>
  <c r="BD17" i="58" s="1"/>
  <c r="CE16" i="58"/>
  <c r="CD16" i="58"/>
  <c r="CC16" i="58"/>
  <c r="BW16" i="58"/>
  <c r="BV16" i="58"/>
  <c r="BU16" i="58"/>
  <c r="BT16" i="58"/>
  <c r="BT46" i="58" s="1"/>
  <c r="BR16" i="58"/>
  <c r="BQ16" i="58"/>
  <c r="BP16" i="58"/>
  <c r="BO16" i="58"/>
  <c r="BN16" i="58"/>
  <c r="BM16" i="58"/>
  <c r="BL16" i="58"/>
  <c r="BK16" i="58"/>
  <c r="BJ16" i="58"/>
  <c r="BI16" i="58"/>
  <c r="BH16" i="58"/>
  <c r="BG16" i="58"/>
  <c r="BC16" i="58"/>
  <c r="BE16" i="58" s="1"/>
  <c r="BB16" i="58"/>
  <c r="BD16" i="58" s="1"/>
  <c r="CC15" i="58"/>
  <c r="BW15" i="58"/>
  <c r="BV15" i="58"/>
  <c r="BU15" i="58"/>
  <c r="BT15" i="58"/>
  <c r="BR15" i="58"/>
  <c r="BQ15" i="58"/>
  <c r="BP15" i="58"/>
  <c r="BO15" i="58"/>
  <c r="BN15" i="58"/>
  <c r="BM15" i="58"/>
  <c r="BL15" i="58"/>
  <c r="BK15" i="58"/>
  <c r="BJ15" i="58"/>
  <c r="BI15" i="58"/>
  <c r="BH15" i="58"/>
  <c r="BG15" i="58"/>
  <c r="BC15" i="58"/>
  <c r="BE15" i="58" s="1"/>
  <c r="BB15" i="58"/>
  <c r="BD15" i="58" s="1"/>
  <c r="CC14" i="58"/>
  <c r="BW14" i="58"/>
  <c r="BV14" i="58"/>
  <c r="BU14" i="58"/>
  <c r="BT14" i="58"/>
  <c r="BT44" i="58" s="1"/>
  <c r="BR14" i="58"/>
  <c r="BQ14" i="58"/>
  <c r="BP14" i="58"/>
  <c r="BO14" i="58"/>
  <c r="BN14" i="58"/>
  <c r="BM14" i="58"/>
  <c r="BL14" i="58"/>
  <c r="BK14" i="58"/>
  <c r="BJ14" i="58"/>
  <c r="BI14" i="58"/>
  <c r="BH14" i="58"/>
  <c r="BG14" i="58"/>
  <c r="BC14" i="58"/>
  <c r="BE14" i="58" s="1"/>
  <c r="BB14" i="58"/>
  <c r="BD14" i="58" s="1"/>
  <c r="CC13" i="58"/>
  <c r="BW13" i="58"/>
  <c r="BV13" i="58"/>
  <c r="BU13" i="58"/>
  <c r="BT13" i="58"/>
  <c r="BT43" i="58" s="1"/>
  <c r="BR13" i="58"/>
  <c r="BQ13" i="58"/>
  <c r="BP13" i="58"/>
  <c r="BO13" i="58"/>
  <c r="BN13" i="58"/>
  <c r="BM13" i="58"/>
  <c r="BL13" i="58"/>
  <c r="BK13" i="58"/>
  <c r="BJ13" i="58"/>
  <c r="BI13" i="58"/>
  <c r="BH13" i="58"/>
  <c r="BG13" i="58"/>
  <c r="BE13" i="58"/>
  <c r="BC13" i="58"/>
  <c r="BB13" i="58"/>
  <c r="CC12" i="58"/>
  <c r="BW12" i="58"/>
  <c r="BV12" i="58"/>
  <c r="BU12" i="58"/>
  <c r="BT12" i="58"/>
  <c r="BR12" i="58"/>
  <c r="BQ12" i="58"/>
  <c r="BP12" i="58"/>
  <c r="BO12" i="58"/>
  <c r="BN12" i="58"/>
  <c r="BM12" i="58"/>
  <c r="BL12" i="58"/>
  <c r="BK12" i="58"/>
  <c r="BJ12" i="58"/>
  <c r="BI12" i="58"/>
  <c r="BH12" i="58"/>
  <c r="BG12" i="58"/>
  <c r="CC11" i="58"/>
  <c r="Y6" i="58"/>
  <c r="Y48" i="58" s="1"/>
  <c r="Y91" i="58" s="1"/>
  <c r="Y134" i="58" s="1"/>
  <c r="Y177" i="58" s="1"/>
  <c r="Y220" i="58" s="1"/>
  <c r="W5" i="58"/>
  <c r="W47" i="58" s="1"/>
  <c r="W90" i="58" s="1"/>
  <c r="W133" i="58" s="1"/>
  <c r="W176" i="58" s="1"/>
  <c r="W219" i="58" s="1"/>
  <c r="S5" i="58"/>
  <c r="P5" i="58"/>
  <c r="N5" i="58"/>
  <c r="H5" i="58"/>
  <c r="F5" i="58"/>
  <c r="C5" i="58"/>
  <c r="BS4" i="58"/>
  <c r="BR4" i="58"/>
  <c r="BQ4" i="58"/>
  <c r="BP4" i="58"/>
  <c r="C4" i="58"/>
  <c r="BS3" i="58"/>
  <c r="BR3" i="58"/>
  <c r="BQ3" i="58"/>
  <c r="BP3" i="58"/>
  <c r="R3" i="58"/>
  <c r="Q3" i="58"/>
  <c r="P3" i="58"/>
  <c r="O3" i="58"/>
  <c r="N3" i="58"/>
  <c r="M3" i="58"/>
  <c r="L3" i="58"/>
  <c r="K3" i="58"/>
  <c r="J3" i="58"/>
  <c r="I3" i="58"/>
  <c r="H3" i="58"/>
  <c r="G3" i="58"/>
  <c r="F3" i="58"/>
  <c r="E3" i="58"/>
  <c r="D3" i="58"/>
  <c r="C3" i="58"/>
  <c r="B3" i="58"/>
  <c r="A3" i="58"/>
  <c r="R2" i="58"/>
  <c r="Q2" i="58"/>
  <c r="P2" i="58"/>
  <c r="O2" i="58"/>
  <c r="N2" i="58"/>
  <c r="M2" i="58"/>
  <c r="L2" i="58"/>
  <c r="K2" i="58"/>
  <c r="J2" i="58"/>
  <c r="I2" i="58"/>
  <c r="H2" i="58"/>
  <c r="G2" i="58"/>
  <c r="F2" i="58"/>
  <c r="E2" i="58"/>
  <c r="D2" i="58"/>
  <c r="C2" i="58"/>
  <c r="B2" i="58"/>
  <c r="A2" i="58"/>
  <c r="AI20" i="56"/>
  <c r="AD20" i="56"/>
  <c r="W14" i="56"/>
  <c r="U13" i="56"/>
  <c r="R13" i="56"/>
  <c r="U18" i="56" s="1"/>
  <c r="BB23" i="56" s="1"/>
  <c r="R20" i="56" s="1"/>
  <c r="O13" i="56"/>
  <c r="M18" i="56" s="1"/>
  <c r="M13" i="56"/>
  <c r="J13" i="56"/>
  <c r="K18" i="56" s="1"/>
  <c r="BB21" i="56" s="1"/>
  <c r="H20" i="56" s="1"/>
  <c r="G13" i="56"/>
  <c r="C18" i="56" s="1"/>
  <c r="E13" i="56"/>
  <c r="C13" i="56"/>
  <c r="C12" i="56"/>
  <c r="BG151" i="65"/>
  <c r="BE151" i="65" s="1"/>
  <c r="BD151" i="65"/>
  <c r="BC151" i="65"/>
  <c r="BB151" i="65"/>
  <c r="BG150" i="65"/>
  <c r="BE150" i="65" s="1"/>
  <c r="BD150" i="65"/>
  <c r="BC150" i="65"/>
  <c r="BB150" i="65"/>
  <c r="BG149" i="65"/>
  <c r="BE149" i="65" s="1"/>
  <c r="BD149" i="65"/>
  <c r="BC149" i="65"/>
  <c r="BB149" i="65"/>
  <c r="BD148" i="65"/>
  <c r="BC148" i="65"/>
  <c r="BB148" i="65"/>
  <c r="BG147" i="65"/>
  <c r="BD147" i="65"/>
  <c r="BC147" i="65"/>
  <c r="BB147" i="65"/>
  <c r="BG146" i="65"/>
  <c r="BD146" i="65"/>
  <c r="BC146" i="65"/>
  <c r="BB146" i="65"/>
  <c r="BG145" i="65"/>
  <c r="BD145" i="65"/>
  <c r="BC145" i="65"/>
  <c r="BB145" i="65"/>
  <c r="BD144" i="65"/>
  <c r="BC144" i="65"/>
  <c r="BB144" i="65"/>
  <c r="BG143" i="65"/>
  <c r="BF143" i="65" s="1"/>
  <c r="BD143" i="65"/>
  <c r="BC143" i="65"/>
  <c r="BB143" i="65"/>
  <c r="BG142" i="65"/>
  <c r="BF142" i="65" s="1"/>
  <c r="BD142" i="65"/>
  <c r="BC142" i="65"/>
  <c r="BB142" i="65"/>
  <c r="BG141" i="65"/>
  <c r="BF141" i="65" s="1"/>
  <c r="BD141" i="65"/>
  <c r="BC141" i="65"/>
  <c r="BB141" i="65"/>
  <c r="BD140" i="65"/>
  <c r="BC140" i="65"/>
  <c r="BB140" i="65"/>
  <c r="BG139" i="65"/>
  <c r="BI139" i="65" s="1"/>
  <c r="BD139" i="65"/>
  <c r="BC139" i="65"/>
  <c r="BB139" i="65"/>
  <c r="BG138" i="65"/>
  <c r="BI138" i="65" s="1"/>
  <c r="BD138" i="65"/>
  <c r="BC138" i="65"/>
  <c r="BB138" i="65"/>
  <c r="BG137" i="65"/>
  <c r="BI137" i="65" s="1"/>
  <c r="BD137" i="65"/>
  <c r="BC137" i="65"/>
  <c r="BB137" i="65"/>
  <c r="BD136" i="65"/>
  <c r="BC136" i="65"/>
  <c r="BB136" i="65"/>
  <c r="BG135" i="65"/>
  <c r="BF135" i="65" s="1"/>
  <c r="BD135" i="65"/>
  <c r="BC135" i="65"/>
  <c r="BB135" i="65"/>
  <c r="BG134" i="65"/>
  <c r="BI134" i="65" s="1"/>
  <c r="BD134" i="65"/>
  <c r="BC134" i="65"/>
  <c r="BB134" i="65"/>
  <c r="BG133" i="65"/>
  <c r="BI133" i="65" s="1"/>
  <c r="BD133" i="65"/>
  <c r="BC133" i="65"/>
  <c r="BB133" i="65"/>
  <c r="BD132" i="65"/>
  <c r="BC132" i="65"/>
  <c r="BB132" i="65"/>
  <c r="BG131" i="65"/>
  <c r="BI131" i="65" s="1"/>
  <c r="BD131" i="65"/>
  <c r="BC131" i="65"/>
  <c r="BB131" i="65"/>
  <c r="BG130" i="65"/>
  <c r="BE130" i="65" s="1"/>
  <c r="BD130" i="65"/>
  <c r="BC130" i="65"/>
  <c r="BB130" i="65"/>
  <c r="BG129" i="65"/>
  <c r="BF129" i="65" s="1"/>
  <c r="BD129" i="65"/>
  <c r="BC129" i="65"/>
  <c r="BB129" i="65"/>
  <c r="BD128" i="65"/>
  <c r="BC128" i="65"/>
  <c r="BB128" i="65"/>
  <c r="BG127" i="65"/>
  <c r="BD127" i="65"/>
  <c r="BC127" i="65"/>
  <c r="BB127" i="65"/>
  <c r="BG126" i="65"/>
  <c r="BD126" i="65"/>
  <c r="BC126" i="65"/>
  <c r="BB126" i="65"/>
  <c r="BG125" i="65"/>
  <c r="BD125" i="65"/>
  <c r="BC125" i="65"/>
  <c r="BB125" i="65"/>
  <c r="BD124" i="65"/>
  <c r="BC124" i="65"/>
  <c r="BB124" i="65"/>
  <c r="BG123" i="65"/>
  <c r="BE123" i="65" s="1"/>
  <c r="BD123" i="65"/>
  <c r="BC123" i="65"/>
  <c r="BB123" i="65"/>
  <c r="BG122" i="65"/>
  <c r="BD122" i="65"/>
  <c r="BC122" i="65"/>
  <c r="BB122" i="65"/>
  <c r="BG121" i="65"/>
  <c r="BE121" i="65" s="1"/>
  <c r="BD121" i="65"/>
  <c r="BC121" i="65"/>
  <c r="BB121" i="65"/>
  <c r="BD120" i="65"/>
  <c r="BC120" i="65"/>
  <c r="BB120" i="65"/>
  <c r="BG119" i="65"/>
  <c r="BD119" i="65"/>
  <c r="BC119" i="65"/>
  <c r="BB119" i="65"/>
  <c r="BG118" i="65"/>
  <c r="BD118" i="65"/>
  <c r="BC118" i="65"/>
  <c r="BB118" i="65"/>
  <c r="BG117" i="65"/>
  <c r="BD117" i="65"/>
  <c r="BC117" i="65"/>
  <c r="BB117" i="65"/>
  <c r="BD116" i="65"/>
  <c r="BC116" i="65"/>
  <c r="BB116" i="65"/>
  <c r="BG115" i="65"/>
  <c r="BD115" i="65"/>
  <c r="BC115" i="65"/>
  <c r="BB115" i="65"/>
  <c r="BG114" i="65"/>
  <c r="BD114" i="65"/>
  <c r="BC114" i="65"/>
  <c r="BB114" i="65"/>
  <c r="BG113" i="65"/>
  <c r="BE113" i="65" s="1"/>
  <c r="BD113" i="65"/>
  <c r="BC113" i="65"/>
  <c r="BB113" i="65"/>
  <c r="BD112" i="65"/>
  <c r="BC112" i="65"/>
  <c r="BB112" i="65"/>
  <c r="BG111" i="65"/>
  <c r="BD111" i="65"/>
  <c r="BC111" i="65"/>
  <c r="BB111" i="65"/>
  <c r="BG110" i="65"/>
  <c r="BD110" i="65"/>
  <c r="BC110" i="65"/>
  <c r="BB110" i="65"/>
  <c r="BG109" i="65"/>
  <c r="BD109" i="65"/>
  <c r="BC109" i="65"/>
  <c r="BB109" i="65"/>
  <c r="BD108" i="65"/>
  <c r="BC108" i="65"/>
  <c r="BB108" i="65"/>
  <c r="BG107" i="65"/>
  <c r="BF107" i="65" s="1"/>
  <c r="BD107" i="65"/>
  <c r="BC107" i="65"/>
  <c r="BB107" i="65"/>
  <c r="BG106" i="65"/>
  <c r="BD106" i="65"/>
  <c r="BC106" i="65"/>
  <c r="BB106" i="65"/>
  <c r="BG105" i="65"/>
  <c r="BE105" i="65" s="1"/>
  <c r="BD105" i="65"/>
  <c r="BC105" i="65"/>
  <c r="BB105" i="65"/>
  <c r="BD104" i="65"/>
  <c r="BE104" i="65" s="1"/>
  <c r="BC104" i="65"/>
  <c r="BB104" i="65"/>
  <c r="BL55" i="65"/>
  <c r="BL56" i="65" s="1"/>
  <c r="BL57" i="65" s="1"/>
  <c r="BL58" i="65" s="1"/>
  <c r="BL59" i="65" s="1"/>
  <c r="BL60" i="65" s="1"/>
  <c r="BL61" i="65" s="1"/>
  <c r="BL62" i="65" s="1"/>
  <c r="BL63" i="65" s="1"/>
  <c r="BL64" i="65" s="1"/>
  <c r="BL65" i="65" s="1"/>
  <c r="BL66" i="65" s="1"/>
  <c r="BL67" i="65" s="1"/>
  <c r="BL68" i="65" s="1"/>
  <c r="BL69" i="65" s="1"/>
  <c r="BL70" i="65" s="1"/>
  <c r="BL71" i="65" s="1"/>
  <c r="BL72" i="65" s="1"/>
  <c r="BL73" i="65" s="1"/>
  <c r="BL74" i="65" s="1"/>
  <c r="BL75" i="65" s="1"/>
  <c r="BL76" i="65" s="1"/>
  <c r="BL77" i="65" s="1"/>
  <c r="BL78" i="65" s="1"/>
  <c r="BL79" i="65" s="1"/>
  <c r="BL80" i="65" s="1"/>
  <c r="BL81" i="65" s="1"/>
  <c r="BL82" i="65" s="1"/>
  <c r="BL83" i="65" s="1"/>
  <c r="BL84" i="65" s="1"/>
  <c r="BB51" i="65"/>
  <c r="BB50" i="65"/>
  <c r="BB49" i="65"/>
  <c r="BB48" i="65"/>
  <c r="BD47" i="65"/>
  <c r="BB47" i="65"/>
  <c r="BG148" i="65"/>
  <c r="BI148" i="65" s="1"/>
  <c r="BB39" i="65"/>
  <c r="BC39" i="65" s="1"/>
  <c r="AP39" i="65"/>
  <c r="R39" i="65"/>
  <c r="BG144" i="65" s="1"/>
  <c r="BI144" i="65" s="1"/>
  <c r="BB38" i="65"/>
  <c r="BC38" i="65" s="1"/>
  <c r="AP38" i="65"/>
  <c r="R38" i="65"/>
  <c r="BG140" i="65" s="1"/>
  <c r="BI140" i="65" s="1"/>
  <c r="BB37" i="65"/>
  <c r="BC37" i="65" s="1"/>
  <c r="AP37" i="65"/>
  <c r="R37" i="65"/>
  <c r="BG136" i="65" s="1"/>
  <c r="BI136" i="65" s="1"/>
  <c r="BB36" i="65"/>
  <c r="BC36" i="65" s="1"/>
  <c r="AP36" i="65"/>
  <c r="R36" i="65"/>
  <c r="BG132" i="65" s="1"/>
  <c r="BI132" i="65" s="1"/>
  <c r="BB35" i="65"/>
  <c r="BC35" i="65" s="1"/>
  <c r="AP35" i="65"/>
  <c r="R35" i="65"/>
  <c r="BG128" i="65" s="1"/>
  <c r="BI128" i="65" s="1"/>
  <c r="BB34" i="65"/>
  <c r="BC34" i="65" s="1"/>
  <c r="AP34" i="65"/>
  <c r="R34" i="65"/>
  <c r="BG124" i="65" s="1"/>
  <c r="BI124" i="65" s="1"/>
  <c r="BB33" i="65"/>
  <c r="BC33" i="65" s="1"/>
  <c r="AP33" i="65"/>
  <c r="R33" i="65"/>
  <c r="BG120" i="65" s="1"/>
  <c r="BI120" i="65" s="1"/>
  <c r="BB32" i="65"/>
  <c r="BC32" i="65" s="1"/>
  <c r="AP32" i="65"/>
  <c r="R32" i="65"/>
  <c r="BG116" i="65" s="1"/>
  <c r="BI116" i="65" s="1"/>
  <c r="BB31" i="65"/>
  <c r="BC31" i="65" s="1"/>
  <c r="AP31" i="65"/>
  <c r="R31" i="65"/>
  <c r="BG112" i="65" s="1"/>
  <c r="BI112" i="65" s="1"/>
  <c r="BB30" i="65"/>
  <c r="BC30" i="65" s="1"/>
  <c r="AP30" i="65"/>
  <c r="AA30" i="65"/>
  <c r="R30" i="65"/>
  <c r="BG108" i="65" s="1"/>
  <c r="BI108" i="65" s="1"/>
  <c r="BB29" i="65"/>
  <c r="BC29" i="65" s="1"/>
  <c r="AP29" i="65"/>
  <c r="R29" i="65"/>
  <c r="BG104" i="65" s="1"/>
  <c r="BI104" i="65" s="1"/>
  <c r="AX15" i="65"/>
  <c r="AU15" i="65"/>
  <c r="X15" i="65"/>
  <c r="U15" i="65"/>
  <c r="R15" i="65"/>
  <c r="K11" i="65"/>
  <c r="I57" i="65" s="1"/>
  <c r="AY8" i="65"/>
  <c r="Y8" i="65"/>
  <c r="AY7" i="65"/>
  <c r="AW7" i="65"/>
  <c r="AS7" i="65"/>
  <c r="AP7" i="65"/>
  <c r="AN7" i="65"/>
  <c r="AK7" i="65"/>
  <c r="AH7" i="65"/>
  <c r="AF7" i="65"/>
  <c r="AD7" i="65"/>
  <c r="W7" i="65"/>
  <c r="S7" i="65"/>
  <c r="P7" i="65"/>
  <c r="H5" i="65" s="1"/>
  <c r="N7" i="65"/>
  <c r="K7" i="65"/>
  <c r="H7" i="65"/>
  <c r="G5" i="65" s="1"/>
  <c r="F7" i="65"/>
  <c r="D7" i="65"/>
  <c r="AD6" i="65"/>
  <c r="D6" i="65"/>
  <c r="BW5" i="54"/>
  <c r="BS4" i="54"/>
  <c r="BK4" i="54"/>
  <c r="BK39" i="54" s="1"/>
  <c r="BE4" i="54"/>
  <c r="BA4" i="54"/>
  <c r="AU4" i="54"/>
  <c r="AU39" i="54" s="1"/>
  <c r="AO4" i="54"/>
  <c r="AK4" i="54"/>
  <c r="BC821" i="53"/>
  <c r="BC820" i="53"/>
  <c r="BC819" i="53"/>
  <c r="BC818" i="53"/>
  <c r="BC817" i="53"/>
  <c r="BC816" i="53"/>
  <c r="BC815" i="53"/>
  <c r="BC814" i="53"/>
  <c r="BC813" i="53"/>
  <c r="BC812" i="53"/>
  <c r="BC811" i="53"/>
  <c r="BC810" i="53"/>
  <c r="BC809" i="53"/>
  <c r="BC808" i="53"/>
  <c r="BC807" i="53"/>
  <c r="BC806" i="53"/>
  <c r="BC805" i="53"/>
  <c r="BC804" i="53"/>
  <c r="BC803" i="53"/>
  <c r="BC802" i="53"/>
  <c r="BC801" i="53"/>
  <c r="BC800" i="53"/>
  <c r="BC799" i="53"/>
  <c r="BC798" i="53"/>
  <c r="BC797" i="53"/>
  <c r="BC796" i="53"/>
  <c r="BC795" i="53"/>
  <c r="BC794" i="53"/>
  <c r="BC793" i="53"/>
  <c r="BC792" i="53"/>
  <c r="BC791" i="53"/>
  <c r="BC790" i="53"/>
  <c r="BC789" i="53"/>
  <c r="BC788" i="53"/>
  <c r="BC787" i="53"/>
  <c r="BC786" i="53"/>
  <c r="BC785" i="53"/>
  <c r="BC784" i="53"/>
  <c r="BC783" i="53"/>
  <c r="BC782" i="53"/>
  <c r="BC781" i="53"/>
  <c r="BC780" i="53"/>
  <c r="BC779" i="53"/>
  <c r="BC778" i="53"/>
  <c r="BC777" i="53"/>
  <c r="BC776" i="53"/>
  <c r="BC775" i="53"/>
  <c r="BC774" i="53"/>
  <c r="BC773" i="53"/>
  <c r="BC772" i="53"/>
  <c r="BC771" i="53"/>
  <c r="BC770" i="53"/>
  <c r="BC769" i="53"/>
  <c r="BC768" i="53"/>
  <c r="BC767" i="53"/>
  <c r="BC766" i="53"/>
  <c r="BC765" i="53"/>
  <c r="BC764" i="53"/>
  <c r="BC763" i="53"/>
  <c r="BC762" i="53"/>
  <c r="BC761" i="53"/>
  <c r="BC760" i="53"/>
  <c r="BC759" i="53"/>
  <c r="BC758" i="53"/>
  <c r="BC757" i="53"/>
  <c r="BC756" i="53"/>
  <c r="BC755" i="53"/>
  <c r="BC754" i="53"/>
  <c r="BC753" i="53"/>
  <c r="BC752" i="53"/>
  <c r="BC751" i="53"/>
  <c r="BC750" i="53"/>
  <c r="BC749" i="53"/>
  <c r="BC748" i="53"/>
  <c r="BC747" i="53"/>
  <c r="BC746" i="53"/>
  <c r="BC745" i="53"/>
  <c r="BC744" i="53"/>
  <c r="BC743" i="53"/>
  <c r="BC742" i="53"/>
  <c r="BC741" i="53"/>
  <c r="BC740" i="53"/>
  <c r="BC739" i="53"/>
  <c r="BC738" i="53"/>
  <c r="BC737" i="53"/>
  <c r="BC736" i="53"/>
  <c r="BC735" i="53"/>
  <c r="BC734" i="53"/>
  <c r="BC733" i="53"/>
  <c r="BC732" i="53"/>
  <c r="BC731" i="53"/>
  <c r="BC730" i="53"/>
  <c r="BC729" i="53"/>
  <c r="BC728" i="53"/>
  <c r="BC727" i="53"/>
  <c r="BC726" i="53"/>
  <c r="BC725" i="53"/>
  <c r="BC724" i="53"/>
  <c r="BC723" i="53"/>
  <c r="BC722" i="53"/>
  <c r="BC721" i="53"/>
  <c r="BC720" i="53"/>
  <c r="BC719" i="53"/>
  <c r="BC718" i="53"/>
  <c r="BC717" i="53"/>
  <c r="BC716" i="53"/>
  <c r="BC715" i="53"/>
  <c r="BC714" i="53"/>
  <c r="BC713" i="53"/>
  <c r="BC712" i="53"/>
  <c r="BC711" i="53"/>
  <c r="BC710" i="53"/>
  <c r="BC709" i="53"/>
  <c r="BC708" i="53"/>
  <c r="BC707" i="53"/>
  <c r="BC706" i="53"/>
  <c r="BC705" i="53"/>
  <c r="BC704" i="53"/>
  <c r="BC703" i="53"/>
  <c r="BC702" i="53"/>
  <c r="BC701" i="53"/>
  <c r="BC700" i="53"/>
  <c r="BC699" i="53"/>
  <c r="BC698" i="53"/>
  <c r="BC697" i="53"/>
  <c r="BC696" i="53"/>
  <c r="BC695" i="53"/>
  <c r="BC694" i="53"/>
  <c r="BC693" i="53"/>
  <c r="BC692" i="53"/>
  <c r="BC691" i="53"/>
  <c r="BC690" i="53"/>
  <c r="BC689" i="53"/>
  <c r="BC688" i="53"/>
  <c r="BC687" i="53"/>
  <c r="BC686" i="53"/>
  <c r="BC685" i="53"/>
  <c r="BC684" i="53"/>
  <c r="BC683" i="53"/>
  <c r="BC682" i="53"/>
  <c r="BC681" i="53"/>
  <c r="BC680" i="53"/>
  <c r="BC679" i="53"/>
  <c r="BC678" i="53"/>
  <c r="BC677" i="53"/>
  <c r="BC676" i="53"/>
  <c r="BC675" i="53"/>
  <c r="BC674" i="53"/>
  <c r="BC673" i="53"/>
  <c r="BC672" i="53"/>
  <c r="BC671" i="53"/>
  <c r="BC670" i="53"/>
  <c r="BC669" i="53"/>
  <c r="BC668" i="53"/>
  <c r="BC667" i="53"/>
  <c r="BC666" i="53"/>
  <c r="BC665" i="53"/>
  <c r="BC664" i="53"/>
  <c r="BC663" i="53"/>
  <c r="BC662" i="53"/>
  <c r="BC661" i="53"/>
  <c r="BC660" i="53"/>
  <c r="BC659" i="53"/>
  <c r="BC658" i="53"/>
  <c r="BC657" i="53"/>
  <c r="BC656" i="53"/>
  <c r="BC655" i="53"/>
  <c r="BC654" i="53"/>
  <c r="BC653" i="53"/>
  <c r="BC652" i="53"/>
  <c r="BC651" i="53"/>
  <c r="BC650" i="53"/>
  <c r="BC649" i="53"/>
  <c r="BC648" i="53"/>
  <c r="BC647" i="53"/>
  <c r="BC646" i="53"/>
  <c r="BC645" i="53"/>
  <c r="BC644" i="53"/>
  <c r="BC643" i="53"/>
  <c r="BC642" i="53"/>
  <c r="BC641" i="53"/>
  <c r="BC640" i="53"/>
  <c r="BC639" i="53"/>
  <c r="BC638" i="53"/>
  <c r="BC637" i="53"/>
  <c r="BC636" i="53"/>
  <c r="BC635" i="53"/>
  <c r="BC634" i="53"/>
  <c r="BC633" i="53"/>
  <c r="BC632" i="53"/>
  <c r="BC631" i="53"/>
  <c r="BC630" i="53"/>
  <c r="BC629" i="53"/>
  <c r="BC628" i="53"/>
  <c r="BC627" i="53"/>
  <c r="BC626" i="53"/>
  <c r="BC625" i="53"/>
  <c r="BC624" i="53"/>
  <c r="BC623" i="53"/>
  <c r="BC622" i="53"/>
  <c r="BC621" i="53"/>
  <c r="BC620" i="53"/>
  <c r="BC619" i="53"/>
  <c r="BC618" i="53"/>
  <c r="BC617" i="53"/>
  <c r="BC616" i="53"/>
  <c r="BC615" i="53"/>
  <c r="BC614" i="53"/>
  <c r="BC613" i="53"/>
  <c r="BC612" i="53"/>
  <c r="BC611" i="53"/>
  <c r="BC610" i="53"/>
  <c r="BC609" i="53"/>
  <c r="BC608" i="53"/>
  <c r="BC607" i="53"/>
  <c r="BC606" i="53"/>
  <c r="BC605" i="53"/>
  <c r="BC604" i="53"/>
  <c r="BC603" i="53"/>
  <c r="BC602" i="53"/>
  <c r="BC601" i="53"/>
  <c r="BC600" i="53"/>
  <c r="BC599" i="53"/>
  <c r="BC598" i="53"/>
  <c r="BC597" i="53"/>
  <c r="BC596" i="53"/>
  <c r="BC595" i="53"/>
  <c r="BC594" i="53"/>
  <c r="BC593" i="53"/>
  <c r="BC592" i="53"/>
  <c r="BC591" i="53"/>
  <c r="BC590" i="53"/>
  <c r="BC589" i="53"/>
  <c r="BC588" i="53"/>
  <c r="BC587" i="53"/>
  <c r="BC586" i="53"/>
  <c r="BC585" i="53"/>
  <c r="BC584" i="53"/>
  <c r="BC583" i="53"/>
  <c r="BC582" i="53"/>
  <c r="BC581" i="53"/>
  <c r="BC580" i="53"/>
  <c r="BC579" i="53"/>
  <c r="BC578" i="53"/>
  <c r="BC577" i="53"/>
  <c r="BC576" i="53"/>
  <c r="BC575" i="53"/>
  <c r="BC574" i="53"/>
  <c r="BC573" i="53"/>
  <c r="BC572" i="53"/>
  <c r="BC571" i="53"/>
  <c r="BC570" i="53"/>
  <c r="BC569" i="53"/>
  <c r="BC568" i="53"/>
  <c r="BC567" i="53"/>
  <c r="BC566" i="53"/>
  <c r="BC565" i="53"/>
  <c r="BC564" i="53"/>
  <c r="BC563" i="53"/>
  <c r="BC562" i="53"/>
  <c r="BC561" i="53"/>
  <c r="BC560" i="53"/>
  <c r="BC559" i="53"/>
  <c r="BC558" i="53"/>
  <c r="BC557" i="53"/>
  <c r="BC556" i="53"/>
  <c r="BC555" i="53"/>
  <c r="BC554" i="53"/>
  <c r="BC553" i="53"/>
  <c r="BC552" i="53"/>
  <c r="BC551" i="53"/>
  <c r="BC550" i="53"/>
  <c r="BC549" i="53"/>
  <c r="BC548" i="53"/>
  <c r="BC547" i="53"/>
  <c r="BC546" i="53"/>
  <c r="BC545" i="53"/>
  <c r="BC544" i="53"/>
  <c r="BC543" i="53"/>
  <c r="BC542" i="53"/>
  <c r="BC541" i="53"/>
  <c r="BC540" i="53"/>
  <c r="BC539" i="53"/>
  <c r="BC538" i="53"/>
  <c r="BC537" i="53"/>
  <c r="BC536" i="53"/>
  <c r="BC535" i="53"/>
  <c r="BC534" i="53"/>
  <c r="BC533" i="53"/>
  <c r="BC532" i="53"/>
  <c r="BC531" i="53"/>
  <c r="BC530" i="53"/>
  <c r="BC529" i="53"/>
  <c r="BC528" i="53"/>
  <c r="BC527" i="53"/>
  <c r="BC526" i="53"/>
  <c r="BC525" i="53"/>
  <c r="BC524" i="53"/>
  <c r="BC523" i="53"/>
  <c r="BC522" i="53"/>
  <c r="BC521" i="53"/>
  <c r="BC520" i="53"/>
  <c r="BC519" i="53"/>
  <c r="BC518" i="53"/>
  <c r="BC517" i="53"/>
  <c r="BC516" i="53"/>
  <c r="BC515" i="53"/>
  <c r="BC514" i="53"/>
  <c r="BC513" i="53"/>
  <c r="BC512" i="53"/>
  <c r="BC511" i="53"/>
  <c r="BC510" i="53"/>
  <c r="BC509" i="53"/>
  <c r="BC508" i="53"/>
  <c r="BC507" i="53"/>
  <c r="BC506" i="53"/>
  <c r="BC505" i="53"/>
  <c r="BC504" i="53"/>
  <c r="BC503" i="53"/>
  <c r="BC502" i="53"/>
  <c r="BC501" i="53"/>
  <c r="BC500" i="53"/>
  <c r="BC499" i="53"/>
  <c r="BC498" i="53"/>
  <c r="BC497" i="53"/>
  <c r="BC496" i="53"/>
  <c r="BC495" i="53"/>
  <c r="BC494" i="53"/>
  <c r="BC493" i="53"/>
  <c r="BC492" i="53"/>
  <c r="BC491" i="53"/>
  <c r="BC490" i="53"/>
  <c r="BC489" i="53"/>
  <c r="BC488" i="53"/>
  <c r="BC487" i="53"/>
  <c r="BC486" i="53"/>
  <c r="BC485" i="53"/>
  <c r="BC484" i="53"/>
  <c r="BC483" i="53"/>
  <c r="BC482" i="53"/>
  <c r="BC481" i="53"/>
  <c r="BC480" i="53"/>
  <c r="BC479" i="53"/>
  <c r="BC478" i="53"/>
  <c r="BC477" i="53"/>
  <c r="BC476" i="53"/>
  <c r="BC475" i="53"/>
  <c r="BC474" i="53"/>
  <c r="BC473" i="53"/>
  <c r="BC472" i="53"/>
  <c r="BC471" i="53"/>
  <c r="BC470" i="53"/>
  <c r="BC469" i="53"/>
  <c r="BC468" i="53"/>
  <c r="BC467" i="53"/>
  <c r="BC466" i="53"/>
  <c r="BC465" i="53"/>
  <c r="BC464" i="53"/>
  <c r="BC463" i="53"/>
  <c r="BC462" i="53"/>
  <c r="BC461" i="53"/>
  <c r="BC460" i="53"/>
  <c r="BC459" i="53"/>
  <c r="BC458" i="53"/>
  <c r="BC457" i="53"/>
  <c r="BC456" i="53"/>
  <c r="BC455" i="53"/>
  <c r="BC454" i="53"/>
  <c r="BC453" i="53"/>
  <c r="BC452" i="53"/>
  <c r="BC451" i="53"/>
  <c r="BC450" i="53"/>
  <c r="BC449" i="53"/>
  <c r="BC448" i="53"/>
  <c r="BC447" i="53"/>
  <c r="BC446" i="53"/>
  <c r="BC445" i="53"/>
  <c r="BC444" i="53"/>
  <c r="BC443" i="53"/>
  <c r="BC442" i="53"/>
  <c r="BC441" i="53"/>
  <c r="BC440" i="53"/>
  <c r="BC439" i="53"/>
  <c r="BC438" i="53"/>
  <c r="BC437" i="53"/>
  <c r="BC436" i="53"/>
  <c r="BC435" i="53"/>
  <c r="BC434" i="53"/>
  <c r="BC433" i="53"/>
  <c r="BC432" i="53"/>
  <c r="BC431" i="53"/>
  <c r="BC430" i="53"/>
  <c r="BC429" i="53"/>
  <c r="BC428" i="53"/>
  <c r="BC427" i="53"/>
  <c r="BC426" i="53"/>
  <c r="BC425" i="53"/>
  <c r="BC424" i="53"/>
  <c r="BC423" i="53"/>
  <c r="BC422" i="53"/>
  <c r="BC421" i="53"/>
  <c r="BC420" i="53"/>
  <c r="BC419" i="53"/>
  <c r="BC418" i="53"/>
  <c r="BC417" i="53"/>
  <c r="BC416" i="53"/>
  <c r="BC415" i="53"/>
  <c r="BC414" i="53"/>
  <c r="BC413" i="53"/>
  <c r="BC412" i="53"/>
  <c r="BC411" i="53"/>
  <c r="BC410" i="53"/>
  <c r="BC409" i="53"/>
  <c r="BC408" i="53"/>
  <c r="BC407" i="53"/>
  <c r="BC406" i="53"/>
  <c r="BC405" i="53"/>
  <c r="BC404" i="53"/>
  <c r="BC403" i="53"/>
  <c r="BC402" i="53"/>
  <c r="BC401" i="53"/>
  <c r="BC400" i="53"/>
  <c r="BC399" i="53"/>
  <c r="BC398" i="53"/>
  <c r="BC397" i="53"/>
  <c r="BC396" i="53"/>
  <c r="BC395" i="53"/>
  <c r="BC394" i="53"/>
  <c r="BC393" i="53"/>
  <c r="BC392" i="53"/>
  <c r="BC391" i="53"/>
  <c r="BC390" i="53"/>
  <c r="BC389" i="53"/>
  <c r="BC388" i="53"/>
  <c r="BC387" i="53"/>
  <c r="BC386" i="53"/>
  <c r="BC385" i="53"/>
  <c r="BC384" i="53"/>
  <c r="BC383" i="53"/>
  <c r="BC382" i="53"/>
  <c r="BC381" i="53"/>
  <c r="BC380" i="53"/>
  <c r="BC379" i="53"/>
  <c r="BC378" i="53"/>
  <c r="BC377" i="53"/>
  <c r="BC376" i="53"/>
  <c r="BC375" i="53"/>
  <c r="BC374" i="53"/>
  <c r="BC373" i="53"/>
  <c r="BC372" i="53"/>
  <c r="BC371" i="53"/>
  <c r="BC370" i="53"/>
  <c r="BC369" i="53"/>
  <c r="BC368" i="53"/>
  <c r="BC367" i="53"/>
  <c r="BC366" i="53"/>
  <c r="BC365" i="53"/>
  <c r="BC364" i="53"/>
  <c r="BC363" i="53"/>
  <c r="BC362" i="53"/>
  <c r="BC361" i="53"/>
  <c r="BC360" i="53"/>
  <c r="BC359" i="53"/>
  <c r="BC358" i="53"/>
  <c r="BC357" i="53"/>
  <c r="BC356" i="53"/>
  <c r="BC355" i="53"/>
  <c r="BC354" i="53"/>
  <c r="BC353" i="53"/>
  <c r="BC352" i="53"/>
  <c r="BC351" i="53"/>
  <c r="BC350" i="53"/>
  <c r="BC349" i="53"/>
  <c r="BC348" i="53"/>
  <c r="BC347" i="53"/>
  <c r="BC346" i="53"/>
  <c r="BC345" i="53"/>
  <c r="BC344" i="53"/>
  <c r="BC343" i="53"/>
  <c r="BC342" i="53"/>
  <c r="BC341" i="53"/>
  <c r="BC340" i="53"/>
  <c r="BC339" i="53"/>
  <c r="BC338" i="53"/>
  <c r="BC337" i="53"/>
  <c r="BC336" i="53"/>
  <c r="BC335" i="53"/>
  <c r="BC334" i="53"/>
  <c r="BC333" i="53"/>
  <c r="BC332" i="53"/>
  <c r="BC331" i="53"/>
  <c r="BC330" i="53"/>
  <c r="BC329" i="53"/>
  <c r="BC328" i="53"/>
  <c r="BC327" i="53"/>
  <c r="BC326" i="53"/>
  <c r="BC325" i="53"/>
  <c r="BC324" i="53"/>
  <c r="BC323" i="53"/>
  <c r="BC322" i="53"/>
  <c r="BC321" i="53"/>
  <c r="BC320" i="53"/>
  <c r="BC319" i="53"/>
  <c r="BC318" i="53"/>
  <c r="BC317" i="53"/>
  <c r="BC316" i="53"/>
  <c r="BC315" i="53"/>
  <c r="BC314" i="53"/>
  <c r="BC313" i="53"/>
  <c r="BC312" i="53"/>
  <c r="BC311" i="53"/>
  <c r="BC310" i="53"/>
  <c r="BC309" i="53"/>
  <c r="BC308" i="53"/>
  <c r="BC307" i="53"/>
  <c r="BC306" i="53"/>
  <c r="BC305" i="53"/>
  <c r="BC304" i="53"/>
  <c r="BC303" i="53"/>
  <c r="BC302" i="53"/>
  <c r="BC301" i="53"/>
  <c r="BC300" i="53"/>
  <c r="BC299" i="53"/>
  <c r="BC298" i="53"/>
  <c r="BC297" i="53"/>
  <c r="BC296" i="53"/>
  <c r="BC295" i="53"/>
  <c r="BC294" i="53"/>
  <c r="BC293" i="53"/>
  <c r="BC292" i="53"/>
  <c r="BC291" i="53"/>
  <c r="BC290" i="53"/>
  <c r="BC289" i="53"/>
  <c r="BC288" i="53"/>
  <c r="BC287" i="53"/>
  <c r="BC286" i="53"/>
  <c r="BC285" i="53"/>
  <c r="BC284" i="53"/>
  <c r="BC283" i="53"/>
  <c r="BC282" i="53"/>
  <c r="BC281" i="53"/>
  <c r="BC280" i="53"/>
  <c r="BC279" i="53"/>
  <c r="BC278" i="53"/>
  <c r="BC277" i="53"/>
  <c r="BC276" i="53"/>
  <c r="BC275" i="53"/>
  <c r="BC274" i="53"/>
  <c r="BC273" i="53"/>
  <c r="BC272" i="53"/>
  <c r="BC271" i="53"/>
  <c r="BC270" i="53"/>
  <c r="BC269" i="53"/>
  <c r="BC268" i="53"/>
  <c r="BC267" i="53"/>
  <c r="BC266" i="53"/>
  <c r="BC265" i="53"/>
  <c r="BC264" i="53"/>
  <c r="BC263" i="53"/>
  <c r="BC262" i="53"/>
  <c r="BC261" i="53"/>
  <c r="BC260" i="53"/>
  <c r="BC259" i="53"/>
  <c r="BC258" i="53"/>
  <c r="BC257" i="53"/>
  <c r="BC256" i="53"/>
  <c r="BC255" i="53"/>
  <c r="BC254" i="53"/>
  <c r="BC253" i="53"/>
  <c r="BC252" i="53"/>
  <c r="BC251" i="53"/>
  <c r="BC250" i="53"/>
  <c r="BC249" i="53"/>
  <c r="BC248" i="53"/>
  <c r="BC247" i="53"/>
  <c r="BC246" i="53"/>
  <c r="BC245" i="53"/>
  <c r="BC244" i="53"/>
  <c r="BC243" i="53"/>
  <c r="BC242" i="53"/>
  <c r="BC241" i="53"/>
  <c r="BC240" i="53"/>
  <c r="BC239" i="53"/>
  <c r="BC238" i="53"/>
  <c r="BC237" i="53"/>
  <c r="BC236" i="53"/>
  <c r="BC235" i="53"/>
  <c r="BC234" i="53"/>
  <c r="BC233" i="53"/>
  <c r="BC232" i="53"/>
  <c r="BC231" i="53"/>
  <c r="BC230" i="53"/>
  <c r="BC229" i="53"/>
  <c r="BC228" i="53"/>
  <c r="BC227" i="53"/>
  <c r="BC226" i="53"/>
  <c r="BC225" i="53"/>
  <c r="BC224" i="53"/>
  <c r="BC223" i="53"/>
  <c r="BC222" i="53"/>
  <c r="BC221" i="53"/>
  <c r="BC220" i="53"/>
  <c r="BC219" i="53"/>
  <c r="BC218" i="53"/>
  <c r="BC217" i="53"/>
  <c r="BC216" i="53"/>
  <c r="BC215" i="53"/>
  <c r="BC214" i="53"/>
  <c r="BC213" i="53"/>
  <c r="BC212" i="53"/>
  <c r="BC211" i="53"/>
  <c r="BC210" i="53"/>
  <c r="BC209" i="53"/>
  <c r="BC208" i="53"/>
  <c r="BC207" i="53"/>
  <c r="BC206" i="53"/>
  <c r="BC205" i="53"/>
  <c r="BC204" i="53"/>
  <c r="BC203" i="53"/>
  <c r="BC202" i="53"/>
  <c r="BC201" i="53"/>
  <c r="BC200" i="53"/>
  <c r="BC199" i="53"/>
  <c r="BC198" i="53"/>
  <c r="BC197" i="53"/>
  <c r="BC196" i="53"/>
  <c r="BC195" i="53"/>
  <c r="BC194" i="53"/>
  <c r="BC193" i="53"/>
  <c r="BC192" i="53"/>
  <c r="BC191" i="53"/>
  <c r="BC190" i="53"/>
  <c r="BC189" i="53"/>
  <c r="BC188" i="53"/>
  <c r="BC187" i="53"/>
  <c r="BC186" i="53"/>
  <c r="BC185" i="53"/>
  <c r="BC184" i="53"/>
  <c r="BC183" i="53"/>
  <c r="BC182" i="53"/>
  <c r="BC181" i="53"/>
  <c r="BC180" i="53"/>
  <c r="BC179" i="53"/>
  <c r="BC178" i="53"/>
  <c r="BC177" i="53"/>
  <c r="BC176" i="53"/>
  <c r="BC175" i="53"/>
  <c r="BC174" i="53"/>
  <c r="BC173" i="53"/>
  <c r="BC172" i="53"/>
  <c r="BC171" i="53"/>
  <c r="BC170" i="53"/>
  <c r="BC169" i="53"/>
  <c r="BC168" i="53"/>
  <c r="BC167" i="53"/>
  <c r="BC166" i="53"/>
  <c r="BC165" i="53"/>
  <c r="BC164" i="53"/>
  <c r="BC163" i="53"/>
  <c r="BC162" i="53"/>
  <c r="BC161" i="53"/>
  <c r="BC160" i="53"/>
  <c r="BC159" i="53"/>
  <c r="BC158" i="53"/>
  <c r="BC157" i="53"/>
  <c r="BC156" i="53"/>
  <c r="BC155" i="53"/>
  <c r="BC154" i="53"/>
  <c r="BC153" i="53"/>
  <c r="BC152" i="53"/>
  <c r="BC151" i="53"/>
  <c r="BC150" i="53"/>
  <c r="BC149" i="53"/>
  <c r="BC148" i="53"/>
  <c r="BC147" i="53"/>
  <c r="BC146" i="53"/>
  <c r="BC145" i="53"/>
  <c r="BC144" i="53"/>
  <c r="BC143" i="53"/>
  <c r="BC142" i="53"/>
  <c r="BC141" i="53"/>
  <c r="BC140" i="53"/>
  <c r="BC139" i="53"/>
  <c r="BC138" i="53"/>
  <c r="BC137" i="53"/>
  <c r="BC136" i="53"/>
  <c r="BC135" i="53"/>
  <c r="BC134" i="53"/>
  <c r="BC133" i="53"/>
  <c r="BC132" i="53"/>
  <c r="BC131" i="53"/>
  <c r="BC130" i="53"/>
  <c r="BC129" i="53"/>
  <c r="BC128" i="53"/>
  <c r="BC127" i="53"/>
  <c r="BC126" i="53"/>
  <c r="BC125" i="53"/>
  <c r="BC124" i="53"/>
  <c r="BC123" i="53"/>
  <c r="BC122" i="53"/>
  <c r="BC121" i="53"/>
  <c r="BC120" i="53"/>
  <c r="BC119" i="53"/>
  <c r="BC118" i="53"/>
  <c r="BC117" i="53"/>
  <c r="BC116" i="53"/>
  <c r="BC115" i="53"/>
  <c r="BC114" i="53"/>
  <c r="BC113" i="53"/>
  <c r="BC112" i="53"/>
  <c r="BC111" i="53"/>
  <c r="BC110" i="53"/>
  <c r="BC109" i="53"/>
  <c r="BC108" i="53"/>
  <c r="BC107" i="53"/>
  <c r="BC106" i="53"/>
  <c r="BC105" i="53"/>
  <c r="BC104" i="53"/>
  <c r="BC103" i="53"/>
  <c r="BC102" i="53"/>
  <c r="BC101" i="53"/>
  <c r="BC100" i="53"/>
  <c r="BC99" i="53"/>
  <c r="BC98" i="53"/>
  <c r="BC97" i="53"/>
  <c r="BC96" i="53"/>
  <c r="BC95" i="53"/>
  <c r="BC94" i="53"/>
  <c r="BC93" i="53"/>
  <c r="BC92" i="53"/>
  <c r="BC91" i="53"/>
  <c r="BC90" i="53"/>
  <c r="BC89" i="53"/>
  <c r="BC88" i="53"/>
  <c r="BC87" i="53"/>
  <c r="BC86" i="53"/>
  <c r="BC85" i="53"/>
  <c r="BC84" i="53"/>
  <c r="BC83" i="53"/>
  <c r="BC82" i="53"/>
  <c r="BC81" i="53"/>
  <c r="BC80" i="53"/>
  <c r="BC79" i="53"/>
  <c r="BC78" i="53"/>
  <c r="BC77" i="53"/>
  <c r="BC76" i="53"/>
  <c r="BC75" i="53"/>
  <c r="BC74" i="53"/>
  <c r="BC73" i="53"/>
  <c r="BC72" i="53"/>
  <c r="BC71" i="53"/>
  <c r="BC70" i="53"/>
  <c r="BC69" i="53"/>
  <c r="BC68" i="53"/>
  <c r="BC67" i="53"/>
  <c r="BC66" i="53"/>
  <c r="BC65" i="53"/>
  <c r="BC64" i="53"/>
  <c r="BC63" i="53"/>
  <c r="BC62" i="53"/>
  <c r="BC61" i="53"/>
  <c r="BC60" i="53"/>
  <c r="BC59" i="53"/>
  <c r="BC58" i="53"/>
  <c r="BC57" i="53"/>
  <c r="BC56" i="53"/>
  <c r="BC55" i="53"/>
  <c r="BC54" i="53"/>
  <c r="BC53" i="53"/>
  <c r="BC52" i="53"/>
  <c r="BC51" i="53"/>
  <c r="BC50" i="53"/>
  <c r="BC49" i="53"/>
  <c r="BC48" i="53"/>
  <c r="BC47" i="53"/>
  <c r="BC46" i="53"/>
  <c r="BC45" i="53"/>
  <c r="BC44" i="53"/>
  <c r="BC43" i="53"/>
  <c r="BC42" i="53"/>
  <c r="BC41" i="53"/>
  <c r="BC40" i="53"/>
  <c r="BC39" i="53"/>
  <c r="BC38" i="53"/>
  <c r="BC37" i="53"/>
  <c r="BC36" i="53"/>
  <c r="BC35" i="53"/>
  <c r="BC34" i="53"/>
  <c r="BC33" i="53"/>
  <c r="BC32" i="53"/>
  <c r="BC31" i="53"/>
  <c r="BC30" i="53"/>
  <c r="BC29" i="53"/>
  <c r="BC28" i="53"/>
  <c r="BC27" i="53"/>
  <c r="BC26" i="53"/>
  <c r="BC25" i="53"/>
  <c r="BC24" i="53"/>
  <c r="BC23" i="53"/>
  <c r="BC22" i="53"/>
  <c r="BC21" i="53"/>
  <c r="BC20" i="53"/>
  <c r="BC19" i="53"/>
  <c r="BC18" i="53"/>
  <c r="BC17" i="53"/>
  <c r="BC16" i="53"/>
  <c r="BC15" i="53"/>
  <c r="BC14" i="53"/>
  <c r="BC13" i="53"/>
  <c r="Q13" i="53"/>
  <c r="BC12" i="53"/>
  <c r="BC11" i="53"/>
  <c r="BC10" i="53"/>
  <c r="D10" i="53"/>
  <c r="BC9" i="53"/>
  <c r="BC8" i="53"/>
  <c r="R8" i="53"/>
  <c r="BC7" i="53"/>
  <c r="E8" i="53"/>
  <c r="BC6" i="53"/>
  <c r="BC5" i="53"/>
  <c r="BC4" i="53"/>
  <c r="BC3" i="53"/>
  <c r="BC2" i="53"/>
  <c r="CG36" i="68" l="1"/>
  <c r="CG37" i="68" s="1"/>
  <c r="BK40" i="65"/>
  <c r="BF134" i="65"/>
  <c r="CG38" i="68"/>
  <c r="CG39" i="68" s="1"/>
  <c r="BF144" i="65"/>
  <c r="BE144" i="65"/>
  <c r="BF132" i="65"/>
  <c r="BE132" i="65"/>
  <c r="BE136" i="65"/>
  <c r="BF136" i="65"/>
  <c r="BF140" i="65"/>
  <c r="BE140" i="65"/>
  <c r="BH145" i="65"/>
  <c r="BH147" i="65"/>
  <c r="BH139" i="65"/>
  <c r="BE139" i="65"/>
  <c r="BF104" i="65"/>
  <c r="A23" i="54"/>
  <c r="BE39" i="54"/>
  <c r="A58" i="54" s="1"/>
  <c r="A19" i="54"/>
  <c r="BA39" i="54"/>
  <c r="A54" i="54" s="1"/>
  <c r="A15" i="54"/>
  <c r="AO39" i="54"/>
  <c r="A50" i="54" s="1"/>
  <c r="BE131" i="65"/>
  <c r="BE128" i="65"/>
  <c r="BF128" i="65"/>
  <c r="BI125" i="65"/>
  <c r="BE125" i="65"/>
  <c r="BI126" i="65"/>
  <c r="BE126" i="65"/>
  <c r="BI127" i="65"/>
  <c r="BE127" i="65"/>
  <c r="BF124" i="65"/>
  <c r="BE124" i="65"/>
  <c r="BF126" i="65"/>
  <c r="BF120" i="65"/>
  <c r="BE120" i="65"/>
  <c r="BE116" i="65"/>
  <c r="BF116" i="65"/>
  <c r="BE114" i="65"/>
  <c r="BE112" i="65"/>
  <c r="BF112" i="65"/>
  <c r="BE111" i="65"/>
  <c r="CD27" i="58"/>
  <c r="P13" i="62"/>
  <c r="A11" i="54"/>
  <c r="AK39" i="54"/>
  <c r="A46" i="54" s="1"/>
  <c r="BF148" i="65"/>
  <c r="BE148" i="65"/>
  <c r="CX15" i="2"/>
  <c r="BN46" i="2"/>
  <c r="N46" i="2"/>
  <c r="CX12" i="2"/>
  <c r="CX14" i="2"/>
  <c r="J46" i="2"/>
  <c r="BM46" i="2"/>
  <c r="BF108" i="65"/>
  <c r="BE108" i="65"/>
  <c r="BI109" i="65"/>
  <c r="BE109" i="65"/>
  <c r="BI110" i="65"/>
  <c r="BF117" i="65"/>
  <c r="BE117" i="65"/>
  <c r="BI118" i="65"/>
  <c r="BE118" i="65"/>
  <c r="BF119" i="65"/>
  <c r="BE119" i="65"/>
  <c r="BI122" i="65"/>
  <c r="BE122" i="65"/>
  <c r="BF121" i="65"/>
  <c r="BH117" i="65"/>
  <c r="BI149" i="65"/>
  <c r="BH150" i="65"/>
  <c r="CJ38" i="68"/>
  <c r="CJ39" i="68" s="1"/>
  <c r="BH121" i="65"/>
  <c r="BI130" i="65"/>
  <c r="BI117" i="65"/>
  <c r="BH131" i="65"/>
  <c r="BH143" i="65"/>
  <c r="T4" i="2"/>
  <c r="T4" i="68"/>
  <c r="BH119" i="65"/>
  <c r="BF130" i="65"/>
  <c r="BH146" i="65"/>
  <c r="CD35" i="58"/>
  <c r="BI129" i="65"/>
  <c r="BI119" i="65"/>
  <c r="BH126" i="65"/>
  <c r="BF127" i="65"/>
  <c r="BE129" i="65"/>
  <c r="BF137" i="65"/>
  <c r="BS34" i="58"/>
  <c r="CX17" i="2"/>
  <c r="CX19" i="2"/>
  <c r="P1" i="68"/>
  <c r="BS32" i="58"/>
  <c r="R46" i="2"/>
  <c r="BI121" i="65"/>
  <c r="BF125" i="65"/>
  <c r="BH133" i="65"/>
  <c r="BH149" i="65"/>
  <c r="BF150" i="65"/>
  <c r="CX16" i="2"/>
  <c r="BK46" i="2"/>
  <c r="BM86" i="58"/>
  <c r="M34" i="58" s="1"/>
  <c r="BJ45" i="2"/>
  <c r="BJ46" i="2" s="1"/>
  <c r="BH141" i="65"/>
  <c r="BH127" i="65"/>
  <c r="BF131" i="65"/>
  <c r="BF133" i="65"/>
  <c r="BH142" i="65"/>
  <c r="BF149" i="65"/>
  <c r="BN86" i="58"/>
  <c r="M35" i="58" s="1"/>
  <c r="L46" i="2"/>
  <c r="CD25" i="58"/>
  <c r="CD31" i="58"/>
  <c r="CE29" i="58"/>
  <c r="CE31" i="58"/>
  <c r="CD26" i="58"/>
  <c r="CD32" i="58"/>
  <c r="CD15" i="58"/>
  <c r="I41" i="2"/>
  <c r="T41" i="2" s="1"/>
  <c r="I41" i="68"/>
  <c r="T41" i="68" s="1"/>
  <c r="BS10" i="58"/>
  <c r="I33" i="68" s="1"/>
  <c r="T33" i="68" s="1"/>
  <c r="CD19" i="58"/>
  <c r="CE28" i="58"/>
  <c r="BV64" i="58"/>
  <c r="CE85" i="58"/>
  <c r="CE32" i="58"/>
  <c r="CD12" i="58"/>
  <c r="CD20" i="58"/>
  <c r="CD36" i="58"/>
  <c r="CE21" i="58"/>
  <c r="BS27" i="58"/>
  <c r="BU29" i="2"/>
  <c r="BH125" i="65"/>
  <c r="BH130" i="65"/>
  <c r="BE134" i="65"/>
  <c r="BF139" i="65"/>
  <c r="BQ5" i="58"/>
  <c r="BS12" i="58"/>
  <c r="BS28" i="58"/>
  <c r="BT58" i="58"/>
  <c r="CS35" i="2"/>
  <c r="BU39" i="2"/>
  <c r="BU45" i="2" s="1"/>
  <c r="AR45" i="66"/>
  <c r="BT38" i="58"/>
  <c r="BT39" i="58" s="1"/>
  <c r="BS25" i="58"/>
  <c r="BS31" i="58"/>
  <c r="CE52" i="58"/>
  <c r="M46" i="2"/>
  <c r="BO46" i="2"/>
  <c r="CD17" i="58"/>
  <c r="BS26" i="58"/>
  <c r="BT50" i="58"/>
  <c r="BV56" i="58"/>
  <c r="BU33" i="2"/>
  <c r="BU37" i="2" s="1"/>
  <c r="BP46" i="2"/>
  <c r="BW55" i="67"/>
  <c r="BS33" i="58"/>
  <c r="S44" i="58"/>
  <c r="CD57" i="58"/>
  <c r="CD84" i="58"/>
  <c r="S88" i="58"/>
  <c r="S217" i="58"/>
  <c r="CX18" i="2"/>
  <c r="O46" i="2"/>
  <c r="BQ46" i="2"/>
  <c r="CE12" i="58"/>
  <c r="BH109" i="65"/>
  <c r="BH118" i="65"/>
  <c r="BH122" i="65"/>
  <c r="BH135" i="65"/>
  <c r="BH137" i="65"/>
  <c r="BH151" i="65"/>
  <c r="S2" i="58"/>
  <c r="CE15" i="58"/>
  <c r="R39" i="58"/>
  <c r="CD30" i="58"/>
  <c r="BS37" i="58"/>
  <c r="S45" i="58"/>
  <c r="BU61" i="58"/>
  <c r="BT66" i="58"/>
  <c r="BJ86" i="58"/>
  <c r="I35" i="58" s="1"/>
  <c r="S87" i="58"/>
  <c r="CE103" i="58"/>
  <c r="S131" i="58"/>
  <c r="S173" i="58"/>
  <c r="CX13" i="2"/>
  <c r="CX20" i="2"/>
  <c r="BJ57" i="2"/>
  <c r="BH123" i="65"/>
  <c r="BT3" i="58"/>
  <c r="CD21" i="58"/>
  <c r="BS23" i="58"/>
  <c r="BS24" i="58"/>
  <c r="BS29" i="58"/>
  <c r="BL86" i="58"/>
  <c r="K35" i="58" s="1"/>
  <c r="CE77" i="58"/>
  <c r="CE111" i="58"/>
  <c r="AR49" i="66"/>
  <c r="CW35" i="2"/>
  <c r="CJ35" i="2"/>
  <c r="CM35" i="2"/>
  <c r="CP35" i="2"/>
  <c r="CV35" i="2"/>
  <c r="Y5" i="58"/>
  <c r="Y47" i="58" s="1"/>
  <c r="Y90" i="58" s="1"/>
  <c r="Y133" i="58" s="1"/>
  <c r="Y176" i="58" s="1"/>
  <c r="Y219" i="58" s="1"/>
  <c r="BW4" i="67"/>
  <c r="W13" i="56"/>
  <c r="F18" i="56"/>
  <c r="BB20" i="56" s="1"/>
  <c r="C20" i="56" s="1"/>
  <c r="H18" i="56"/>
  <c r="BH113" i="65"/>
  <c r="BF109" i="65"/>
  <c r="F5" i="65"/>
  <c r="BI115" i="65"/>
  <c r="BI114" i="65"/>
  <c r="BH115" i="65"/>
  <c r="BE115" i="65" s="1"/>
  <c r="BH111" i="65"/>
  <c r="BF111" i="65" s="1"/>
  <c r="BH110" i="65"/>
  <c r="BE110" i="65" s="1"/>
  <c r="BH107" i="65"/>
  <c r="BH106" i="65"/>
  <c r="BE106" i="65" s="1"/>
  <c r="BI107" i="65"/>
  <c r="BH105" i="65"/>
  <c r="BI146" i="65"/>
  <c r="BF146" i="65"/>
  <c r="BE146" i="65"/>
  <c r="N176" i="58"/>
  <c r="N219" i="58" s="1"/>
  <c r="N133" i="58"/>
  <c r="N47" i="58"/>
  <c r="N90" i="58" s="1"/>
  <c r="BK32" i="65"/>
  <c r="BI111" i="65"/>
  <c r="BI113" i="65"/>
  <c r="BF113" i="65"/>
  <c r="BI135" i="65"/>
  <c r="BE135" i="65"/>
  <c r="BI143" i="65"/>
  <c r="BE143" i="65"/>
  <c r="N13" i="66"/>
  <c r="P15" i="61"/>
  <c r="BI105" i="65"/>
  <c r="BF105" i="65"/>
  <c r="BI106" i="65"/>
  <c r="BH138" i="65"/>
  <c r="BI142" i="65"/>
  <c r="BE142" i="65"/>
  <c r="BI145" i="65"/>
  <c r="BF145" i="65"/>
  <c r="BE145" i="65"/>
  <c r="BK36" i="65"/>
  <c r="BK38" i="65"/>
  <c r="BK30" i="65"/>
  <c r="BK35" i="65"/>
  <c r="BK34" i="65"/>
  <c r="BK29" i="65"/>
  <c r="BK39" i="65"/>
  <c r="BK31" i="65"/>
  <c r="BF123" i="65"/>
  <c r="BI123" i="65"/>
  <c r="BI147" i="65"/>
  <c r="BF147" i="65"/>
  <c r="BE147" i="65"/>
  <c r="BI141" i="65"/>
  <c r="BE141" i="65"/>
  <c r="BH114" i="65"/>
  <c r="BK33" i="65"/>
  <c r="BK37" i="65"/>
  <c r="BP5" i="58"/>
  <c r="P14" i="62"/>
  <c r="N14" i="66"/>
  <c r="P16" i="61"/>
  <c r="BW4" i="54"/>
  <c r="BF118" i="65"/>
  <c r="BI151" i="65"/>
  <c r="P18" i="56"/>
  <c r="BB22" i="56" s="1"/>
  <c r="M20" i="56" s="1"/>
  <c r="BR5" i="58"/>
  <c r="CD11" i="58"/>
  <c r="CD13" i="58"/>
  <c r="BS16" i="58"/>
  <c r="C176" i="58"/>
  <c r="C219" i="58" s="1"/>
  <c r="C133" i="58"/>
  <c r="C47" i="58"/>
  <c r="C90" i="58" s="1"/>
  <c r="BH129" i="65"/>
  <c r="BH134" i="65"/>
  <c r="BI150" i="65"/>
  <c r="R18" i="56"/>
  <c r="CE11" i="58"/>
  <c r="CE13" i="58"/>
  <c r="CE37" i="58"/>
  <c r="CD37" i="58"/>
  <c r="BU42" i="58"/>
  <c r="BU38" i="58"/>
  <c r="BW48" i="58"/>
  <c r="CE95" i="58"/>
  <c r="CD95" i="58"/>
  <c r="BE138" i="65"/>
  <c r="S3" i="58"/>
  <c r="S176" i="58"/>
  <c r="S219" i="58" s="1"/>
  <c r="S133" i="58"/>
  <c r="S47" i="58"/>
  <c r="S90" i="58" s="1"/>
  <c r="BV44" i="58"/>
  <c r="CE65" i="58"/>
  <c r="CD65" i="58"/>
  <c r="P176" i="58"/>
  <c r="P219" i="58" s="1"/>
  <c r="P133" i="58"/>
  <c r="P47" i="58"/>
  <c r="P90" i="58" s="1"/>
  <c r="Y7" i="65"/>
  <c r="BF122" i="65"/>
  <c r="BE133" i="65"/>
  <c r="BE137" i="65"/>
  <c r="BF138" i="65"/>
  <c r="BF151" i="65"/>
  <c r="CE90" i="58"/>
  <c r="CD90" i="58"/>
  <c r="BW43" i="58"/>
  <c r="BS14" i="58"/>
  <c r="BT45" i="58"/>
  <c r="CE14" i="58"/>
  <c r="CD14" i="58"/>
  <c r="BS17" i="58"/>
  <c r="BT4" i="58"/>
  <c r="BS5" i="58"/>
  <c r="BR7" i="58"/>
  <c r="BS13" i="58"/>
  <c r="BU51" i="58"/>
  <c r="CE46" i="58"/>
  <c r="CD46" i="58"/>
  <c r="CE73" i="58"/>
  <c r="BV52" i="58"/>
  <c r="CD73" i="58"/>
  <c r="CE48" i="58"/>
  <c r="CD48" i="58"/>
  <c r="BW54" i="58"/>
  <c r="CE101" i="58"/>
  <c r="CD101" i="58"/>
  <c r="CD60" i="58"/>
  <c r="BU65" i="58"/>
  <c r="CE60" i="58"/>
  <c r="CE91" i="58"/>
  <c r="CD91" i="58"/>
  <c r="BW44" i="58"/>
  <c r="CE40" i="58"/>
  <c r="BU45" i="58"/>
  <c r="CD40" i="58"/>
  <c r="BS18" i="58"/>
  <c r="BV51" i="58"/>
  <c r="CE72" i="58"/>
  <c r="CD72" i="58"/>
  <c r="CE99" i="58"/>
  <c r="CD99" i="58"/>
  <c r="BW52" i="58"/>
  <c r="CE74" i="58"/>
  <c r="CD74" i="58"/>
  <c r="BV53" i="58"/>
  <c r="CE105" i="58"/>
  <c r="CD105" i="58"/>
  <c r="BW58" i="58"/>
  <c r="BS36" i="58"/>
  <c r="CA39" i="58"/>
  <c r="CE63" i="58"/>
  <c r="CD63" i="58"/>
  <c r="BV42" i="58"/>
  <c r="BV38" i="58"/>
  <c r="BV39" i="58" s="1"/>
  <c r="X37" i="58"/>
  <c r="X38" i="58"/>
  <c r="CE66" i="58"/>
  <c r="BV45" i="58"/>
  <c r="CD66" i="58"/>
  <c r="CE17" i="58"/>
  <c r="CE45" i="58"/>
  <c r="BU50" i="58"/>
  <c r="CD45" i="58"/>
  <c r="CE98" i="58"/>
  <c r="CD98" i="58"/>
  <c r="BS22" i="58"/>
  <c r="CE100" i="58"/>
  <c r="CD100" i="58"/>
  <c r="BW53" i="58"/>
  <c r="C175" i="58"/>
  <c r="C218" i="58" s="1"/>
  <c r="C132" i="58"/>
  <c r="C46" i="58"/>
  <c r="C89" i="58" s="1"/>
  <c r="F176" i="58"/>
  <c r="F219" i="58" s="1"/>
  <c r="F133" i="58"/>
  <c r="F47" i="58"/>
  <c r="F90" i="58" s="1"/>
  <c r="CE89" i="58"/>
  <c r="CD89" i="58"/>
  <c r="BW42" i="58"/>
  <c r="BW38" i="58"/>
  <c r="BW45" i="58"/>
  <c r="CE92" i="58"/>
  <c r="CD92" i="58"/>
  <c r="BU46" i="58"/>
  <c r="CE41" i="58"/>
  <c r="CE18" i="58"/>
  <c r="BT49" i="58"/>
  <c r="CE71" i="58"/>
  <c r="CD71" i="58"/>
  <c r="BV50" i="58"/>
  <c r="BS21" i="58"/>
  <c r="BS35" i="58"/>
  <c r="CD41" i="58"/>
  <c r="BG86" i="58"/>
  <c r="G34" i="58" s="1"/>
  <c r="H176" i="58"/>
  <c r="H219" i="58" s="1"/>
  <c r="H133" i="58"/>
  <c r="H47" i="58"/>
  <c r="H90" i="58" s="1"/>
  <c r="BD13" i="58"/>
  <c r="BU43" i="58"/>
  <c r="CE38" i="58"/>
  <c r="BS15" i="58"/>
  <c r="BV46" i="58"/>
  <c r="CE67" i="58"/>
  <c r="CD67" i="58"/>
  <c r="CE115" i="58"/>
  <c r="CD115" i="58"/>
  <c r="BX39" i="58"/>
  <c r="BX38" i="58"/>
  <c r="I31" i="2" s="1"/>
  <c r="T31" i="2" s="1"/>
  <c r="CD44" i="58"/>
  <c r="BU49" i="58"/>
  <c r="CD97" i="58"/>
  <c r="BW50" i="58"/>
  <c r="CD38" i="58"/>
  <c r="BH86" i="58"/>
  <c r="G35" i="58" s="1"/>
  <c r="K176" i="58"/>
  <c r="K219" i="58" s="1"/>
  <c r="K133" i="58"/>
  <c r="K47" i="58"/>
  <c r="K90" i="58" s="1"/>
  <c r="CE64" i="58"/>
  <c r="CD64" i="58"/>
  <c r="BV43" i="58"/>
  <c r="BW46" i="58"/>
  <c r="CE93" i="58"/>
  <c r="CD93" i="58"/>
  <c r="CE70" i="58"/>
  <c r="CD70" i="58"/>
  <c r="BV49" i="58"/>
  <c r="BS20" i="58"/>
  <c r="CE23" i="58"/>
  <c r="CD23" i="58"/>
  <c r="BT54" i="58"/>
  <c r="BV55" i="58"/>
  <c r="CE76" i="58"/>
  <c r="BI86" i="58"/>
  <c r="I34" i="58" s="1"/>
  <c r="CD76" i="58"/>
  <c r="CE43" i="58"/>
  <c r="BU48" i="58"/>
  <c r="CD43" i="58"/>
  <c r="BW49" i="58"/>
  <c r="CE96" i="58"/>
  <c r="BU54" i="58"/>
  <c r="CE49" i="58"/>
  <c r="CD106" i="58"/>
  <c r="CE106" i="58"/>
  <c r="BS30" i="58"/>
  <c r="BT64" i="58"/>
  <c r="CE33" i="58"/>
  <c r="CE61" i="58"/>
  <c r="CD61" i="58"/>
  <c r="BU66" i="58"/>
  <c r="BU53" i="58"/>
  <c r="BU44" i="58"/>
  <c r="CE39" i="58"/>
  <c r="CD39" i="58"/>
  <c r="CD118" i="58"/>
  <c r="CE118" i="58"/>
  <c r="CA38" i="58"/>
  <c r="BV48" i="58"/>
  <c r="CE69" i="58"/>
  <c r="CD69" i="58"/>
  <c r="BS19" i="58"/>
  <c r="BU52" i="58"/>
  <c r="CE47" i="58"/>
  <c r="CD47" i="58"/>
  <c r="BT53" i="58"/>
  <c r="CE22" i="58"/>
  <c r="BV54" i="58"/>
  <c r="CE75" i="58"/>
  <c r="CD75" i="58"/>
  <c r="BK70" i="58"/>
  <c r="BI70" i="58"/>
  <c r="BG70" i="58"/>
  <c r="CE44" i="58"/>
  <c r="BW51" i="58"/>
  <c r="BW59" i="58"/>
  <c r="BK86" i="58"/>
  <c r="K34" i="58" s="1"/>
  <c r="CE30" i="58"/>
  <c r="CD54" i="58"/>
  <c r="BT55" i="58"/>
  <c r="BW56" i="58"/>
  <c r="CE57" i="58"/>
  <c r="BU58" i="58"/>
  <c r="BV61" i="58"/>
  <c r="CD62" i="58"/>
  <c r="BW64" i="58"/>
  <c r="CD83" i="58"/>
  <c r="CE84" i="58"/>
  <c r="CD87" i="58"/>
  <c r="CD102" i="58"/>
  <c r="CD110" i="58"/>
  <c r="CD28" i="58"/>
  <c r="CD29" i="58"/>
  <c r="CD51" i="58"/>
  <c r="CE54" i="58"/>
  <c r="BU55" i="58"/>
  <c r="BV58" i="58"/>
  <c r="CD59" i="58"/>
  <c r="BW61" i="58"/>
  <c r="CE62" i="58"/>
  <c r="BU63" i="58"/>
  <c r="BV66" i="58"/>
  <c r="CD82" i="58"/>
  <c r="CE83" i="58"/>
  <c r="CE102" i="58"/>
  <c r="CE110" i="58"/>
  <c r="CD117" i="58"/>
  <c r="CE51" i="58"/>
  <c r="CD56" i="58"/>
  <c r="BT57" i="58"/>
  <c r="CE59" i="58"/>
  <c r="BU60" i="58"/>
  <c r="BT65" i="58"/>
  <c r="BW66" i="58"/>
  <c r="CD81" i="58"/>
  <c r="CD109" i="58"/>
  <c r="CD113" i="58"/>
  <c r="CE117" i="58"/>
  <c r="CE114" i="58"/>
  <c r="CD114" i="58"/>
  <c r="BY38" i="58"/>
  <c r="CD8" i="58" s="1"/>
  <c r="CE8" i="58" s="1"/>
  <c r="CD53" i="58"/>
  <c r="BU57" i="58"/>
  <c r="BV60" i="58"/>
  <c r="CD80" i="58"/>
  <c r="CD88" i="58"/>
  <c r="CE109" i="58"/>
  <c r="CD116" i="58"/>
  <c r="CE20" i="58"/>
  <c r="CD34" i="58"/>
  <c r="CE36" i="58"/>
  <c r="BZ38" i="58"/>
  <c r="CD9" i="58" s="1"/>
  <c r="CE9" i="58" s="1"/>
  <c r="CD50" i="58"/>
  <c r="BV57" i="58"/>
  <c r="CD58" i="58"/>
  <c r="BW60" i="58"/>
  <c r="BV65" i="58"/>
  <c r="CD79" i="58"/>
  <c r="CE80" i="58"/>
  <c r="CE88" i="58"/>
  <c r="CE104" i="58"/>
  <c r="CD108" i="58"/>
  <c r="CE112" i="58"/>
  <c r="CE116" i="58"/>
  <c r="S216" i="58"/>
  <c r="CD24" i="58"/>
  <c r="CD55" i="58"/>
  <c r="BT56" i="58"/>
  <c r="BW57" i="58"/>
  <c r="BW65" i="58"/>
  <c r="CD78" i="58"/>
  <c r="CD86" i="58"/>
  <c r="S130" i="58"/>
  <c r="S174" i="58"/>
  <c r="CD107" i="58"/>
  <c r="CG21" i="2"/>
  <c r="CG35" i="2"/>
  <c r="CJ21" i="2"/>
  <c r="CJ36" i="2" l="1"/>
  <c r="CJ37" i="2" s="1"/>
  <c r="BI40" i="65"/>
  <c r="BJ40" i="65"/>
  <c r="BE40" i="65"/>
  <c r="BF40" i="65"/>
  <c r="BG40" i="65"/>
  <c r="BH40" i="65"/>
  <c r="CD3" i="58"/>
  <c r="CE3" i="58" s="1"/>
  <c r="CX21" i="2"/>
  <c r="CG36" i="2"/>
  <c r="CG37" i="2" s="1"/>
  <c r="BE107" i="65"/>
  <c r="BF106" i="65"/>
  <c r="BF115" i="65"/>
  <c r="BF114" i="65"/>
  <c r="BF110" i="65"/>
  <c r="I33" i="2"/>
  <c r="T33" i="2" s="1"/>
  <c r="I30" i="68"/>
  <c r="T30" i="68" s="1"/>
  <c r="BS7" i="58"/>
  <c r="I39" i="2"/>
  <c r="T39" i="2" s="1"/>
  <c r="I39" i="68"/>
  <c r="I40" i="68"/>
  <c r="T40" i="68" s="1"/>
  <c r="I38" i="68"/>
  <c r="T38" i="68" s="1"/>
  <c r="I32" i="68"/>
  <c r="T32" i="68" s="1"/>
  <c r="I31" i="68"/>
  <c r="BU46" i="2"/>
  <c r="CD5" i="58"/>
  <c r="CE5" i="58" s="1"/>
  <c r="BS38" i="58"/>
  <c r="BG3" i="58"/>
  <c r="CX35" i="2"/>
  <c r="BT5" i="58"/>
  <c r="I30" i="2"/>
  <c r="T30" i="2" s="1"/>
  <c r="CD10" i="58"/>
  <c r="CE10" i="58" s="1"/>
  <c r="AR36" i="66"/>
  <c r="BR110" i="65"/>
  <c r="BR118" i="65"/>
  <c r="BM118" i="65" s="1"/>
  <c r="BR108" i="65"/>
  <c r="BR116" i="65"/>
  <c r="BO116" i="65" s="1"/>
  <c r="CG38" i="2"/>
  <c r="CP6" i="58"/>
  <c r="CP9" i="58"/>
  <c r="CP7" i="58"/>
  <c r="CP5" i="58"/>
  <c r="CP8" i="58"/>
  <c r="CP4" i="58"/>
  <c r="CP3" i="58"/>
  <c r="BR6" i="58"/>
  <c r="BJ39" i="65"/>
  <c r="BH39" i="65"/>
  <c r="BG39" i="65"/>
  <c r="BI39" i="65"/>
  <c r="BF39" i="65"/>
  <c r="BE39" i="65"/>
  <c r="BR109" i="65"/>
  <c r="BR119" i="65"/>
  <c r="I40" i="2"/>
  <c r="T40" i="2" s="1"/>
  <c r="I38" i="2"/>
  <c r="BU39" i="58"/>
  <c r="BP6" i="58" s="1"/>
  <c r="CD4" i="58"/>
  <c r="CE4" i="58" s="1"/>
  <c r="CD7" i="58"/>
  <c r="CE7" i="58" s="1"/>
  <c r="BI29" i="65"/>
  <c r="BG29" i="65"/>
  <c r="BF29" i="65"/>
  <c r="BJ29" i="65"/>
  <c r="BC47" i="65" s="1"/>
  <c r="BH29" i="65"/>
  <c r="BE29" i="65"/>
  <c r="BH37" i="65"/>
  <c r="BF37" i="65"/>
  <c r="BE37" i="65"/>
  <c r="BJ37" i="65"/>
  <c r="BI37" i="65"/>
  <c r="BG37" i="65"/>
  <c r="BI34" i="65"/>
  <c r="BG34" i="65"/>
  <c r="BF34" i="65"/>
  <c r="BJ34" i="65"/>
  <c r="BH34" i="65"/>
  <c r="BE34" i="65"/>
  <c r="BR107" i="65"/>
  <c r="CJ38" i="2"/>
  <c r="CJ39" i="2" s="1"/>
  <c r="AX39" i="58"/>
  <c r="X39" i="58"/>
  <c r="BJ33" i="65"/>
  <c r="BC51" i="65" s="1"/>
  <c r="BI33" i="65"/>
  <c r="BF33" i="65"/>
  <c r="BE33" i="65"/>
  <c r="BH33" i="65"/>
  <c r="BG33" i="65"/>
  <c r="BF35" i="65"/>
  <c r="BH35" i="65"/>
  <c r="BG35" i="65"/>
  <c r="BJ35" i="65"/>
  <c r="BI35" i="65"/>
  <c r="BE35" i="65"/>
  <c r="BR114" i="65"/>
  <c r="I25" i="2"/>
  <c r="T25" i="2" s="1"/>
  <c r="CD119" i="58"/>
  <c r="CE119" i="58"/>
  <c r="BE30" i="65"/>
  <c r="BJ30" i="65"/>
  <c r="BC48" i="65" s="1"/>
  <c r="BG30" i="65"/>
  <c r="BF30" i="65"/>
  <c r="BI30" i="65"/>
  <c r="BH30" i="65"/>
  <c r="BR111" i="65"/>
  <c r="BR105" i="65"/>
  <c r="BR104" i="65"/>
  <c r="BR112" i="65"/>
  <c r="BR106" i="65"/>
  <c r="BE38" i="65"/>
  <c r="BJ38" i="65"/>
  <c r="BG38" i="65"/>
  <c r="BF38" i="65"/>
  <c r="BI38" i="65"/>
  <c r="BH38" i="65"/>
  <c r="BR121" i="65"/>
  <c r="BR117" i="65"/>
  <c r="BW39" i="58"/>
  <c r="BQ6" i="58" s="1"/>
  <c r="CD6" i="58"/>
  <c r="CE6" i="58" s="1"/>
  <c r="BS6" i="58"/>
  <c r="I32" i="2"/>
  <c r="T32" i="2" s="1"/>
  <c r="BI36" i="65"/>
  <c r="BH36" i="65"/>
  <c r="BE36" i="65"/>
  <c r="BF36" i="65"/>
  <c r="BJ36" i="65"/>
  <c r="BG36" i="65"/>
  <c r="BR113" i="65"/>
  <c r="BR115" i="65"/>
  <c r="BG32" i="65"/>
  <c r="BE32" i="65"/>
  <c r="BI32" i="65"/>
  <c r="BH32" i="65"/>
  <c r="BF32" i="65"/>
  <c r="BJ32" i="65"/>
  <c r="BC50" i="65" s="1"/>
  <c r="BR120" i="65"/>
  <c r="BJ31" i="65"/>
  <c r="BC49" i="65" s="1"/>
  <c r="BH31" i="65"/>
  <c r="BG31" i="65"/>
  <c r="BI31" i="65"/>
  <c r="BF31" i="65"/>
  <c r="BE31" i="65"/>
  <c r="CA121" i="65"/>
  <c r="V31" i="2" l="1"/>
  <c r="T37" i="2"/>
  <c r="H20" i="66" s="1"/>
  <c r="V31" i="68"/>
  <c r="I26" i="2"/>
  <c r="T26" i="2" s="1"/>
  <c r="I45" i="68"/>
  <c r="T39" i="68"/>
  <c r="T45" i="68" s="1"/>
  <c r="CK16" i="58"/>
  <c r="CJ16" i="58" s="1"/>
  <c r="I37" i="68"/>
  <c r="AE22" i="68" s="1"/>
  <c r="BA22" i="68" s="1"/>
  <c r="BA35" i="68" s="1"/>
  <c r="T31" i="68"/>
  <c r="T37" i="68" s="1"/>
  <c r="CK10" i="58"/>
  <c r="CI10" i="58" s="1"/>
  <c r="I37" i="2"/>
  <c r="AE22" i="2" s="1"/>
  <c r="BA22" i="2" s="1"/>
  <c r="BA35" i="2" s="1"/>
  <c r="CK9" i="58"/>
  <c r="CJ9" i="58" s="1"/>
  <c r="D30" i="58" s="1"/>
  <c r="B30" i="58" s="1"/>
  <c r="CK5" i="58"/>
  <c r="CJ5" i="58" s="1"/>
  <c r="L28" i="58" s="1"/>
  <c r="J28" i="58" s="1"/>
  <c r="CK14" i="58"/>
  <c r="CI14" i="58" s="1"/>
  <c r="BT116" i="65"/>
  <c r="Y17" i="68" s="1"/>
  <c r="BP116" i="65"/>
  <c r="BQ116" i="65" s="1"/>
  <c r="BM116" i="65"/>
  <c r="BW116" i="65"/>
  <c r="AA17" i="68" s="1"/>
  <c r="AD17" i="68" s="1"/>
  <c r="BL116" i="65"/>
  <c r="BZ118" i="65"/>
  <c r="BN118" i="65"/>
  <c r="BX118" i="65"/>
  <c r="BM110" i="65"/>
  <c r="BU110" i="65" s="1"/>
  <c r="BV110" i="65" s="1"/>
  <c r="Z11" i="68" s="1"/>
  <c r="BZ116" i="65"/>
  <c r="BU116" i="65"/>
  <c r="BV116" i="65" s="1"/>
  <c r="Z17" i="68" s="1"/>
  <c r="BO110" i="65"/>
  <c r="BX110" i="65" s="1"/>
  <c r="BN116" i="65"/>
  <c r="BL110" i="65"/>
  <c r="BT110" i="65" s="1"/>
  <c r="Y11" i="68" s="1"/>
  <c r="BX116" i="65"/>
  <c r="BP110" i="65"/>
  <c r="BY110" i="65" s="1"/>
  <c r="AE11" i="68" s="1"/>
  <c r="BN110" i="65"/>
  <c r="BW110" i="65" s="1"/>
  <c r="BL118" i="65"/>
  <c r="BY116" i="65"/>
  <c r="AE17" i="68" s="1"/>
  <c r="BN108" i="65"/>
  <c r="BW108" i="65" s="1"/>
  <c r="AA9" i="68" s="1"/>
  <c r="AD9" i="68" s="1"/>
  <c r="BL108" i="65"/>
  <c r="BT108" i="65" s="1"/>
  <c r="Y9" i="68" s="1"/>
  <c r="BO118" i="65"/>
  <c r="BM108" i="65"/>
  <c r="BU108" i="65" s="1"/>
  <c r="BV108" i="65" s="1"/>
  <c r="Z9" i="68" s="1"/>
  <c r="BO108" i="65"/>
  <c r="BX108" i="65" s="1"/>
  <c r="BW118" i="65"/>
  <c r="AA19" i="68" s="1"/>
  <c r="AD19" i="68" s="1"/>
  <c r="BP118" i="65"/>
  <c r="BT118" i="65"/>
  <c r="Y19" i="68" s="1"/>
  <c r="BY118" i="65"/>
  <c r="AE19" i="68" s="1"/>
  <c r="BP108" i="65"/>
  <c r="BY108" i="65" s="1"/>
  <c r="AE9" i="68" s="1"/>
  <c r="BU118" i="65"/>
  <c r="BV118" i="65" s="1"/>
  <c r="Z19" i="68" s="1"/>
  <c r="CK12" i="58"/>
  <c r="CK11" i="58"/>
  <c r="CK4" i="58"/>
  <c r="BP111" i="65"/>
  <c r="BY111" i="65" s="1"/>
  <c r="AE12" i="68" s="1"/>
  <c r="BW111" i="65"/>
  <c r="AA12" i="68" s="1"/>
  <c r="AD12" i="68" s="1"/>
  <c r="BM111" i="65"/>
  <c r="BU111" i="65" s="1"/>
  <c r="BV111" i="65" s="1"/>
  <c r="Z12" i="68" s="1"/>
  <c r="BO111" i="65"/>
  <c r="BX111" i="65" s="1"/>
  <c r="BN111" i="65"/>
  <c r="BL111" i="65"/>
  <c r="BT111" i="65" s="1"/>
  <c r="Y12" i="68" s="1"/>
  <c r="T38" i="2"/>
  <c r="T45" i="2" s="1"/>
  <c r="I45" i="2"/>
  <c r="CQ9" i="58"/>
  <c r="CO9" i="58"/>
  <c r="W51" i="66" s="1"/>
  <c r="CN9" i="58"/>
  <c r="BP112" i="65"/>
  <c r="BY112" i="65" s="1"/>
  <c r="AE13" i="68" s="1"/>
  <c r="BM112" i="65"/>
  <c r="BU112" i="65" s="1"/>
  <c r="BV112" i="65" s="1"/>
  <c r="Z13" i="68" s="1"/>
  <c r="BL112" i="65"/>
  <c r="BT112" i="65" s="1"/>
  <c r="Y13" i="68" s="1"/>
  <c r="BO112" i="65"/>
  <c r="BX112" i="65" s="1"/>
  <c r="BN112" i="65"/>
  <c r="BW112" i="65" s="1"/>
  <c r="AA13" i="68" s="1"/>
  <c r="AD13" i="68" s="1"/>
  <c r="CK13" i="58"/>
  <c r="CK3" i="58"/>
  <c r="CK7" i="58"/>
  <c r="CO6" i="58"/>
  <c r="W45" i="66" s="1"/>
  <c r="CN6" i="58"/>
  <c r="CQ6" i="58"/>
  <c r="I23" i="2"/>
  <c r="CK6" i="58"/>
  <c r="BX114" i="65"/>
  <c r="BO114" i="65"/>
  <c r="BU114" i="65"/>
  <c r="BV114" i="65" s="1"/>
  <c r="Z15" i="68" s="1"/>
  <c r="BT114" i="65"/>
  <c r="Y15" i="68" s="1"/>
  <c r="BW114" i="65"/>
  <c r="AA15" i="68" s="1"/>
  <c r="AD15" i="68" s="1"/>
  <c r="BM114" i="65"/>
  <c r="BL114" i="65"/>
  <c r="BZ114" i="65"/>
  <c r="BY114" i="65"/>
  <c r="AE15" i="68" s="1"/>
  <c r="BP114" i="65"/>
  <c r="BN114" i="65"/>
  <c r="BO107" i="65"/>
  <c r="BX107" i="65" s="1"/>
  <c r="BM107" i="65"/>
  <c r="BU107" i="65" s="1"/>
  <c r="BV107" i="65" s="1"/>
  <c r="Z8" i="68" s="1"/>
  <c r="BL107" i="65"/>
  <c r="BT107" i="65" s="1"/>
  <c r="Y8" i="68" s="1"/>
  <c r="BP107" i="65"/>
  <c r="BY107" i="65" s="1"/>
  <c r="AE8" i="68" s="1"/>
  <c r="BN107" i="65"/>
  <c r="BW107" i="65" s="1"/>
  <c r="AA8" i="68" s="1"/>
  <c r="AD8" i="68" s="1"/>
  <c r="BZ119" i="65"/>
  <c r="BO119" i="65"/>
  <c r="BY119" i="65"/>
  <c r="AE20" i="68" s="1"/>
  <c r="BN119" i="65"/>
  <c r="BX119" i="65"/>
  <c r="BM119" i="65"/>
  <c r="BW119" i="65"/>
  <c r="AA20" i="68" s="1"/>
  <c r="AD20" i="68" s="1"/>
  <c r="BL119" i="65"/>
  <c r="BT119" i="65"/>
  <c r="Y20" i="68" s="1"/>
  <c r="BP119" i="65"/>
  <c r="BU119" i="65"/>
  <c r="BV119" i="65" s="1"/>
  <c r="Z20" i="68" s="1"/>
  <c r="I24" i="2"/>
  <c r="T24" i="2" s="1"/>
  <c r="CG39" i="2"/>
  <c r="BW117" i="65"/>
  <c r="AA18" i="68" s="1"/>
  <c r="AD18" i="68" s="1"/>
  <c r="BN117" i="65"/>
  <c r="BM117" i="65"/>
  <c r="BP117" i="65"/>
  <c r="BZ117" i="65"/>
  <c r="BO117" i="65"/>
  <c r="BU117" i="65"/>
  <c r="BV117" i="65" s="1"/>
  <c r="Z18" i="68" s="1"/>
  <c r="BT117" i="65"/>
  <c r="Y18" i="68" s="1"/>
  <c r="BY117" i="65"/>
  <c r="AE18" i="68" s="1"/>
  <c r="BX117" i="65"/>
  <c r="BL117" i="65"/>
  <c r="BM106" i="65"/>
  <c r="BU106" i="65" s="1"/>
  <c r="BV106" i="65" s="1"/>
  <c r="Z7" i="68" s="1"/>
  <c r="BO106" i="65"/>
  <c r="BX106" i="65" s="1"/>
  <c r="BL106" i="65"/>
  <c r="BT106" i="65" s="1"/>
  <c r="Y7" i="68" s="1"/>
  <c r="BP106" i="65"/>
  <c r="BY106" i="65" s="1"/>
  <c r="AE7" i="68" s="1"/>
  <c r="BN106" i="65"/>
  <c r="BW106" i="65" s="1"/>
  <c r="AA7" i="68" s="1"/>
  <c r="AD7" i="68" s="1"/>
  <c r="CK15" i="58"/>
  <c r="CK17" i="58"/>
  <c r="BL109" i="65"/>
  <c r="BT109" i="65" s="1"/>
  <c r="Y10" i="68" s="1"/>
  <c r="BM109" i="65"/>
  <c r="BU109" i="65" s="1"/>
  <c r="BV109" i="65" s="1"/>
  <c r="Z10" i="68" s="1"/>
  <c r="BO109" i="65"/>
  <c r="BX109" i="65" s="1"/>
  <c r="BN109" i="65"/>
  <c r="BW109" i="65" s="1"/>
  <c r="AA10" i="68" s="1"/>
  <c r="AD10" i="68" s="1"/>
  <c r="BP109" i="65"/>
  <c r="BY109" i="65" s="1"/>
  <c r="AE10" i="68" s="1"/>
  <c r="CO3" i="58"/>
  <c r="CQ3" i="58"/>
  <c r="CN3" i="58"/>
  <c r="CQ4" i="58"/>
  <c r="CO4" i="58"/>
  <c r="W41" i="66" s="1"/>
  <c r="CN4" i="58"/>
  <c r="CQ8" i="58"/>
  <c r="CO8" i="58"/>
  <c r="W49" i="66" s="1"/>
  <c r="CN8" i="58"/>
  <c r="BM120" i="65"/>
  <c r="BU120" i="65"/>
  <c r="BV120" i="65" s="1"/>
  <c r="BL120" i="65"/>
  <c r="BZ120" i="65"/>
  <c r="BO120" i="65"/>
  <c r="BY120" i="65"/>
  <c r="BN120" i="65"/>
  <c r="BX120" i="65"/>
  <c r="BW120" i="65"/>
  <c r="BP120" i="65"/>
  <c r="BT120" i="65"/>
  <c r="BM113" i="65"/>
  <c r="BU113" i="65" s="1"/>
  <c r="BV113" i="65" s="1"/>
  <c r="Z14" i="68" s="1"/>
  <c r="BO113" i="65"/>
  <c r="BX113" i="65" s="1"/>
  <c r="BN113" i="65"/>
  <c r="BW113" i="65"/>
  <c r="AA14" i="68" s="1"/>
  <c r="AD14" i="68" s="1"/>
  <c r="BL113" i="65"/>
  <c r="BT113" i="65" s="1"/>
  <c r="Y14" i="68" s="1"/>
  <c r="BP113" i="65"/>
  <c r="BY113" i="65" s="1"/>
  <c r="AE14" i="68" s="1"/>
  <c r="CK8" i="58"/>
  <c r="BN104" i="65"/>
  <c r="BW104" i="65" s="1"/>
  <c r="AA5" i="68" s="1"/>
  <c r="AD5" i="68" s="1"/>
  <c r="BL104" i="65"/>
  <c r="BT104" i="65" s="1"/>
  <c r="Y5" i="68" s="1"/>
  <c r="BP104" i="65"/>
  <c r="BY104" i="65" s="1"/>
  <c r="AE5" i="68" s="1"/>
  <c r="BO104" i="65"/>
  <c r="BX104" i="65" s="1"/>
  <c r="BM104" i="65"/>
  <c r="BU104" i="65" s="1"/>
  <c r="BV104" i="65" s="1"/>
  <c r="Z5" i="68" s="1"/>
  <c r="CN5" i="58"/>
  <c r="CQ5" i="58"/>
  <c r="CO5" i="58"/>
  <c r="W43" i="66" s="1"/>
  <c r="BX121" i="65"/>
  <c r="BO121" i="65"/>
  <c r="BW121" i="65"/>
  <c r="BN121" i="65"/>
  <c r="BY121" i="65"/>
  <c r="BL121" i="65"/>
  <c r="BU121" i="65"/>
  <c r="BV121" i="65" s="1"/>
  <c r="BT121" i="65"/>
  <c r="BP121" i="65"/>
  <c r="BZ121" i="65"/>
  <c r="BM121" i="65"/>
  <c r="BZ115" i="65"/>
  <c r="BY115" i="65"/>
  <c r="AE16" i="68" s="1"/>
  <c r="BO115" i="65"/>
  <c r="BX115" i="65"/>
  <c r="BN115" i="65"/>
  <c r="BW115" i="65"/>
  <c r="AA16" i="68" s="1"/>
  <c r="AD16" i="68" s="1"/>
  <c r="BM115" i="65"/>
  <c r="BL115" i="65"/>
  <c r="BP115" i="65"/>
  <c r="BT115" i="65"/>
  <c r="Y16" i="68" s="1"/>
  <c r="BU115" i="65"/>
  <c r="BV115" i="65" s="1"/>
  <c r="Z16" i="68" s="1"/>
  <c r="BP105" i="65"/>
  <c r="BY105" i="65" s="1"/>
  <c r="AE6" i="68" s="1"/>
  <c r="BM105" i="65"/>
  <c r="BU105" i="65" s="1"/>
  <c r="BV105" i="65" s="1"/>
  <c r="Z6" i="68" s="1"/>
  <c r="BL105" i="65"/>
  <c r="BT105" i="65" s="1"/>
  <c r="Y6" i="68" s="1"/>
  <c r="BO105" i="65"/>
  <c r="BX105" i="65" s="1"/>
  <c r="BN105" i="65"/>
  <c r="BW105" i="65" s="1"/>
  <c r="AA6" i="68" s="1"/>
  <c r="AD6" i="68" s="1"/>
  <c r="CQ7" i="58"/>
  <c r="CN7" i="58"/>
  <c r="CO7" i="58"/>
  <c r="W47" i="66" s="1"/>
  <c r="AA11" i="68" l="1"/>
  <c r="AD11" i="68" s="1"/>
  <c r="AO21" i="68" s="1"/>
  <c r="AA11" i="2"/>
  <c r="AD11" i="2" s="1"/>
  <c r="CI16" i="58"/>
  <c r="BA8" i="68"/>
  <c r="BA13" i="68"/>
  <c r="BA12" i="68"/>
  <c r="BA14" i="68"/>
  <c r="BA20" i="68"/>
  <c r="BA16" i="68"/>
  <c r="BA6" i="68"/>
  <c r="BA18" i="68"/>
  <c r="BA7" i="68"/>
  <c r="BA15" i="68"/>
  <c r="BA19" i="68"/>
  <c r="BA10" i="68"/>
  <c r="BA17" i="68"/>
  <c r="BA9" i="68"/>
  <c r="BA5" i="68"/>
  <c r="Z9" i="2"/>
  <c r="Y7" i="2"/>
  <c r="AE20" i="2"/>
  <c r="AA19" i="2"/>
  <c r="AD19" i="2" s="1"/>
  <c r="Y14" i="2"/>
  <c r="AA10" i="2"/>
  <c r="AD10" i="2" s="1"/>
  <c r="AA12" i="2"/>
  <c r="AD12" i="2" s="1"/>
  <c r="Y16" i="2"/>
  <c r="AA17" i="2"/>
  <c r="AD17" i="2" s="1"/>
  <c r="AA20" i="2"/>
  <c r="AA15" i="2"/>
  <c r="AD15" i="2" s="1"/>
  <c r="Y13" i="2"/>
  <c r="AA18" i="2"/>
  <c r="AD18" i="2" s="1"/>
  <c r="Y8" i="2"/>
  <c r="Y15" i="2"/>
  <c r="Y19" i="2"/>
  <c r="AA8" i="2"/>
  <c r="AD8" i="2" s="1"/>
  <c r="AA14" i="2"/>
  <c r="AD14" i="2" s="1"/>
  <c r="Y18" i="2"/>
  <c r="Y12" i="2"/>
  <c r="AA9" i="2"/>
  <c r="AD9" i="2" s="1"/>
  <c r="Y11" i="2"/>
  <c r="Y17" i="2"/>
  <c r="Y20" i="2"/>
  <c r="Y6" i="2"/>
  <c r="AA16" i="2"/>
  <c r="AD16" i="2" s="1"/>
  <c r="Y10" i="2"/>
  <c r="AA13" i="2"/>
  <c r="AD13" i="2" s="1"/>
  <c r="Y9" i="2"/>
  <c r="Z12" i="2"/>
  <c r="Z19" i="2"/>
  <c r="AE17" i="2"/>
  <c r="Z20" i="2"/>
  <c r="AE9" i="2"/>
  <c r="Z17" i="2"/>
  <c r="Z15" i="2"/>
  <c r="Z16" i="2"/>
  <c r="Z5" i="2"/>
  <c r="Z7" i="2"/>
  <c r="Z13" i="2"/>
  <c r="AA5" i="2"/>
  <c r="AD5" i="2" s="1"/>
  <c r="Z6" i="2"/>
  <c r="Z14" i="2"/>
  <c r="Z10" i="2"/>
  <c r="Z8" i="2"/>
  <c r="AA6" i="2"/>
  <c r="AD6" i="2" s="1"/>
  <c r="AE19" i="2"/>
  <c r="AA7" i="2"/>
  <c r="AD7" i="2" s="1"/>
  <c r="Z18" i="2"/>
  <c r="Z11" i="2"/>
  <c r="Y5" i="2"/>
  <c r="AE11" i="2"/>
  <c r="T46" i="2"/>
  <c r="CI5" i="58"/>
  <c r="I46" i="2"/>
  <c r="CJ14" i="58"/>
  <c r="X30" i="58" s="1"/>
  <c r="V30" i="58" s="1"/>
  <c r="T46" i="68"/>
  <c r="I46" i="68"/>
  <c r="CJ10" i="58"/>
  <c r="H30" i="58" s="1"/>
  <c r="F30" i="58" s="1"/>
  <c r="CI9" i="58"/>
  <c r="BQ108" i="65"/>
  <c r="BZ108" i="65" s="1"/>
  <c r="BQ118" i="65"/>
  <c r="BQ109" i="65"/>
  <c r="BZ109" i="65" s="1"/>
  <c r="BQ110" i="65"/>
  <c r="BZ110" i="65" s="1"/>
  <c r="BQ104" i="65"/>
  <c r="BZ104" i="65" s="1"/>
  <c r="BQ105" i="65"/>
  <c r="BZ105" i="65" s="1"/>
  <c r="BQ113" i="65"/>
  <c r="BZ113" i="65" s="1"/>
  <c r="BQ112" i="65"/>
  <c r="BZ112" i="65" s="1"/>
  <c r="BQ111" i="65"/>
  <c r="BZ111" i="65" s="1"/>
  <c r="AE16" i="2"/>
  <c r="R47" i="66"/>
  <c r="L47" i="66"/>
  <c r="R41" i="66"/>
  <c r="L41" i="66"/>
  <c r="CI3" i="58"/>
  <c r="CJ3" i="58"/>
  <c r="D28" i="58" s="1"/>
  <c r="R51" i="66"/>
  <c r="L51" i="66"/>
  <c r="CJ11" i="58"/>
  <c r="L30" i="58" s="1"/>
  <c r="J30" i="58" s="1"/>
  <c r="CI11" i="58"/>
  <c r="BQ121" i="65"/>
  <c r="R49" i="66"/>
  <c r="L49" i="66"/>
  <c r="T23" i="2"/>
  <c r="T29" i="2" s="1"/>
  <c r="I29" i="2"/>
  <c r="CJ13" i="58"/>
  <c r="T30" i="58" s="1"/>
  <c r="R30" i="58" s="1"/>
  <c r="CI13" i="58"/>
  <c r="CJ12" i="58"/>
  <c r="P30" i="58" s="1"/>
  <c r="N30" i="58" s="1"/>
  <c r="CI12" i="58"/>
  <c r="BQ107" i="65"/>
  <c r="BZ107" i="65" s="1"/>
  <c r="AE18" i="2"/>
  <c r="CJ17" i="58"/>
  <c r="CI17" i="58"/>
  <c r="CI8" i="58"/>
  <c r="CJ8" i="58"/>
  <c r="X28" i="58" s="1"/>
  <c r="V28" i="58" s="1"/>
  <c r="CI15" i="58"/>
  <c r="CJ15" i="58"/>
  <c r="AE8" i="2"/>
  <c r="AE5" i="2"/>
  <c r="AE6" i="2"/>
  <c r="BQ115" i="65"/>
  <c r="R43" i="66"/>
  <c r="L43" i="66"/>
  <c r="AE14" i="2"/>
  <c r="BQ120" i="65"/>
  <c r="AE10" i="2"/>
  <c r="BQ106" i="65"/>
  <c r="BZ106" i="65" s="1"/>
  <c r="BQ117" i="65"/>
  <c r="BQ114" i="65"/>
  <c r="AE13" i="2"/>
  <c r="AE7" i="2"/>
  <c r="AE15" i="2"/>
  <c r="R45" i="66"/>
  <c r="L45" i="66"/>
  <c r="AE12" i="2"/>
  <c r="W39" i="66"/>
  <c r="CN10" i="58"/>
  <c r="BQ119" i="65"/>
  <c r="CI6" i="58"/>
  <c r="CJ6" i="58"/>
  <c r="P28" i="58" s="1"/>
  <c r="N28" i="58" s="1"/>
  <c r="CJ7" i="58"/>
  <c r="T28" i="58" s="1"/>
  <c r="R28" i="58" s="1"/>
  <c r="CI7" i="58"/>
  <c r="CJ4" i="58"/>
  <c r="H28" i="58" s="1"/>
  <c r="CI4" i="58"/>
  <c r="BA11" i="2" l="1"/>
  <c r="BA11" i="68"/>
  <c r="AF21" i="68"/>
  <c r="AF36" i="68" s="1"/>
  <c r="AI21" i="68"/>
  <c r="AI38" i="68" s="1"/>
  <c r="AU21" i="68"/>
  <c r="AU36" i="68" s="1"/>
  <c r="AU37" i="68" s="1"/>
  <c r="AR21" i="68"/>
  <c r="AR36" i="68" s="1"/>
  <c r="AR37" i="68" s="1"/>
  <c r="AL21" i="68"/>
  <c r="AL38" i="68" s="1"/>
  <c r="AX21" i="68"/>
  <c r="AX38" i="68" s="1"/>
  <c r="AX39" i="68" s="1"/>
  <c r="AO36" i="68"/>
  <c r="AO37" i="68" s="1"/>
  <c r="AO38" i="68"/>
  <c r="B28" i="58"/>
  <c r="F28" i="58"/>
  <c r="BA21" i="68"/>
  <c r="AD20" i="2"/>
  <c r="BA20" i="2" s="1"/>
  <c r="BA19" i="2"/>
  <c r="BA18" i="2"/>
  <c r="BA12" i="2"/>
  <c r="BA9" i="2"/>
  <c r="BA8" i="2"/>
  <c r="BA17" i="2"/>
  <c r="BA5" i="2"/>
  <c r="BA15" i="2"/>
  <c r="BA7" i="2"/>
  <c r="BA13" i="2"/>
  <c r="BA16" i="2"/>
  <c r="BA6" i="2"/>
  <c r="CP21" i="68"/>
  <c r="CS21" i="68"/>
  <c r="CV21" i="68"/>
  <c r="CM21" i="68"/>
  <c r="CW21" i="68"/>
  <c r="BA10" i="2"/>
  <c r="BA14" i="2"/>
  <c r="L39" i="66"/>
  <c r="O21" i="66"/>
  <c r="R39" i="66"/>
  <c r="R36" i="66" s="1"/>
  <c r="AL36" i="68" l="1"/>
  <c r="AL37" i="68" s="1"/>
  <c r="AX36" i="68"/>
  <c r="AX37" i="68" s="1"/>
  <c r="AI36" i="68"/>
  <c r="AI37" i="68" s="1"/>
  <c r="AF38" i="68"/>
  <c r="AR38" i="68"/>
  <c r="AR39" i="68" s="1"/>
  <c r="AU38" i="68"/>
  <c r="AU39" i="68" s="1"/>
  <c r="AF37" i="68"/>
  <c r="CS21" i="2"/>
  <c r="CS36" i="2" s="1"/>
  <c r="CS37" i="2" s="1"/>
  <c r="CW21" i="2"/>
  <c r="CW38" i="2" s="1"/>
  <c r="CW39" i="2" s="1"/>
  <c r="AL21" i="2"/>
  <c r="AI21" i="2"/>
  <c r="AF21" i="2"/>
  <c r="BA21" i="2"/>
  <c r="AO21" i="2"/>
  <c r="CP21" i="2"/>
  <c r="CP38" i="2" s="1"/>
  <c r="CP39" i="2" s="1"/>
  <c r="CV21" i="2"/>
  <c r="CV36" i="2" s="1"/>
  <c r="CV37" i="2" s="1"/>
  <c r="CM21" i="2"/>
  <c r="CM36" i="2" s="1"/>
  <c r="CM37" i="2" s="1"/>
  <c r="AR21" i="2"/>
  <c r="AX21" i="2"/>
  <c r="AU21" i="2"/>
  <c r="AL39" i="68"/>
  <c r="AO39" i="68"/>
  <c r="CV36" i="68"/>
  <c r="CV37" i="68" s="1"/>
  <c r="CV38" i="68"/>
  <c r="CV39" i="68" s="1"/>
  <c r="CW36" i="68"/>
  <c r="CW37" i="68" s="1"/>
  <c r="CW38" i="68"/>
  <c r="CW39" i="68" s="1"/>
  <c r="CS36" i="68"/>
  <c r="CS37" i="68" s="1"/>
  <c r="CS38" i="68"/>
  <c r="CS39" i="68" s="1"/>
  <c r="CM36" i="68"/>
  <c r="CM38" i="68"/>
  <c r="AI39" i="68"/>
  <c r="CP36" i="68"/>
  <c r="CP37" i="68" s="1"/>
  <c r="CP38" i="68"/>
  <c r="CP39" i="68" s="1"/>
  <c r="BF5" i="66"/>
  <c r="H24" i="66" s="1"/>
  <c r="D39" i="66" s="1"/>
  <c r="BF4" i="66"/>
  <c r="H23" i="66" s="1"/>
  <c r="D38" i="66" s="1"/>
  <c r="BF3" i="66"/>
  <c r="H22" i="66" s="1"/>
  <c r="D37" i="66" s="1"/>
  <c r="BF8" i="66"/>
  <c r="H27" i="66" s="1"/>
  <c r="D42" i="66" s="1"/>
  <c r="BF7" i="66"/>
  <c r="H26" i="66" s="1"/>
  <c r="D41" i="66" s="1"/>
  <c r="BF6" i="66"/>
  <c r="H25" i="66" s="1"/>
  <c r="D40" i="66" s="1"/>
  <c r="BA37" i="68" l="1"/>
  <c r="BA38" i="68"/>
  <c r="BA36" i="68"/>
  <c r="AU36" i="2"/>
  <c r="AU37" i="2" s="1"/>
  <c r="AU38" i="2"/>
  <c r="AU39" i="2" s="1"/>
  <c r="AF36" i="2"/>
  <c r="AF38" i="2"/>
  <c r="AX36" i="2"/>
  <c r="AX37" i="2" s="1"/>
  <c r="AX38" i="2"/>
  <c r="AX39" i="2" s="1"/>
  <c r="AI36" i="2"/>
  <c r="AI37" i="2" s="1"/>
  <c r="AI38" i="2"/>
  <c r="AI39" i="2" s="1"/>
  <c r="AO36" i="2"/>
  <c r="AO37" i="2" s="1"/>
  <c r="AO38" i="2"/>
  <c r="AO39" i="2" s="1"/>
  <c r="AR36" i="2"/>
  <c r="AR37" i="2" s="1"/>
  <c r="AR38" i="2"/>
  <c r="AR39" i="2" s="1"/>
  <c r="AL36" i="2"/>
  <c r="AL37" i="2" s="1"/>
  <c r="AL38" i="2"/>
  <c r="AL39" i="2" s="1"/>
  <c r="CS38" i="2"/>
  <c r="CS39" i="2" s="1"/>
  <c r="CM38" i="2"/>
  <c r="CM39" i="2" s="1"/>
  <c r="CP36" i="2"/>
  <c r="CP37" i="2" s="1"/>
  <c r="CW36" i="2"/>
  <c r="CW37" i="2" s="1"/>
  <c r="CV38" i="2"/>
  <c r="CV39" i="2" s="1"/>
  <c r="CM39" i="68"/>
  <c r="CX39" i="68" s="1"/>
  <c r="CX38" i="68"/>
  <c r="AF39" i="68"/>
  <c r="BA39" i="68" s="1"/>
  <c r="CM37" i="68"/>
  <c r="CX37" i="68" s="1"/>
  <c r="CX36" i="68"/>
  <c r="H39" i="66"/>
  <c r="V34" i="66" s="1"/>
  <c r="H41" i="66"/>
  <c r="V31" i="66" s="1"/>
  <c r="H38" i="66"/>
  <c r="V32" i="66" s="1"/>
  <c r="H40" i="66"/>
  <c r="V35" i="66" s="1"/>
  <c r="H42" i="66"/>
  <c r="V30" i="66" s="1"/>
  <c r="H37" i="66"/>
  <c r="V33" i="66" s="1"/>
  <c r="BA38" i="2" l="1"/>
  <c r="AF39" i="2"/>
  <c r="BA39" i="2" s="1"/>
  <c r="BA36" i="2"/>
  <c r="AF37" i="2"/>
  <c r="BA37" i="2" s="1"/>
  <c r="CX37" i="2"/>
  <c r="CX36" i="2"/>
  <c r="CX38" i="2"/>
  <c r="CX3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26" authorId="0" shapeId="0" xr:uid="{00000000-0006-0000-0400-000003000000}">
      <text>
        <r>
          <rPr>
            <sz val="9"/>
            <color indexed="81"/>
            <rFont val="MS P ゴシック"/>
            <family val="3"/>
            <charset val="128"/>
          </rPr>
          <t>リストから選択してください</t>
        </r>
      </text>
    </comment>
    <comment ref="B28" authorId="0" shapeId="0" xr:uid="{00000000-0006-0000-0400-000004000000}">
      <text>
        <r>
          <rPr>
            <sz val="9"/>
            <color indexed="81"/>
            <rFont val="MS P ゴシック"/>
            <family val="3"/>
            <charset val="128"/>
          </rPr>
          <t>リストから選択してください</t>
        </r>
      </text>
    </comment>
    <comment ref="B30" authorId="0" shapeId="0" xr:uid="{00000000-0006-0000-0400-000005000000}">
      <text>
        <r>
          <rPr>
            <sz val="9"/>
            <color indexed="81"/>
            <rFont val="ＭＳ Ｐゴシック"/>
            <family val="3"/>
            <charset val="128"/>
          </rPr>
          <t xml:space="preserve">リストから選択してください。
</t>
        </r>
      </text>
    </comment>
    <comment ref="B32" authorId="0" shapeId="0" xr:uid="{00000000-0006-0000-0400-000006000000}">
      <text>
        <r>
          <rPr>
            <sz val="9"/>
            <color indexed="81"/>
            <rFont val="MS P ゴシック"/>
            <family val="3"/>
            <charset val="128"/>
          </rPr>
          <t>リストから選択してください</t>
        </r>
      </text>
    </comment>
    <comment ref="B34" authorId="0" shapeId="0" xr:uid="{00000000-0006-0000-0400-000007000000}">
      <text>
        <r>
          <rPr>
            <sz val="9"/>
            <color indexed="81"/>
            <rFont val="MS P ゴシック"/>
            <family val="3"/>
            <charset val="128"/>
          </rPr>
          <t>リストから選択してください</t>
        </r>
      </text>
    </comment>
    <comment ref="B36" authorId="0" shapeId="0" xr:uid="{00000000-0006-0000-0400-000008000000}">
      <text>
        <r>
          <rPr>
            <sz val="9"/>
            <color indexed="81"/>
            <rFont val="MS P ゴシック"/>
            <family val="3"/>
            <charset val="128"/>
          </rPr>
          <t>リストから選択してください</t>
        </r>
      </text>
    </comment>
    <comment ref="B38" authorId="0" shapeId="0" xr:uid="{00000000-0006-0000-0400-000009000000}">
      <text>
        <r>
          <rPr>
            <sz val="9"/>
            <color indexed="81"/>
            <rFont val="ＭＳ Ｐゴシック"/>
            <family val="3"/>
            <charset val="128"/>
          </rPr>
          <t xml:space="preserve">リストから選択してください。
</t>
        </r>
      </text>
    </comment>
    <comment ref="B40" authorId="0" shapeId="0" xr:uid="{00000000-0006-0000-0400-00000A000000}">
      <text>
        <r>
          <rPr>
            <sz val="9"/>
            <color indexed="81"/>
            <rFont val="MS P ゴシック"/>
            <family val="3"/>
            <charset val="128"/>
          </rPr>
          <t>リストから選択してください</t>
        </r>
      </text>
    </comment>
    <comment ref="B42" authorId="0" shapeId="0" xr:uid="{00000000-0006-0000-0400-00000B000000}">
      <text>
        <r>
          <rPr>
            <sz val="9"/>
            <color indexed="81"/>
            <rFont val="MS P ゴシック"/>
            <family val="3"/>
            <charset val="128"/>
          </rPr>
          <t>リストから選択してください</t>
        </r>
      </text>
    </comment>
    <comment ref="B44" authorId="0" shapeId="0" xr:uid="{00000000-0006-0000-0400-00000C000000}">
      <text>
        <r>
          <rPr>
            <sz val="9"/>
            <color indexed="81"/>
            <rFont val="MS P ゴシック"/>
            <family val="3"/>
            <charset val="128"/>
          </rPr>
          <t>リストから選択してください</t>
        </r>
      </text>
    </comment>
    <comment ref="B46" authorId="0" shapeId="0" xr:uid="{00000000-0006-0000-0400-00000D000000}">
      <text>
        <r>
          <rPr>
            <sz val="9"/>
            <color indexed="81"/>
            <rFont val="ＭＳ Ｐゴシック"/>
            <family val="3"/>
            <charset val="128"/>
          </rPr>
          <t xml:space="preserve">リストから選択してください。
</t>
        </r>
      </text>
    </comment>
    <comment ref="B48" authorId="0" shapeId="0" xr:uid="{00000000-0006-0000-0400-00000E000000}">
      <text>
        <r>
          <rPr>
            <sz val="9"/>
            <color indexed="81"/>
            <rFont val="MS P ゴシック"/>
            <family val="3"/>
            <charset val="128"/>
          </rPr>
          <t>リストから選択してください</t>
        </r>
      </text>
    </comment>
    <comment ref="B50" authorId="0" shapeId="0" xr:uid="{00000000-0006-0000-0400-00000F000000}">
      <text>
        <r>
          <rPr>
            <sz val="9"/>
            <color indexed="81"/>
            <rFont val="MS P ゴシック"/>
            <family val="3"/>
            <charset val="128"/>
          </rPr>
          <t>リストから選択してください</t>
        </r>
      </text>
    </comment>
    <comment ref="B52" authorId="0" shapeId="0" xr:uid="{00000000-0006-0000-0400-000010000000}">
      <text>
        <r>
          <rPr>
            <sz val="9"/>
            <color indexed="81"/>
            <rFont val="MS P ゴシック"/>
            <family val="3"/>
            <charset val="128"/>
          </rPr>
          <t>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user10</author>
  </authors>
  <commentList>
    <comment ref="H13" authorId="0" shapeId="0" xr:uid="{B639D319-1B71-411D-82C2-3D27E8C68B6B}">
      <text>
        <r>
          <rPr>
            <b/>
            <sz val="10"/>
            <color indexed="81"/>
            <rFont val="BIZ UDPゴシック"/>
            <family val="3"/>
            <charset val="128"/>
          </rPr>
          <t>ドラッグでコピー＆ペーストができます。</t>
        </r>
      </text>
    </comment>
    <comment ref="J13" authorId="0" shapeId="0" xr:uid="{66B5D913-7F6F-4447-A266-761DFC419D50}">
      <text>
        <r>
          <rPr>
            <b/>
            <sz val="10"/>
            <color indexed="81"/>
            <rFont val="BIZ UDPゴシック"/>
            <family val="3"/>
            <charset val="128"/>
          </rPr>
          <t>ドラッグでコピー＆ペーストができます。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user10</author>
    <author>user03</author>
  </authors>
  <commentList>
    <comment ref="AE22" authorId="0" shapeId="0" xr:uid="{66AE75AB-9399-4B38-BDAE-1B1BC3F77D52}">
      <text>
        <r>
          <rPr>
            <b/>
            <sz val="11"/>
            <color indexed="81"/>
            <rFont val="BIZ UDPゴシック"/>
            <family val="3"/>
            <charset val="128"/>
          </rPr>
          <t>【05利用者名簿】から積算してます。</t>
        </r>
      </text>
    </comment>
    <comment ref="CF22" authorId="0" shapeId="0" xr:uid="{7F5ABFC6-4723-482A-998A-26CD056CC436}">
      <text>
        <r>
          <rPr>
            <b/>
            <sz val="11"/>
            <color indexed="81"/>
            <rFont val="BIZ UDPゴシック"/>
            <family val="3"/>
            <charset val="128"/>
          </rPr>
          <t>【05利用者名簿】から積算してます。</t>
        </r>
      </text>
    </comment>
    <comment ref="I26" authorId="0" shapeId="0" xr:uid="{2AE32634-1FC1-4C29-8153-0172996D7992}">
      <text>
        <r>
          <rPr>
            <b/>
            <sz val="14"/>
            <color indexed="81"/>
            <rFont val="BIZ UDPゴシック"/>
            <family val="3"/>
            <charset val="128"/>
          </rPr>
          <t>【05利用者名簿】から積算してます。</t>
        </r>
      </text>
    </comment>
    <comment ref="I33" authorId="0" shapeId="0" xr:uid="{4D71D0A1-8550-4001-82BD-96BE98F0E8A1}">
      <text>
        <r>
          <rPr>
            <b/>
            <sz val="14"/>
            <color indexed="81"/>
            <rFont val="BIZ UDPゴシック"/>
            <family val="3"/>
            <charset val="128"/>
          </rPr>
          <t>【05利用者名簿】から
積算してます。</t>
        </r>
      </text>
    </comment>
    <comment ref="I41" authorId="0" shapeId="0" xr:uid="{BCA167CE-2074-40F5-9804-1F1820216DC9}">
      <text>
        <r>
          <rPr>
            <b/>
            <sz val="14"/>
            <color indexed="81"/>
            <rFont val="BIZ UDPゴシック"/>
            <family val="3"/>
            <charset val="128"/>
          </rPr>
          <t>【05利用者名簿】から
積算してます。</t>
        </r>
      </text>
    </comment>
    <comment ref="W41" authorId="1" shapeId="0" xr:uid="{B2144EA6-B5A3-4EC0-9B76-6DAB96F4ABF1}">
      <text>
        <r>
          <rPr>
            <b/>
            <sz val="14"/>
            <color indexed="81"/>
            <rFont val="BIZ UDPゴシック"/>
            <family val="3"/>
            <charset val="128"/>
          </rPr>
          <t>03　食事申込書から積算しています。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user10</author>
    <author>user03</author>
  </authors>
  <commentList>
    <comment ref="AE22" authorId="0" shapeId="0" xr:uid="{7B00FB3E-ECDE-4688-8880-DFAD94554D63}">
      <text>
        <r>
          <rPr>
            <b/>
            <sz val="11"/>
            <color indexed="81"/>
            <rFont val="BIZ UDPゴシック"/>
            <family val="3"/>
            <charset val="128"/>
          </rPr>
          <t>【05利用者名簿】から積算してます。</t>
        </r>
      </text>
    </comment>
    <comment ref="CF22" authorId="0" shapeId="0" xr:uid="{E9F32778-18CE-497D-98F4-E798EFB0391C}">
      <text>
        <r>
          <rPr>
            <b/>
            <sz val="11"/>
            <color indexed="81"/>
            <rFont val="BIZ UDPゴシック"/>
            <family val="3"/>
            <charset val="128"/>
          </rPr>
          <t>【05利用者名簿】から積算してます。</t>
        </r>
      </text>
    </comment>
    <comment ref="I26" authorId="0" shapeId="0" xr:uid="{42263D1B-194C-4E1D-B8A5-A459A4D10277}">
      <text>
        <r>
          <rPr>
            <b/>
            <sz val="14"/>
            <color indexed="81"/>
            <rFont val="BIZ UDPゴシック"/>
            <family val="3"/>
            <charset val="128"/>
          </rPr>
          <t>【05利用者名簿】から積算してます。</t>
        </r>
      </text>
    </comment>
    <comment ref="I33" authorId="0" shapeId="0" xr:uid="{0CE09F5D-7EFF-454A-8508-36CA399A8E0B}">
      <text>
        <r>
          <rPr>
            <b/>
            <sz val="14"/>
            <color indexed="81"/>
            <rFont val="BIZ UDPゴシック"/>
            <family val="3"/>
            <charset val="128"/>
          </rPr>
          <t>【05利用者名簿】から
積算してます。</t>
        </r>
      </text>
    </comment>
    <comment ref="I41" authorId="0" shapeId="0" xr:uid="{1A8A1E83-684D-4C98-9AA8-9BB071323C87}">
      <text>
        <r>
          <rPr>
            <b/>
            <sz val="14"/>
            <color indexed="81"/>
            <rFont val="BIZ UDPゴシック"/>
            <family val="3"/>
            <charset val="128"/>
          </rPr>
          <t>【05利用者名簿】から
積算してます。</t>
        </r>
      </text>
    </comment>
    <comment ref="W41" authorId="1" shapeId="0" xr:uid="{8D47DDB3-4D41-47D1-818C-93486DB342D7}">
      <text>
        <r>
          <rPr>
            <b/>
            <sz val="14"/>
            <color indexed="81"/>
            <rFont val="BIZ UDPゴシック"/>
            <family val="3"/>
            <charset val="128"/>
          </rPr>
          <t>03　食事申込書から積算しています。</t>
        </r>
      </text>
    </comment>
  </commentList>
</comments>
</file>

<file path=xl/sharedStrings.xml><?xml version="1.0" encoding="utf-8"?>
<sst xmlns="http://schemas.openxmlformats.org/spreadsheetml/2006/main" count="6985" uniqueCount="3227">
  <si>
    <t>郵便</t>
    <rPh sb="0" eb="2">
      <t>ユウビン</t>
    </rPh>
    <phoneticPr fontId="5"/>
  </si>
  <si>
    <t>E-MAIL</t>
    <phoneticPr fontId="5"/>
  </si>
  <si>
    <t>提出時期</t>
    <rPh sb="0" eb="2">
      <t>テイシュツ</t>
    </rPh>
    <rPh sb="2" eb="4">
      <t>ジキ</t>
    </rPh>
    <phoneticPr fontId="5"/>
  </si>
  <si>
    <t>申請書類の記入・提出</t>
    <phoneticPr fontId="5"/>
  </si>
  <si>
    <t>（１）　記入方法</t>
    <rPh sb="4" eb="6">
      <t>キニュウ</t>
    </rPh>
    <rPh sb="6" eb="8">
      <t>ホウホウ</t>
    </rPh>
    <phoneticPr fontId="5"/>
  </si>
  <si>
    <t>（２）　提出時期</t>
    <rPh sb="4" eb="6">
      <t>テイシュツ</t>
    </rPh>
    <rPh sb="6" eb="8">
      <t>ジキ</t>
    </rPh>
    <phoneticPr fontId="5"/>
  </si>
  <si>
    <t>１　記入及び提出時期・方法</t>
    <rPh sb="2" eb="4">
      <t>キニュウ</t>
    </rPh>
    <rPh sb="4" eb="5">
      <t>オヨ</t>
    </rPh>
    <rPh sb="6" eb="8">
      <t>テイシュツ</t>
    </rPh>
    <rPh sb="8" eb="10">
      <t>ジキ</t>
    </rPh>
    <rPh sb="11" eb="13">
      <t>ホウホウ</t>
    </rPh>
    <phoneticPr fontId="5"/>
  </si>
  <si>
    <t>（３）　提出方法</t>
    <rPh sb="4" eb="6">
      <t>テイシュツ</t>
    </rPh>
    <rPh sb="6" eb="8">
      <t>ホウホウ</t>
    </rPh>
    <phoneticPr fontId="5"/>
  </si>
  <si>
    <t>〒005-0862　札幌市南区滝野247番地　札幌市青少年山の家　相談担当あて</t>
    <rPh sb="33" eb="35">
      <t>ソウダン</t>
    </rPh>
    <phoneticPr fontId="5"/>
  </si>
  <si>
    <t>係</t>
    <rPh sb="0" eb="1">
      <t>カカリ</t>
    </rPh>
    <phoneticPr fontId="3"/>
  </si>
  <si>
    <t>指定管理者：公益財団法人さっぽろ青少年女性活動協会理事長</t>
    <phoneticPr fontId="3"/>
  </si>
  <si>
    <t>札幌市青少年山の家</t>
    <phoneticPr fontId="3"/>
  </si>
  <si>
    <t>【宛先】</t>
    <rPh sb="1" eb="3">
      <t>アテサキ</t>
    </rPh>
    <phoneticPr fontId="3"/>
  </si>
  <si>
    <t>札幌市青少年山の家</t>
    <phoneticPr fontId="3"/>
  </si>
  <si>
    <t>日</t>
    <rPh sb="0" eb="1">
      <t>ニチ</t>
    </rPh>
    <phoneticPr fontId="3"/>
  </si>
  <si>
    <t>月</t>
    <rPh sb="0" eb="1">
      <t>ガツ</t>
    </rPh>
    <phoneticPr fontId="3"/>
  </si>
  <si>
    <t>年</t>
    <rPh sb="0" eb="1">
      <t>ネン</t>
    </rPh>
    <phoneticPr fontId="3"/>
  </si>
  <si>
    <t>利用計画書及び利用者名簿等を添付し、上記のとおり申し込みます。</t>
    <rPh sb="0" eb="2">
      <t>リヨウ</t>
    </rPh>
    <rPh sb="2" eb="5">
      <t>ケイカクショ</t>
    </rPh>
    <rPh sb="5" eb="6">
      <t>オヨ</t>
    </rPh>
    <rPh sb="7" eb="9">
      <t>リヨウ</t>
    </rPh>
    <rPh sb="9" eb="10">
      <t>シャ</t>
    </rPh>
    <rPh sb="10" eb="12">
      <t>メイボ</t>
    </rPh>
    <rPh sb="12" eb="13">
      <t>ナド</t>
    </rPh>
    <rPh sb="14" eb="16">
      <t>テンプ</t>
    </rPh>
    <rPh sb="18" eb="20">
      <t>ジョウキ</t>
    </rPh>
    <rPh sb="24" eb="25">
      <t>モウ</t>
    </rPh>
    <rPh sb="26" eb="27">
      <t>コ</t>
    </rPh>
    <phoneticPr fontId="3"/>
  </si>
  <si>
    <t>］</t>
    <phoneticPr fontId="3"/>
  </si>
  <si>
    <t xml:space="preserve"> その他　［</t>
    <rPh sb="3" eb="4">
      <t>タ</t>
    </rPh>
    <phoneticPr fontId="3"/>
  </si>
  <si>
    <t xml:space="preserve"> 車両動向報告書</t>
    <rPh sb="1" eb="3">
      <t>シャリョウ</t>
    </rPh>
    <rPh sb="3" eb="5">
      <t>ドウコウ</t>
    </rPh>
    <rPh sb="5" eb="8">
      <t>ホウコクショ</t>
    </rPh>
    <phoneticPr fontId="3"/>
  </si>
  <si>
    <t xml:space="preserve"> 補助的指導者使用申込書（学校団体のみ）</t>
    <rPh sb="1" eb="4">
      <t>ホジョテキ</t>
    </rPh>
    <rPh sb="4" eb="7">
      <t>シドウシャ</t>
    </rPh>
    <rPh sb="7" eb="9">
      <t>シヨウ</t>
    </rPh>
    <rPh sb="9" eb="12">
      <t>モウシコミショ</t>
    </rPh>
    <rPh sb="13" eb="15">
      <t>ガッコウ</t>
    </rPh>
    <rPh sb="15" eb="17">
      <t>ダンタイ</t>
    </rPh>
    <phoneticPr fontId="3"/>
  </si>
  <si>
    <t xml:space="preserve"> 使用料減免申請書</t>
    <rPh sb="1" eb="4">
      <t>シヨウリョウ</t>
    </rPh>
    <rPh sb="4" eb="6">
      <t>ゲンメン</t>
    </rPh>
    <rPh sb="6" eb="8">
      <t>シンセイ</t>
    </rPh>
    <rPh sb="8" eb="9">
      <t>ショ</t>
    </rPh>
    <phoneticPr fontId="3"/>
  </si>
  <si>
    <t xml:space="preserve"> 人数報告用紙</t>
    <rPh sb="1" eb="3">
      <t>ニンズウ</t>
    </rPh>
    <rPh sb="3" eb="5">
      <t>ホウコク</t>
    </rPh>
    <rPh sb="5" eb="7">
      <t>ヨウシ</t>
    </rPh>
    <phoneticPr fontId="3"/>
  </si>
  <si>
    <t xml:space="preserve"> 利用者名簿</t>
    <rPh sb="1" eb="4">
      <t>リヨウシャ</t>
    </rPh>
    <rPh sb="4" eb="6">
      <t>メイボ</t>
    </rPh>
    <phoneticPr fontId="3"/>
  </si>
  <si>
    <t xml:space="preserve"> 食物アレルギー確認書</t>
    <rPh sb="1" eb="3">
      <t>ショクモツ</t>
    </rPh>
    <rPh sb="8" eb="11">
      <t>カクニンショ</t>
    </rPh>
    <phoneticPr fontId="3"/>
  </si>
  <si>
    <t xml:space="preserve"> 食事申込書</t>
    <rPh sb="1" eb="3">
      <t>ショクジ</t>
    </rPh>
    <rPh sb="3" eb="6">
      <t>モウシコミショ</t>
    </rPh>
    <phoneticPr fontId="3"/>
  </si>
  <si>
    <t xml:space="preserve"> 利用計画書</t>
    <rPh sb="1" eb="3">
      <t>リヨウ</t>
    </rPh>
    <rPh sb="3" eb="6">
      <t>ケイカクショ</t>
    </rPh>
    <phoneticPr fontId="3"/>
  </si>
  <si>
    <t>添付書類</t>
    <rPh sb="0" eb="2">
      <t>テンプ</t>
    </rPh>
    <rPh sb="2" eb="4">
      <t>ショルイ</t>
    </rPh>
    <phoneticPr fontId="3"/>
  </si>
  <si>
    <t>希望しない</t>
    <rPh sb="0" eb="2">
      <t>キボウ</t>
    </rPh>
    <phoneticPr fontId="3"/>
  </si>
  <si>
    <t>希望する</t>
    <rPh sb="0" eb="2">
      <t>キボウ</t>
    </rPh>
    <phoneticPr fontId="3"/>
  </si>
  <si>
    <t>バリアフリー宿泊室</t>
    <rPh sb="6" eb="9">
      <t>シュクハクシツ</t>
    </rPh>
    <phoneticPr fontId="3"/>
  </si>
  <si>
    <t>人</t>
    <rPh sb="0" eb="1">
      <t>ニン</t>
    </rPh>
    <phoneticPr fontId="3"/>
  </si>
  <si>
    <t>人数</t>
    <rPh sb="0" eb="2">
      <t>ニンズウ</t>
    </rPh>
    <phoneticPr fontId="3"/>
  </si>
  <si>
    <t>時</t>
    <rPh sb="0" eb="1">
      <t>ジ</t>
    </rPh>
    <phoneticPr fontId="3"/>
  </si>
  <si>
    <t>～</t>
    <phoneticPr fontId="3"/>
  </si>
  <si>
    <t>基準を超える使用を希望</t>
    <rPh sb="0" eb="2">
      <t>キジュン</t>
    </rPh>
    <rPh sb="3" eb="4">
      <t>コ</t>
    </rPh>
    <rPh sb="6" eb="8">
      <t>シヨウ</t>
    </rPh>
    <rPh sb="9" eb="11">
      <t>キボウ</t>
    </rPh>
    <phoneticPr fontId="3"/>
  </si>
  <si>
    <t>）</t>
    <phoneticPr fontId="3"/>
  </si>
  <si>
    <t>（</t>
    <phoneticPr fontId="3"/>
  </si>
  <si>
    <t>10</t>
    <phoneticPr fontId="3"/>
  </si>
  <si>
    <t>退館</t>
    <rPh sb="0" eb="2">
      <t>タイカン</t>
    </rPh>
    <phoneticPr fontId="3"/>
  </si>
  <si>
    <t>）</t>
    <phoneticPr fontId="3"/>
  </si>
  <si>
    <t>（</t>
    <phoneticPr fontId="3"/>
  </si>
  <si>
    <t>）</t>
    <phoneticPr fontId="3"/>
  </si>
  <si>
    <t>（</t>
    <phoneticPr fontId="3"/>
  </si>
  <si>
    <t>入館</t>
    <rPh sb="0" eb="2">
      <t>ニュウカン</t>
    </rPh>
    <phoneticPr fontId="3"/>
  </si>
  <si>
    <t>泊</t>
    <rPh sb="0" eb="1">
      <t>ハク</t>
    </rPh>
    <phoneticPr fontId="3"/>
  </si>
  <si>
    <t>日帰り</t>
    <rPh sb="0" eb="2">
      <t>ヒガエ</t>
    </rPh>
    <phoneticPr fontId="3"/>
  </si>
  <si>
    <t>宿泊</t>
    <rPh sb="0" eb="2">
      <t>シュクハク</t>
    </rPh>
    <phoneticPr fontId="3"/>
  </si>
  <si>
    <t>期間・形態</t>
    <rPh sb="0" eb="2">
      <t>キカン</t>
    </rPh>
    <rPh sb="3" eb="5">
      <t>ケイタイ</t>
    </rPh>
    <phoneticPr fontId="3"/>
  </si>
  <si>
    <t>yamanoie＠sapporo.jp</t>
    <phoneticPr fontId="3"/>
  </si>
  <si>
    <t>E-MAIL</t>
    <phoneticPr fontId="3"/>
  </si>
  <si>
    <t>E-MAIL</t>
    <phoneticPr fontId="3"/>
  </si>
  <si>
    <t>ＦＡＸ</t>
    <phoneticPr fontId="3"/>
  </si>
  <si>
    <t>）</t>
    <phoneticPr fontId="3"/>
  </si>
  <si>
    <t>TEL</t>
    <phoneticPr fontId="3"/>
  </si>
  <si>
    <t>）</t>
    <phoneticPr fontId="3"/>
  </si>
  <si>
    <t>TEL</t>
    <phoneticPr fontId="3"/>
  </si>
  <si>
    <t>札幌市南区滝野247番地</t>
    <rPh sb="0" eb="3">
      <t>サッポロシ</t>
    </rPh>
    <rPh sb="3" eb="5">
      <t>ミナミク</t>
    </rPh>
    <rPh sb="5" eb="7">
      <t>タキノ</t>
    </rPh>
    <rPh sb="10" eb="12">
      <t>バンチ</t>
    </rPh>
    <phoneticPr fontId="3"/>
  </si>
  <si>
    <t>〒</t>
    <phoneticPr fontId="3"/>
  </si>
  <si>
    <t>住所</t>
    <rPh sb="0" eb="2">
      <t>ジュウショ</t>
    </rPh>
    <phoneticPr fontId="3"/>
  </si>
  <si>
    <t>山の家　太郎</t>
  </si>
  <si>
    <t>氏名</t>
    <rPh sb="0" eb="2">
      <t>シメイ</t>
    </rPh>
    <phoneticPr fontId="3"/>
  </si>
  <si>
    <t>山の家　花子</t>
    <rPh sb="4" eb="6">
      <t>ハナコ</t>
    </rPh>
    <phoneticPr fontId="3"/>
  </si>
  <si>
    <t>やまのいえ　たろう</t>
    <phoneticPr fontId="3"/>
  </si>
  <si>
    <t>ふりがな</t>
    <phoneticPr fontId="3"/>
  </si>
  <si>
    <t>引率責任者
団体代表者</t>
    <rPh sb="0" eb="2">
      <t>インソツ</t>
    </rPh>
    <rPh sb="2" eb="5">
      <t>セキニンシャ</t>
    </rPh>
    <rPh sb="6" eb="8">
      <t>ダンタイ</t>
    </rPh>
    <rPh sb="8" eb="11">
      <t>ダイヒョウシャ</t>
    </rPh>
    <phoneticPr fontId="3"/>
  </si>
  <si>
    <t>やまのいえ　はなこ</t>
    <phoneticPr fontId="3"/>
  </si>
  <si>
    <t>企画担当者</t>
    <rPh sb="0" eb="2">
      <t>キカク</t>
    </rPh>
    <rPh sb="2" eb="5">
      <t>タントウシャ</t>
    </rPh>
    <phoneticPr fontId="3"/>
  </si>
  <si>
    <t>ふりがな</t>
    <phoneticPr fontId="3"/>
  </si>
  <si>
    <t>札幌市立青少年山の家小学校</t>
    <rPh sb="0" eb="3">
      <t>サッポロシ</t>
    </rPh>
    <rPh sb="3" eb="4">
      <t>リツ</t>
    </rPh>
    <rPh sb="4" eb="7">
      <t>セイショウネン</t>
    </rPh>
    <rPh sb="7" eb="8">
      <t>ヤマ</t>
    </rPh>
    <rPh sb="9" eb="10">
      <t>イエ</t>
    </rPh>
    <rPh sb="10" eb="13">
      <t>ショウガッコウ</t>
    </rPh>
    <phoneticPr fontId="3"/>
  </si>
  <si>
    <t>団体名</t>
    <rPh sb="0" eb="3">
      <t>ダンタイメイ</t>
    </rPh>
    <phoneticPr fontId="3"/>
  </si>
  <si>
    <t>さっぽろしりつせいしょうねんやまのいえしょうがっこう</t>
    <phoneticPr fontId="3"/>
  </si>
  <si>
    <t>団体</t>
    <rPh sb="0" eb="1">
      <t>ダン</t>
    </rPh>
    <rPh sb="1" eb="2">
      <t>カラダ</t>
    </rPh>
    <phoneticPr fontId="3"/>
  </si>
  <si>
    <t>札幌市青少年山の家　【 使用承認申請書 】</t>
    <rPh sb="12" eb="19">
      <t>シヨウショウニンシンセイショ</t>
    </rPh>
    <phoneticPr fontId="3"/>
  </si>
  <si>
    <t>備　考</t>
    <rPh sb="0" eb="1">
      <t>トモ</t>
    </rPh>
    <rPh sb="2" eb="3">
      <t>コウ</t>
    </rPh>
    <phoneticPr fontId="3"/>
  </si>
  <si>
    <t>就寝</t>
    <rPh sb="0" eb="2">
      <t>シュウシン</t>
    </rPh>
    <phoneticPr fontId="3"/>
  </si>
  <si>
    <t>荒天</t>
    <rPh sb="0" eb="2">
      <t>コウテン</t>
    </rPh>
    <phoneticPr fontId="3"/>
  </si>
  <si>
    <t>晴天</t>
    <rPh sb="0" eb="2">
      <t>セイテン</t>
    </rPh>
    <phoneticPr fontId="3"/>
  </si>
  <si>
    <t>天候</t>
    <rPh sb="0" eb="2">
      <t>テンコウ</t>
    </rPh>
    <phoneticPr fontId="3"/>
  </si>
  <si>
    <t>日付</t>
    <rPh sb="0" eb="2">
      <t>ヒヅケ</t>
    </rPh>
    <phoneticPr fontId="3"/>
  </si>
  <si>
    <t>（</t>
    <phoneticPr fontId="3"/>
  </si>
  <si>
    <t>利用日：</t>
    <rPh sb="0" eb="3">
      <t>リヨウビ</t>
    </rPh>
    <phoneticPr fontId="3"/>
  </si>
  <si>
    <t>札幌市立青少年山の家小学校</t>
    <phoneticPr fontId="3"/>
  </si>
  <si>
    <t>団体名：</t>
    <rPh sb="0" eb="3">
      <t>ダンタイメイ</t>
    </rPh>
    <phoneticPr fontId="3"/>
  </si>
  <si>
    <t>№</t>
    <phoneticPr fontId="3"/>
  </si>
  <si>
    <t>※複数団体の利用調整により、計画どおりにならない場合があります。</t>
    <phoneticPr fontId="3"/>
  </si>
  <si>
    <t>※補足や要望等は、備考欄に記入してください。</t>
    <phoneticPr fontId="3"/>
  </si>
  <si>
    <t>※当公園及び当施設利用上のきまりに沿って、利用計画（いつ・どこで・なにを）を立ててください（晴天・荒天共に）。</t>
    <phoneticPr fontId="3"/>
  </si>
  <si>
    <t>～</t>
    <phoneticPr fontId="3"/>
  </si>
  <si>
    <t>※複数団体の利用調整により、計画どおりにならない場合があります。</t>
    <phoneticPr fontId="3"/>
  </si>
  <si>
    <t>※当公園及び当施設利用上のきまりに沿って、利用計画（いつ・どこで・なにを）を立ててください（晴天・荒天共に）。</t>
    <phoneticPr fontId="3"/>
  </si>
  <si>
    <t>（</t>
    <phoneticPr fontId="3"/>
  </si>
  <si>
    <t>№</t>
    <phoneticPr fontId="3"/>
  </si>
  <si>
    <t>札幌市青少年山の家　【 食事申込書 】</t>
    <rPh sb="0" eb="3">
      <t>サッポロシ</t>
    </rPh>
    <rPh sb="3" eb="6">
      <t>セイショウネン</t>
    </rPh>
    <rPh sb="6" eb="7">
      <t>ヤマ</t>
    </rPh>
    <rPh sb="8" eb="9">
      <t>イエ</t>
    </rPh>
    <rPh sb="12" eb="14">
      <t>ショクジ</t>
    </rPh>
    <rPh sb="14" eb="17">
      <t>モウシコミショ</t>
    </rPh>
    <phoneticPr fontId="3"/>
  </si>
  <si>
    <t>※新規または変更の該当する側をチェックするとともに、提出日時を記入してください。</t>
    <rPh sb="1" eb="3">
      <t>シンキ</t>
    </rPh>
    <rPh sb="6" eb="8">
      <t>ヘンコウ</t>
    </rPh>
    <rPh sb="9" eb="11">
      <t>ガイトウ</t>
    </rPh>
    <rPh sb="13" eb="14">
      <t>ガワ</t>
    </rPh>
    <rPh sb="26" eb="29">
      <t>テイシュツビ</t>
    </rPh>
    <rPh sb="29" eb="30">
      <t>ジ</t>
    </rPh>
    <rPh sb="31" eb="33">
      <t>キニュウ</t>
    </rPh>
    <phoneticPr fontId="3"/>
  </si>
  <si>
    <t>分</t>
    <rPh sb="0" eb="1">
      <t>フン</t>
    </rPh>
    <phoneticPr fontId="3"/>
  </si>
  <si>
    <t>相談</t>
    <rPh sb="0" eb="2">
      <t>ソウダン</t>
    </rPh>
    <phoneticPr fontId="3"/>
  </si>
  <si>
    <t>～</t>
    <phoneticPr fontId="3"/>
  </si>
  <si>
    <t>日</t>
    <rPh sb="0" eb="1">
      <t>ニチ</t>
    </rPh>
    <phoneticPr fontId="3"/>
  </si>
  <si>
    <t>食物アレルギー確認書は</t>
    <rPh sb="0" eb="2">
      <t>ショクモツ</t>
    </rPh>
    <rPh sb="7" eb="10">
      <t>カクニンショ</t>
    </rPh>
    <phoneticPr fontId="3"/>
  </si>
  <si>
    <t>▼携帯食▼</t>
    <rPh sb="1" eb="4">
      <t>ケイタイショク</t>
    </rPh>
    <phoneticPr fontId="3"/>
  </si>
  <si>
    <t>▼炊事食▼</t>
    <rPh sb="1" eb="3">
      <t>スイジ</t>
    </rPh>
    <rPh sb="3" eb="4">
      <t>ショク</t>
    </rPh>
    <phoneticPr fontId="3"/>
  </si>
  <si>
    <t>　ゴマ塩おにぎり</t>
    <rPh sb="3" eb="4">
      <t>シオ</t>
    </rPh>
    <phoneticPr fontId="3"/>
  </si>
  <si>
    <t>　牛丼</t>
    <rPh sb="1" eb="3">
      <t>ギュウドン</t>
    </rPh>
    <phoneticPr fontId="3"/>
  </si>
  <si>
    <t>　豚汁</t>
    <rPh sb="1" eb="2">
      <t>ブタ</t>
    </rPh>
    <rPh sb="2" eb="3">
      <t>ジル</t>
    </rPh>
    <phoneticPr fontId="3"/>
  </si>
  <si>
    <t>　焼きそば</t>
    <rPh sb="1" eb="2">
      <t>ヤ</t>
    </rPh>
    <phoneticPr fontId="3"/>
  </si>
  <si>
    <t>　炊き出し</t>
    <rPh sb="1" eb="2">
      <t>タ</t>
    </rPh>
    <rPh sb="3" eb="4">
      <t>ダ</t>
    </rPh>
    <phoneticPr fontId="3"/>
  </si>
  <si>
    <t>期　日</t>
    <rPh sb="0" eb="1">
      <t>キ</t>
    </rPh>
    <rPh sb="2" eb="3">
      <t>ニチ</t>
    </rPh>
    <phoneticPr fontId="3"/>
  </si>
  <si>
    <t>時　機</t>
    <rPh sb="0" eb="1">
      <t>トキ</t>
    </rPh>
    <rPh sb="2" eb="3">
      <t>キ</t>
    </rPh>
    <phoneticPr fontId="3"/>
  </si>
  <si>
    <t>数　量</t>
    <rPh sb="0" eb="1">
      <t>スウ</t>
    </rPh>
    <rPh sb="2" eb="3">
      <t>リョウ</t>
    </rPh>
    <phoneticPr fontId="3"/>
  </si>
  <si>
    <t>変更</t>
    <rPh sb="0" eb="1">
      <t>ヘン</t>
    </rPh>
    <rPh sb="1" eb="2">
      <t>サラ</t>
    </rPh>
    <phoneticPr fontId="3"/>
  </si>
  <si>
    <t>備考</t>
    <rPh sb="0" eb="2">
      <t>ビコウ</t>
    </rPh>
    <phoneticPr fontId="3"/>
  </si>
  <si>
    <t>昼</t>
    <rPh sb="0" eb="1">
      <t>ヒル</t>
    </rPh>
    <phoneticPr fontId="3"/>
  </si>
  <si>
    <t>夕</t>
    <rPh sb="0" eb="1">
      <t>ユウ</t>
    </rPh>
    <phoneticPr fontId="3"/>
  </si>
  <si>
    <t>朝</t>
    <rPh sb="0" eb="1">
      <t>アサ</t>
    </rPh>
    <phoneticPr fontId="3"/>
  </si>
  <si>
    <t>小学生</t>
    <rPh sb="0" eb="3">
      <t>ショウガクセイ</t>
    </rPh>
    <phoneticPr fontId="3"/>
  </si>
  <si>
    <t>中学生
以上</t>
    <rPh sb="0" eb="3">
      <t>チュウガクセイ</t>
    </rPh>
    <rPh sb="4" eb="6">
      <t>イジョウ</t>
    </rPh>
    <phoneticPr fontId="3"/>
  </si>
  <si>
    <t>計</t>
    <rPh sb="0" eb="1">
      <t>ケイ</t>
    </rPh>
    <phoneticPr fontId="3"/>
  </si>
  <si>
    <t>　鶏の唐揚げ</t>
    <rPh sb="1" eb="2">
      <t>トリ</t>
    </rPh>
    <rPh sb="3" eb="5">
      <t>カラア</t>
    </rPh>
    <phoneticPr fontId="3"/>
  </si>
  <si>
    <t>▼飲料▼</t>
    <rPh sb="1" eb="3">
      <t>インリョウ</t>
    </rPh>
    <phoneticPr fontId="3"/>
  </si>
  <si>
    <t>合計</t>
    <rPh sb="0" eb="2">
      <t>ゴウケイ</t>
    </rPh>
    <phoneticPr fontId="3"/>
  </si>
  <si>
    <t>×</t>
    <phoneticPr fontId="3"/>
  </si>
  <si>
    <t>札幌市青少年山の家　【 食物アレルギー確認書 】</t>
    <rPh sb="12" eb="14">
      <t>ショクモツ</t>
    </rPh>
    <rPh sb="19" eb="22">
      <t>カクニンショ</t>
    </rPh>
    <phoneticPr fontId="3"/>
  </si>
  <si>
    <t>№</t>
    <phoneticPr fontId="3"/>
  </si>
  <si>
    <t>／</t>
    <phoneticPr fontId="3"/>
  </si>
  <si>
    <t>№</t>
    <phoneticPr fontId="3"/>
  </si>
  <si>
    <t>対応できる
アレルゲン</t>
    <rPh sb="0" eb="2">
      <t>タイオウ</t>
    </rPh>
    <phoneticPr fontId="3"/>
  </si>
  <si>
    <t>卵（鳥）</t>
    <rPh sb="0" eb="1">
      <t>タマゴ</t>
    </rPh>
    <rPh sb="2" eb="3">
      <t>トリ</t>
    </rPh>
    <phoneticPr fontId="3"/>
  </si>
  <si>
    <t>小麦</t>
    <rPh sb="0" eb="2">
      <t>コムギ</t>
    </rPh>
    <phoneticPr fontId="3"/>
  </si>
  <si>
    <t>えび</t>
  </si>
  <si>
    <t>乳（牛）</t>
    <rPh sb="0" eb="1">
      <t>ニュウ</t>
    </rPh>
    <rPh sb="2" eb="3">
      <t>ウシ</t>
    </rPh>
    <phoneticPr fontId="3"/>
  </si>
  <si>
    <t>そば</t>
  </si>
  <si>
    <t>落花生</t>
    <rPh sb="0" eb="3">
      <t>ラッカセイ</t>
    </rPh>
    <phoneticPr fontId="3"/>
  </si>
  <si>
    <t>かに</t>
  </si>
  <si>
    <t>食堂確認</t>
    <rPh sb="0" eb="2">
      <t>ショクドウ</t>
    </rPh>
    <rPh sb="2" eb="4">
      <t>カクニン</t>
    </rPh>
    <phoneticPr fontId="3"/>
  </si>
  <si>
    <t>対応方法</t>
    <rPh sb="0" eb="2">
      <t>タイオウ</t>
    </rPh>
    <rPh sb="2" eb="4">
      <t>ホウホウ</t>
    </rPh>
    <phoneticPr fontId="3"/>
  </si>
  <si>
    <t>生提供なし</t>
    <rPh sb="0" eb="1">
      <t>ナマ</t>
    </rPh>
    <rPh sb="1" eb="3">
      <t>テイキョウ</t>
    </rPh>
    <phoneticPr fontId="3"/>
  </si>
  <si>
    <t>生提供あり</t>
    <rPh sb="0" eb="1">
      <t>ナマ</t>
    </rPh>
    <rPh sb="1" eb="3">
      <t>テイキョウ</t>
    </rPh>
    <phoneticPr fontId="3"/>
  </si>
  <si>
    <t>アレルギー
対応の対象者</t>
    <rPh sb="6" eb="8">
      <t>タイオウ</t>
    </rPh>
    <rPh sb="9" eb="12">
      <t>タイショウシャ</t>
    </rPh>
    <phoneticPr fontId="3"/>
  </si>
  <si>
    <t>※調理器具及び食器類は、食物アレルギーによって使い分けをしていません。</t>
    <rPh sb="1" eb="3">
      <t>チョウリ</t>
    </rPh>
    <rPh sb="3" eb="5">
      <t>キグ</t>
    </rPh>
    <rPh sb="5" eb="6">
      <t>オヨ</t>
    </rPh>
    <rPh sb="7" eb="10">
      <t>ショッキルイ</t>
    </rPh>
    <rPh sb="12" eb="14">
      <t>ショクモツ</t>
    </rPh>
    <rPh sb="23" eb="24">
      <t>ツカ</t>
    </rPh>
    <rPh sb="25" eb="26">
      <t>ワ</t>
    </rPh>
    <phoneticPr fontId="3"/>
  </si>
  <si>
    <t>～</t>
    <phoneticPr fontId="3"/>
  </si>
  <si>
    <t>対象者</t>
    <rPh sb="0" eb="3">
      <t>タイショウシャ</t>
    </rPh>
    <phoneticPr fontId="3"/>
  </si>
  <si>
    <t>日(</t>
    <rPh sb="0" eb="1">
      <t>ニチ</t>
    </rPh>
    <phoneticPr fontId="3"/>
  </si>
  <si>
    <t>ジンギスカン</t>
    <phoneticPr fontId="3"/>
  </si>
  <si>
    <t>通常食</t>
    <rPh sb="0" eb="3">
      <t>ツウジョウショク</t>
    </rPh>
    <phoneticPr fontId="3"/>
  </si>
  <si>
    <t>対応内容</t>
    <rPh sb="0" eb="2">
      <t>タイオウ</t>
    </rPh>
    <rPh sb="2" eb="4">
      <t>ナイヨウ</t>
    </rPh>
    <phoneticPr fontId="3"/>
  </si>
  <si>
    <t>北海　道代</t>
    <rPh sb="0" eb="2">
      <t>ホッカイ</t>
    </rPh>
    <rPh sb="3" eb="5">
      <t>ミチヨ</t>
    </rPh>
    <phoneticPr fontId="3"/>
  </si>
  <si>
    <t>えび</t>
    <phoneticPr fontId="3"/>
  </si>
  <si>
    <t>えび</t>
    <phoneticPr fontId="3"/>
  </si>
  <si>
    <t>札幌　市夫</t>
    <rPh sb="0" eb="2">
      <t>サッポロ</t>
    </rPh>
    <rPh sb="3" eb="4">
      <t>イチ</t>
    </rPh>
    <rPh sb="4" eb="5">
      <t>オ</t>
    </rPh>
    <phoneticPr fontId="3"/>
  </si>
  <si>
    <t>南　滝蔵</t>
    <rPh sb="0" eb="1">
      <t>ミナミ</t>
    </rPh>
    <rPh sb="2" eb="3">
      <t>タキ</t>
    </rPh>
    <rPh sb="3" eb="4">
      <t>ゾウ</t>
    </rPh>
    <phoneticPr fontId="3"/>
  </si>
  <si>
    <t>鈴蘭　公子</t>
    <rPh sb="0" eb="2">
      <t>スズラン</t>
    </rPh>
    <rPh sb="3" eb="5">
      <t>コウコ</t>
    </rPh>
    <phoneticPr fontId="3"/>
  </si>
  <si>
    <t>不明点が多いので、相談させてください。</t>
    <phoneticPr fontId="3"/>
  </si>
  <si>
    <t>最終確認署名</t>
    <rPh sb="0" eb="2">
      <t>サイシュウ</t>
    </rPh>
    <rPh sb="2" eb="4">
      <t>カクニン</t>
    </rPh>
    <rPh sb="4" eb="6">
      <t>ショメイ</t>
    </rPh>
    <phoneticPr fontId="3"/>
  </si>
  <si>
    <t>相談担当：</t>
    <rPh sb="0" eb="2">
      <t>ソウダン</t>
    </rPh>
    <rPh sb="2" eb="4">
      <t>タントウ</t>
    </rPh>
    <phoneticPr fontId="3"/>
  </si>
  <si>
    <t>／</t>
    <phoneticPr fontId="3"/>
  </si>
  <si>
    <t>山の家花子</t>
    <rPh sb="0" eb="1">
      <t>ヤマ</t>
    </rPh>
    <rPh sb="2" eb="3">
      <t>イエ</t>
    </rPh>
    <rPh sb="3" eb="5">
      <t>ハナコ</t>
    </rPh>
    <phoneticPr fontId="3"/>
  </si>
  <si>
    <t>記</t>
    <rPh sb="0" eb="1">
      <t>キ</t>
    </rPh>
    <phoneticPr fontId="3"/>
  </si>
  <si>
    <t>日</t>
    <rPh sb="0" eb="1">
      <t>ヒ</t>
    </rPh>
    <phoneticPr fontId="3"/>
  </si>
  <si>
    <t>団　体　名</t>
    <rPh sb="0" eb="1">
      <t>ダン</t>
    </rPh>
    <rPh sb="2" eb="3">
      <t>カラダ</t>
    </rPh>
    <rPh sb="4" eb="5">
      <t>メイ</t>
    </rPh>
    <phoneticPr fontId="3"/>
  </si>
  <si>
    <t>山の家　太郎</t>
    <rPh sb="0" eb="1">
      <t>ヤマ</t>
    </rPh>
    <rPh sb="2" eb="3">
      <t>イエ</t>
    </rPh>
    <rPh sb="4" eb="6">
      <t>タロウ</t>
    </rPh>
    <phoneticPr fontId="3"/>
  </si>
  <si>
    <t>札幌市青少年山の家　【 利用者名簿】</t>
    <phoneticPr fontId="3"/>
  </si>
  <si>
    <t>氏　名</t>
    <rPh sb="0" eb="1">
      <t>シ</t>
    </rPh>
    <rPh sb="2" eb="3">
      <t>メイ</t>
    </rPh>
    <phoneticPr fontId="3"/>
  </si>
  <si>
    <t>利用延
べ日数</t>
    <rPh sb="0" eb="2">
      <t>リヨウ</t>
    </rPh>
    <rPh sb="2" eb="3">
      <t>ノ</t>
    </rPh>
    <rPh sb="5" eb="7">
      <t>ニッスウ</t>
    </rPh>
    <phoneticPr fontId="3"/>
  </si>
  <si>
    <t>区分</t>
    <rPh sb="0" eb="2">
      <t>クブン</t>
    </rPh>
    <phoneticPr fontId="3"/>
  </si>
  <si>
    <t>＜　区分欄凡例　＞</t>
    <rPh sb="2" eb="5">
      <t>クブンラン</t>
    </rPh>
    <rPh sb="5" eb="7">
      <t>ハンレイ</t>
    </rPh>
    <phoneticPr fontId="3"/>
  </si>
  <si>
    <t>中学生</t>
    <rPh sb="0" eb="3">
      <t>チュウガクセイ</t>
    </rPh>
    <phoneticPr fontId="3"/>
  </si>
  <si>
    <t>印刷範囲の指定</t>
    <rPh sb="0" eb="2">
      <t>インサツ</t>
    </rPh>
    <rPh sb="2" eb="4">
      <t>ハンイ</t>
    </rPh>
    <rPh sb="5" eb="7">
      <t>シテイ</t>
    </rPh>
    <phoneticPr fontId="3"/>
  </si>
  <si>
    <t>※　下図のように、印刷ページを「1～3」と指定しても、そのページが印刷できない範囲設定になって
　いる場合は印刷されません。
　　印刷の範囲は、次のように設定してください。
　　　１　画面右下にある3つ横並びのアイコンから「改ページプレビュー」を選んでください。
　　　２　１の操作後、画面が白色（印刷）部と灰色（非印刷）部が、青線で仕切られていることを
　　　　確認します。
　　　３　２の青線にカーソルを当ててドラッグすると、自在に白色部と灰色部を変更できます。
　　　４　印刷したいページが白色になっていれば、ページ指定のとおりに印刷することができます。　</t>
    <rPh sb="2" eb="4">
      <t>カズ</t>
    </rPh>
    <rPh sb="9" eb="11">
      <t>インサツ</t>
    </rPh>
    <rPh sb="21" eb="23">
      <t>シテイ</t>
    </rPh>
    <rPh sb="33" eb="35">
      <t>インサツ</t>
    </rPh>
    <rPh sb="39" eb="41">
      <t>ハンイ</t>
    </rPh>
    <rPh sb="41" eb="43">
      <t>セッテイ</t>
    </rPh>
    <rPh sb="52" eb="54">
      <t>バアイ</t>
    </rPh>
    <rPh sb="55" eb="57">
      <t>インサツ</t>
    </rPh>
    <rPh sb="67" eb="69">
      <t>インサツ</t>
    </rPh>
    <rPh sb="70" eb="72">
      <t>ハンイ</t>
    </rPh>
    <rPh sb="74" eb="75">
      <t>ツギ</t>
    </rPh>
    <rPh sb="79" eb="81">
      <t>セッテイ</t>
    </rPh>
    <rPh sb="95" eb="97">
      <t>ガメン</t>
    </rPh>
    <rPh sb="97" eb="99">
      <t>ミギシタ</t>
    </rPh>
    <rPh sb="104" eb="106">
      <t>ヨコナラ</t>
    </rPh>
    <rPh sb="115" eb="116">
      <t>カイ</t>
    </rPh>
    <rPh sb="126" eb="127">
      <t>エラ</t>
    </rPh>
    <rPh sb="143" eb="146">
      <t>ソウサゴ</t>
    </rPh>
    <rPh sb="147" eb="149">
      <t>ガメン</t>
    </rPh>
    <rPh sb="150" eb="151">
      <t>シロ</t>
    </rPh>
    <rPh sb="151" eb="152">
      <t>ショク</t>
    </rPh>
    <rPh sb="153" eb="155">
      <t>インサツ</t>
    </rPh>
    <rPh sb="158" eb="159">
      <t>ハイ</t>
    </rPh>
    <rPh sb="159" eb="160">
      <t>ショク</t>
    </rPh>
    <rPh sb="161" eb="162">
      <t>ヒ</t>
    </rPh>
    <rPh sb="162" eb="164">
      <t>インサツ</t>
    </rPh>
    <rPh sb="165" eb="166">
      <t>ブ</t>
    </rPh>
    <rPh sb="168" eb="170">
      <t>アオセン</t>
    </rPh>
    <rPh sb="171" eb="173">
      <t>シキ</t>
    </rPh>
    <rPh sb="187" eb="189">
      <t>カクニン</t>
    </rPh>
    <rPh sb="202" eb="204">
      <t>アオセン</t>
    </rPh>
    <rPh sb="210" eb="211">
      <t>ア</t>
    </rPh>
    <rPh sb="221" eb="223">
      <t>ジザイ</t>
    </rPh>
    <rPh sb="224" eb="226">
      <t>シロイロ</t>
    </rPh>
    <rPh sb="226" eb="227">
      <t>ブ</t>
    </rPh>
    <rPh sb="228" eb="230">
      <t>ハイイロ</t>
    </rPh>
    <rPh sb="230" eb="231">
      <t>ブ</t>
    </rPh>
    <rPh sb="232" eb="234">
      <t>ヘンコウ</t>
    </rPh>
    <rPh sb="246" eb="248">
      <t>インサツ</t>
    </rPh>
    <rPh sb="255" eb="257">
      <t>ハクショク</t>
    </rPh>
    <rPh sb="268" eb="270">
      <t>シテイ</t>
    </rPh>
    <rPh sb="275" eb="277">
      <t>インサツ</t>
    </rPh>
    <phoneticPr fontId="3"/>
  </si>
  <si>
    <t>■　食数変更は、原則として入館前日正午までに、食事申込書（変更）により連絡をいただいた場合のみ可能です。</t>
    <rPh sb="2" eb="3">
      <t>ショク</t>
    </rPh>
    <rPh sb="3" eb="4">
      <t>スウ</t>
    </rPh>
    <rPh sb="4" eb="6">
      <t>ヘンコウ</t>
    </rPh>
    <rPh sb="8" eb="10">
      <t>ゲンソク</t>
    </rPh>
    <rPh sb="13" eb="15">
      <t>ニュウカン</t>
    </rPh>
    <rPh sb="15" eb="17">
      <t>ゼンジツ</t>
    </rPh>
    <rPh sb="17" eb="19">
      <t>ショウゴ</t>
    </rPh>
    <rPh sb="23" eb="25">
      <t>ショクジ</t>
    </rPh>
    <rPh sb="25" eb="28">
      <t>モウシコミショ</t>
    </rPh>
    <rPh sb="29" eb="31">
      <t>ヘンコウ</t>
    </rPh>
    <rPh sb="35" eb="37">
      <t>レンラク</t>
    </rPh>
    <rPh sb="43" eb="45">
      <t>バアイ</t>
    </rPh>
    <rPh sb="47" eb="49">
      <t>カノウ</t>
    </rPh>
    <phoneticPr fontId="3"/>
  </si>
  <si>
    <t>プルダウンリスト</t>
    <phoneticPr fontId="3"/>
  </si>
  <si>
    <t>入園料</t>
    <rPh sb="0" eb="3">
      <t>ニュウエンリョウ</t>
    </rPh>
    <phoneticPr fontId="3"/>
  </si>
  <si>
    <t>食事代</t>
    <rPh sb="0" eb="3">
      <t>ショクジダイ</t>
    </rPh>
    <phoneticPr fontId="3"/>
  </si>
  <si>
    <t>クラフト</t>
    <phoneticPr fontId="3"/>
  </si>
  <si>
    <t>団体名</t>
    <rPh sb="0" eb="2">
      <t>ダンタイ</t>
    </rPh>
    <rPh sb="2" eb="3">
      <t>ガッコウメイ</t>
    </rPh>
    <phoneticPr fontId="21"/>
  </si>
  <si>
    <t>項目</t>
    <rPh sb="0" eb="2">
      <t>コウモク</t>
    </rPh>
    <phoneticPr fontId="3"/>
  </si>
  <si>
    <t>単価</t>
    <rPh sb="0" eb="2">
      <t>タンカ</t>
    </rPh>
    <phoneticPr fontId="21"/>
  </si>
  <si>
    <t>人・薪
・炭等
総数</t>
    <rPh sb="0" eb="1">
      <t>ヒト</t>
    </rPh>
    <rPh sb="2" eb="3">
      <t>マキ</t>
    </rPh>
    <rPh sb="5" eb="6">
      <t>スミ</t>
    </rPh>
    <rPh sb="6" eb="7">
      <t>トウ</t>
    </rPh>
    <rPh sb="8" eb="10">
      <t>ソウスウ</t>
    </rPh>
    <phoneticPr fontId="21"/>
  </si>
  <si>
    <t xml:space="preserve">小計 </t>
    <rPh sb="0" eb="2">
      <t>ショウケイ</t>
    </rPh>
    <phoneticPr fontId="21"/>
  </si>
  <si>
    <t>小人</t>
    <rPh sb="0" eb="2">
      <t>コビト</t>
    </rPh>
    <phoneticPr fontId="3"/>
  </si>
  <si>
    <t>利用日</t>
    <rPh sb="0" eb="2">
      <t>リヨウ</t>
    </rPh>
    <rPh sb="2" eb="3">
      <t>ビ</t>
    </rPh>
    <phoneticPr fontId="3"/>
  </si>
  <si>
    <t>～</t>
    <phoneticPr fontId="3"/>
  </si>
  <si>
    <t>食事代内訳</t>
    <rPh sb="0" eb="3">
      <t>ショクジダイ</t>
    </rPh>
    <rPh sb="3" eb="5">
      <t>ウチワケ</t>
    </rPh>
    <phoneticPr fontId="3"/>
  </si>
  <si>
    <t>期日</t>
    <rPh sb="0" eb="2">
      <t>キジツ</t>
    </rPh>
    <phoneticPr fontId="3"/>
  </si>
  <si>
    <t>時機</t>
    <rPh sb="0" eb="2">
      <t>ジキ</t>
    </rPh>
    <phoneticPr fontId="3"/>
  </si>
  <si>
    <t>メニュー</t>
    <phoneticPr fontId="3"/>
  </si>
  <si>
    <t>（円）</t>
    <rPh sb="1" eb="2">
      <t>エン</t>
    </rPh>
    <phoneticPr fontId="21"/>
  </si>
  <si>
    <t>人　　数</t>
    <phoneticPr fontId="21"/>
  </si>
  <si>
    <t>人　　数</t>
    <phoneticPr fontId="21"/>
  </si>
  <si>
    <t xml:space="preserve">（円） </t>
    <rPh sb="1" eb="2">
      <t>エン</t>
    </rPh>
    <phoneticPr fontId="21"/>
  </si>
  <si>
    <t>団体割</t>
    <rPh sb="0" eb="2">
      <t>ダンタイ</t>
    </rPh>
    <rPh sb="2" eb="3">
      <t>ワ</t>
    </rPh>
    <phoneticPr fontId="3"/>
  </si>
  <si>
    <t>▼食堂通常食▼</t>
    <rPh sb="1" eb="3">
      <t>ショクドウ</t>
    </rPh>
    <rPh sb="3" eb="5">
      <t>ツウジョウ</t>
    </rPh>
    <rPh sb="5" eb="6">
      <t>ショク</t>
    </rPh>
    <phoneticPr fontId="3"/>
  </si>
  <si>
    <t>風車</t>
    <rPh sb="0" eb="2">
      <t>カザグルマ</t>
    </rPh>
    <phoneticPr fontId="3"/>
  </si>
  <si>
    <t>一般</t>
    <rPh sb="0" eb="2">
      <t>イッパン</t>
    </rPh>
    <phoneticPr fontId="3"/>
  </si>
  <si>
    <t>　昼】通常食(幼児)</t>
    <rPh sb="1" eb="2">
      <t>ヒル</t>
    </rPh>
    <rPh sb="3" eb="5">
      <t>ツウジョウ</t>
    </rPh>
    <rPh sb="5" eb="6">
      <t>ショク</t>
    </rPh>
    <rPh sb="7" eb="9">
      <t>ヨウジ</t>
    </rPh>
    <phoneticPr fontId="3"/>
  </si>
  <si>
    <t>大人</t>
    <rPh sb="0" eb="2">
      <t>オトナ</t>
    </rPh>
    <phoneticPr fontId="3"/>
  </si>
  <si>
    <t>　昼】通常食(小学生)</t>
    <rPh sb="3" eb="5">
      <t>ツウジョウ</t>
    </rPh>
    <rPh sb="5" eb="6">
      <t>ショク</t>
    </rPh>
    <rPh sb="7" eb="10">
      <t>ショウガクセイ</t>
    </rPh>
    <phoneticPr fontId="3"/>
  </si>
  <si>
    <t>　昼】通常食(中学生以上)</t>
    <rPh sb="3" eb="5">
      <t>ツウジョウ</t>
    </rPh>
    <rPh sb="5" eb="6">
      <t>ショク</t>
    </rPh>
    <rPh sb="7" eb="10">
      <t>チュウガクセイ</t>
    </rPh>
    <rPh sb="10" eb="12">
      <t>イジョウ</t>
    </rPh>
    <phoneticPr fontId="3"/>
  </si>
  <si>
    <t>　夕】通常食(幼児)</t>
    <rPh sb="1" eb="2">
      <t>ユウ</t>
    </rPh>
    <rPh sb="3" eb="5">
      <t>ツウジョウ</t>
    </rPh>
    <rPh sb="5" eb="6">
      <t>ショク</t>
    </rPh>
    <rPh sb="7" eb="9">
      <t>ヨウジ</t>
    </rPh>
    <phoneticPr fontId="3"/>
  </si>
  <si>
    <t>　夕】通常食(小学生)</t>
    <rPh sb="3" eb="5">
      <t>ツウジョウ</t>
    </rPh>
    <rPh sb="5" eb="6">
      <t>ショク</t>
    </rPh>
    <rPh sb="7" eb="10">
      <t>ショウガクセイ</t>
    </rPh>
    <phoneticPr fontId="3"/>
  </si>
  <si>
    <t>ボランティア謝礼</t>
    <rPh sb="6" eb="8">
      <t>シャレイ</t>
    </rPh>
    <phoneticPr fontId="3"/>
  </si>
  <si>
    <t>　夕】通常食(中学生以上)</t>
    <rPh sb="3" eb="5">
      <t>ツウジョウ</t>
    </rPh>
    <rPh sb="5" eb="6">
      <t>ショク</t>
    </rPh>
    <rPh sb="7" eb="10">
      <t>チュウガクセイ</t>
    </rPh>
    <rPh sb="10" eb="12">
      <t>イジョウ</t>
    </rPh>
    <phoneticPr fontId="3"/>
  </si>
  <si>
    <t>木のマグネット</t>
    <rPh sb="0" eb="1">
      <t>キ</t>
    </rPh>
    <phoneticPr fontId="3"/>
  </si>
  <si>
    <t>施設使用料等</t>
    <rPh sb="0" eb="2">
      <t>シセツ</t>
    </rPh>
    <rPh sb="2" eb="4">
      <t>シヨウ</t>
    </rPh>
    <rPh sb="4" eb="5">
      <t>リョウ</t>
    </rPh>
    <rPh sb="5" eb="6">
      <t>ナド</t>
    </rPh>
    <phoneticPr fontId="3"/>
  </si>
  <si>
    <t>　朝】通常食(幼児)</t>
    <rPh sb="1" eb="2">
      <t>アサ</t>
    </rPh>
    <rPh sb="3" eb="5">
      <t>ツウジョウ</t>
    </rPh>
    <rPh sb="5" eb="6">
      <t>ショク</t>
    </rPh>
    <rPh sb="7" eb="9">
      <t>ヨウジ</t>
    </rPh>
    <phoneticPr fontId="3"/>
  </si>
  <si>
    <t>宛名・支払方法</t>
    <rPh sb="3" eb="5">
      <t>シハラ</t>
    </rPh>
    <rPh sb="5" eb="7">
      <t>ホウホウ</t>
    </rPh>
    <phoneticPr fontId="21"/>
  </si>
  <si>
    <t>領収・請求書１</t>
    <rPh sb="0" eb="2">
      <t>リョウシュウ</t>
    </rPh>
    <rPh sb="3" eb="6">
      <t>セイキュウショ</t>
    </rPh>
    <phoneticPr fontId="21"/>
  </si>
  <si>
    <t>現金</t>
    <rPh sb="0" eb="2">
      <t>ゲンキン</t>
    </rPh>
    <phoneticPr fontId="3"/>
  </si>
  <si>
    <t>後納</t>
    <rPh sb="0" eb="2">
      <t>コウノウ</t>
    </rPh>
    <phoneticPr fontId="3"/>
  </si>
  <si>
    <t>　朝】通常食(小学生)</t>
    <rPh sb="3" eb="5">
      <t>ツウジョウ</t>
    </rPh>
    <rPh sb="5" eb="6">
      <t>ショク</t>
    </rPh>
    <rPh sb="7" eb="10">
      <t>ショウガクセイ</t>
    </rPh>
    <phoneticPr fontId="3"/>
  </si>
  <si>
    <t>マイ箸</t>
    <rPh sb="2" eb="3">
      <t>ハシ</t>
    </rPh>
    <phoneticPr fontId="3"/>
  </si>
  <si>
    <t>領収・請求書２</t>
    <rPh sb="0" eb="2">
      <t>リョウシュウ</t>
    </rPh>
    <rPh sb="3" eb="6">
      <t>セイキュウショ</t>
    </rPh>
    <phoneticPr fontId="21"/>
  </si>
  <si>
    <t>　朝】通常食(中学生以上)</t>
    <rPh sb="3" eb="5">
      <t>ツウジョウ</t>
    </rPh>
    <rPh sb="5" eb="6">
      <t>ショク</t>
    </rPh>
    <rPh sb="7" eb="10">
      <t>チュウガクセイ</t>
    </rPh>
    <rPh sb="10" eb="12">
      <t>イジョウ</t>
    </rPh>
    <phoneticPr fontId="3"/>
  </si>
  <si>
    <t>領収・請求書３</t>
    <rPh sb="0" eb="2">
      <t>リョウシュウ</t>
    </rPh>
    <rPh sb="3" eb="6">
      <t>セイキュウショ</t>
    </rPh>
    <phoneticPr fontId="21"/>
  </si>
  <si>
    <t>▼食堂キッズA▼</t>
    <rPh sb="1" eb="3">
      <t>ショクドウ</t>
    </rPh>
    <phoneticPr fontId="3"/>
  </si>
  <si>
    <t>領収・請求書４</t>
    <rPh sb="0" eb="2">
      <t>リョウシュウ</t>
    </rPh>
    <rPh sb="3" eb="6">
      <t>セイキュウショ</t>
    </rPh>
    <phoneticPr fontId="21"/>
  </si>
  <si>
    <t>時期</t>
    <rPh sb="0" eb="2">
      <t>ジキ</t>
    </rPh>
    <phoneticPr fontId="3"/>
  </si>
  <si>
    <t>領収・請求書５</t>
    <rPh sb="0" eb="2">
      <t>リョウシュウ</t>
    </rPh>
    <rPh sb="3" eb="6">
      <t>セイキュウショ</t>
    </rPh>
    <phoneticPr fontId="21"/>
  </si>
  <si>
    <t>項　　　目</t>
    <rPh sb="0" eb="5">
      <t>コウモク</t>
    </rPh>
    <phoneticPr fontId="21"/>
  </si>
  <si>
    <t>領   収
請求書４</t>
    <rPh sb="0" eb="1">
      <t>リョウ</t>
    </rPh>
    <rPh sb="4" eb="5">
      <t>オサム</t>
    </rPh>
    <rPh sb="6" eb="9">
      <t>セイキュウショ</t>
    </rPh>
    <phoneticPr fontId="21"/>
  </si>
  <si>
    <t>人　　数</t>
    <phoneticPr fontId="21"/>
  </si>
  <si>
    <t>人　　数</t>
    <phoneticPr fontId="21"/>
  </si>
  <si>
    <t>人　　数</t>
    <phoneticPr fontId="21"/>
  </si>
  <si>
    <t>人　　数</t>
    <phoneticPr fontId="21"/>
  </si>
  <si>
    <t>入園料</t>
    <rPh sb="0" eb="3">
      <t>ニュウエンリョウ</t>
    </rPh>
    <phoneticPr fontId="21"/>
  </si>
  <si>
    <t>その他内訳</t>
    <rPh sb="2" eb="3">
      <t>タ</t>
    </rPh>
    <rPh sb="3" eb="5">
      <t>ウチワケ</t>
    </rPh>
    <phoneticPr fontId="3"/>
  </si>
  <si>
    <t>シーツ・枕カバー洗濯</t>
    <rPh sb="4" eb="5">
      <t>マクラ</t>
    </rPh>
    <rPh sb="8" eb="10">
      <t>センタク</t>
    </rPh>
    <phoneticPr fontId="21"/>
  </si>
  <si>
    <t>▼食堂キッズB▼</t>
    <rPh sb="1" eb="3">
      <t>ショクドウ</t>
    </rPh>
    <phoneticPr fontId="3"/>
  </si>
  <si>
    <t>　昼】キッズB(幼児)</t>
    <rPh sb="1" eb="2">
      <t>ヒル</t>
    </rPh>
    <rPh sb="8" eb="10">
      <t>ヨウジ</t>
    </rPh>
    <phoneticPr fontId="3"/>
  </si>
  <si>
    <t>　昼】キッズB(小学生)</t>
    <rPh sb="1" eb="2">
      <t>ヒル</t>
    </rPh>
    <rPh sb="8" eb="11">
      <t>ショウガクセイ</t>
    </rPh>
    <phoneticPr fontId="3"/>
  </si>
  <si>
    <t>　昼】キッズB(中学生以上)</t>
    <rPh sb="1" eb="2">
      <t>ヒル</t>
    </rPh>
    <rPh sb="8" eb="11">
      <t>チュウガクセイ</t>
    </rPh>
    <rPh sb="11" eb="13">
      <t>イジョウ</t>
    </rPh>
    <phoneticPr fontId="3"/>
  </si>
  <si>
    <t>　夕】キッズB(幼児)</t>
    <rPh sb="1" eb="2">
      <t>ユウ</t>
    </rPh>
    <rPh sb="8" eb="10">
      <t>ヨウジ</t>
    </rPh>
    <phoneticPr fontId="3"/>
  </si>
  <si>
    <t>施設使用料内訳</t>
    <rPh sb="0" eb="2">
      <t>シセツ</t>
    </rPh>
    <rPh sb="2" eb="5">
      <t>シヨウリョウ</t>
    </rPh>
    <rPh sb="5" eb="7">
      <t>ウチワケ</t>
    </rPh>
    <phoneticPr fontId="21"/>
  </si>
  <si>
    <t>宿泊</t>
    <phoneticPr fontId="21"/>
  </si>
  <si>
    <t>　夕】キッズB(小学生)</t>
    <rPh sb="1" eb="2">
      <t>ユウ</t>
    </rPh>
    <rPh sb="8" eb="11">
      <t>ショウガクセイ</t>
    </rPh>
    <phoneticPr fontId="3"/>
  </si>
  <si>
    <t>　夕】キッズB(中学生以上)</t>
    <rPh sb="1" eb="2">
      <t>ユウ</t>
    </rPh>
    <rPh sb="8" eb="11">
      <t>チュウガクセイ</t>
    </rPh>
    <rPh sb="11" eb="13">
      <t>イジョウ</t>
    </rPh>
    <phoneticPr fontId="3"/>
  </si>
  <si>
    <t>小・中学生</t>
    <rPh sb="0" eb="1">
      <t>ショウ</t>
    </rPh>
    <rPh sb="2" eb="5">
      <t>チュウガクセイ</t>
    </rPh>
    <phoneticPr fontId="21"/>
  </si>
  <si>
    <t>　朝】キッズB(幼児)</t>
    <rPh sb="1" eb="2">
      <t>アサ</t>
    </rPh>
    <rPh sb="8" eb="10">
      <t>ヨウジ</t>
    </rPh>
    <phoneticPr fontId="3"/>
  </si>
  <si>
    <t>　朝】キッズB(小学生)</t>
    <rPh sb="1" eb="2">
      <t>アサ</t>
    </rPh>
    <rPh sb="8" eb="11">
      <t>ショウガクセイ</t>
    </rPh>
    <phoneticPr fontId="3"/>
  </si>
  <si>
    <t>　朝】キッズB(中学生以上)</t>
    <rPh sb="1" eb="2">
      <t>アサ</t>
    </rPh>
    <rPh sb="8" eb="11">
      <t>チュウガクセイ</t>
    </rPh>
    <rPh sb="11" eb="13">
      <t>イジョウ</t>
    </rPh>
    <phoneticPr fontId="3"/>
  </si>
  <si>
    <t>減免対象者（すべて）</t>
    <rPh sb="0" eb="2">
      <t>ゲンメンニンズウ</t>
    </rPh>
    <rPh sb="2" eb="5">
      <t>タイショウシャ</t>
    </rPh>
    <phoneticPr fontId="21"/>
  </si>
  <si>
    <t>その他（一般）の方</t>
    <rPh sb="2" eb="3">
      <t>タ</t>
    </rPh>
    <rPh sb="4" eb="6">
      <t>イッパン</t>
    </rPh>
    <rPh sb="8" eb="9">
      <t>カタ</t>
    </rPh>
    <phoneticPr fontId="21"/>
  </si>
  <si>
    <t>日帰り</t>
    <phoneticPr fontId="21"/>
  </si>
  <si>
    <t>札幌市青少年山の家小学校</t>
    <rPh sb="0" eb="3">
      <t>サッポロシ</t>
    </rPh>
    <rPh sb="3" eb="6">
      <t>セイショウネン</t>
    </rPh>
    <rPh sb="6" eb="7">
      <t>ヤマ</t>
    </rPh>
    <rPh sb="8" eb="9">
      <t>イエ</t>
    </rPh>
    <rPh sb="9" eb="12">
      <t>ショウガッコウ</t>
    </rPh>
    <phoneticPr fontId="3"/>
  </si>
  <si>
    <t>　カレーライス</t>
    <phoneticPr fontId="3"/>
  </si>
  <si>
    <t>　ジンギスカン</t>
    <phoneticPr fontId="3"/>
  </si>
  <si>
    <t>　ホットドッグ</t>
    <phoneticPr fontId="3"/>
  </si>
  <si>
    <t>　プリン</t>
    <phoneticPr fontId="3"/>
  </si>
  <si>
    <t>　ミニエクレア</t>
    <phoneticPr fontId="3"/>
  </si>
  <si>
    <t>　フライドポテト</t>
    <phoneticPr fontId="3"/>
  </si>
  <si>
    <t>　アイスクリーム（バニラ味）</t>
    <rPh sb="12" eb="13">
      <t>アジ</t>
    </rPh>
    <phoneticPr fontId="3"/>
  </si>
  <si>
    <t>　チキンナゲット</t>
    <phoneticPr fontId="3"/>
  </si>
  <si>
    <t>　フランクフルト</t>
    <phoneticPr fontId="3"/>
  </si>
  <si>
    <t>～</t>
    <phoneticPr fontId="3"/>
  </si>
  <si>
    <t>使用料減免申請書</t>
    <rPh sb="0" eb="3">
      <t>シヨウリョウ</t>
    </rPh>
    <rPh sb="3" eb="5">
      <t>ゲンメン</t>
    </rPh>
    <rPh sb="5" eb="8">
      <t>シンセイショ</t>
    </rPh>
    <phoneticPr fontId="3"/>
  </si>
  <si>
    <t>10</t>
    <phoneticPr fontId="3"/>
  </si>
  <si>
    <t>　札幌市青少年山の家</t>
    <rPh sb="1" eb="8">
      <t>サッポロシセイショウネンヤマ</t>
    </rPh>
    <rPh sb="9" eb="10">
      <t>イエ</t>
    </rPh>
    <phoneticPr fontId="3"/>
  </si>
  <si>
    <t>　　指定管理者</t>
    <rPh sb="2" eb="4">
      <t>シテイ</t>
    </rPh>
    <rPh sb="4" eb="7">
      <t>カンリシャ</t>
    </rPh>
    <phoneticPr fontId="3"/>
  </si>
  <si>
    <t>　　（公財）さっぽろ青少年女性活動協会</t>
    <rPh sb="3" eb="4">
      <t>コウ</t>
    </rPh>
    <rPh sb="4" eb="5">
      <t>ザイ</t>
    </rPh>
    <rPh sb="10" eb="13">
      <t>セイショウネン</t>
    </rPh>
    <rPh sb="13" eb="15">
      <t>ジョセイ</t>
    </rPh>
    <rPh sb="15" eb="17">
      <t>カツドウ</t>
    </rPh>
    <rPh sb="17" eb="19">
      <t>キョウカイ</t>
    </rPh>
    <phoneticPr fontId="3"/>
  </si>
  <si>
    <t>　　理事長様</t>
    <rPh sb="2" eb="3">
      <t>リ</t>
    </rPh>
    <rPh sb="3" eb="4">
      <t>コト</t>
    </rPh>
    <rPh sb="4" eb="5">
      <t>チョウ</t>
    </rPh>
    <rPh sb="5" eb="6">
      <t>サマ</t>
    </rPh>
    <phoneticPr fontId="3"/>
  </si>
  <si>
    <t>札幌市立青少年山の家小学校</t>
    <phoneticPr fontId="3"/>
  </si>
  <si>
    <t>代表者氏名</t>
    <rPh sb="0" eb="3">
      <t>ダイヒョウシャ</t>
    </rPh>
    <rPh sb="3" eb="5">
      <t>シメイ</t>
    </rPh>
    <phoneticPr fontId="3"/>
  </si>
  <si>
    <t>住　　　所</t>
    <rPh sb="0" eb="1">
      <t>ジュウ</t>
    </rPh>
    <rPh sb="4" eb="5">
      <t>ショ</t>
    </rPh>
    <phoneticPr fontId="3"/>
  </si>
  <si>
    <t>電　　　話</t>
    <rPh sb="0" eb="1">
      <t>デン</t>
    </rPh>
    <rPh sb="4" eb="5">
      <t>ハナシ</t>
    </rPh>
    <phoneticPr fontId="3"/>
  </si>
  <si>
    <t>　　札幌市青少年山の家を使用するにあたり、次の理由により使用料を減免（免除）願いたい</t>
    <rPh sb="2" eb="5">
      <t>サッポロシ</t>
    </rPh>
    <rPh sb="5" eb="8">
      <t>セイショウネン</t>
    </rPh>
    <rPh sb="8" eb="9">
      <t>ヤマ</t>
    </rPh>
    <rPh sb="10" eb="11">
      <t>イエ</t>
    </rPh>
    <rPh sb="12" eb="14">
      <t>シヨウ</t>
    </rPh>
    <rPh sb="21" eb="22">
      <t>ツギ</t>
    </rPh>
    <rPh sb="23" eb="25">
      <t>リユウ</t>
    </rPh>
    <rPh sb="28" eb="31">
      <t>シヨウリョウ</t>
    </rPh>
    <rPh sb="32" eb="34">
      <t>ゲンメン</t>
    </rPh>
    <rPh sb="35" eb="37">
      <t>メンジョ</t>
    </rPh>
    <rPh sb="38" eb="39">
      <t>ネガ</t>
    </rPh>
    <phoneticPr fontId="3"/>
  </si>
  <si>
    <t>　ので申請します。</t>
    <rPh sb="3" eb="5">
      <t>シンセイ</t>
    </rPh>
    <phoneticPr fontId="3"/>
  </si>
  <si>
    <t>宿泊学習</t>
    <rPh sb="0" eb="2">
      <t>シュクハク</t>
    </rPh>
    <rPh sb="2" eb="4">
      <t>ガクシュウ</t>
    </rPh>
    <phoneticPr fontId="3"/>
  </si>
  <si>
    <t>　該当すると認められるので、使用料を減免したい。</t>
    <rPh sb="14" eb="17">
      <t>シヨウリョウ</t>
    </rPh>
    <rPh sb="18" eb="20">
      <t>ゲンメン</t>
    </rPh>
    <phoneticPr fontId="3"/>
  </si>
  <si>
    <t>〔使用料減免額〕</t>
    <rPh sb="1" eb="4">
      <t>シヨウリョウ</t>
    </rPh>
    <rPh sb="4" eb="6">
      <t>ゲンメン</t>
    </rPh>
    <rPh sb="6" eb="7">
      <t>ガク</t>
    </rPh>
    <phoneticPr fontId="3"/>
  </si>
  <si>
    <t>円</t>
    <rPh sb="0" eb="1">
      <t>エン</t>
    </rPh>
    <phoneticPr fontId="3"/>
  </si>
  <si>
    <t>＜内訳＞</t>
    <rPh sb="1" eb="3">
      <t>ウチワケ</t>
    </rPh>
    <phoneticPr fontId="3"/>
  </si>
  <si>
    <t>＠</t>
    <phoneticPr fontId="3"/>
  </si>
  <si>
    <t>係　長</t>
    <rPh sb="0" eb="1">
      <t>カカリ</t>
    </rPh>
    <rPh sb="2" eb="3">
      <t>チョウ</t>
    </rPh>
    <phoneticPr fontId="3"/>
  </si>
  <si>
    <t>札幌市青少年山の家　【 補助的指導者駐車カード 】</t>
    <rPh sb="12" eb="15">
      <t>ホジョテキ</t>
    </rPh>
    <rPh sb="15" eb="18">
      <t>シドウシャ</t>
    </rPh>
    <rPh sb="18" eb="20">
      <t>チュウシャ</t>
    </rPh>
    <phoneticPr fontId="3"/>
  </si>
  <si>
    <t>使用日:</t>
    <rPh sb="0" eb="3">
      <t>シヨウビ</t>
    </rPh>
    <phoneticPr fontId="3"/>
  </si>
  <si>
    <t>団体名:</t>
    <rPh sb="0" eb="2">
      <t>ダンタイ</t>
    </rPh>
    <rPh sb="2" eb="3">
      <t>メイ</t>
    </rPh>
    <phoneticPr fontId="3"/>
  </si>
  <si>
    <t>運転者名：</t>
    <rPh sb="0" eb="3">
      <t>ウンテンシャ</t>
    </rPh>
    <rPh sb="3" eb="4">
      <t>メイ</t>
    </rPh>
    <phoneticPr fontId="3"/>
  </si>
  <si>
    <t>※許可車両（駐車料金無料）は、各団体共に４台までとなっております。これを超過</t>
    <rPh sb="1" eb="3">
      <t>キョカ</t>
    </rPh>
    <rPh sb="3" eb="5">
      <t>シャリョウ</t>
    </rPh>
    <rPh sb="6" eb="8">
      <t>チュウシャ</t>
    </rPh>
    <rPh sb="8" eb="10">
      <t>リョウキン</t>
    </rPh>
    <rPh sb="10" eb="12">
      <t>ムリョウ</t>
    </rPh>
    <rPh sb="15" eb="16">
      <t>カク</t>
    </rPh>
    <rPh sb="16" eb="18">
      <t>ダンタイ</t>
    </rPh>
    <rPh sb="18" eb="19">
      <t>トモ</t>
    </rPh>
    <rPh sb="21" eb="22">
      <t>ダイ</t>
    </rPh>
    <rPh sb="36" eb="38">
      <t>チョウカ</t>
    </rPh>
    <phoneticPr fontId="3"/>
  </si>
  <si>
    <t>　する場合、団体代表者は滝野の森口料金所で駐車料金をお支払いください。</t>
    <rPh sb="3" eb="5">
      <t>バアイ</t>
    </rPh>
    <rPh sb="6" eb="8">
      <t>ダンタイ</t>
    </rPh>
    <rPh sb="8" eb="11">
      <t>ダイヒョウシャ</t>
    </rPh>
    <rPh sb="12" eb="14">
      <t>タキノ</t>
    </rPh>
    <rPh sb="15" eb="17">
      <t>モリグチ</t>
    </rPh>
    <rPh sb="17" eb="20">
      <t>リョウキンジョ</t>
    </rPh>
    <rPh sb="21" eb="23">
      <t>チュウシャ</t>
    </rPh>
    <rPh sb="23" eb="25">
      <t>リョウキン</t>
    </rPh>
    <rPh sb="27" eb="29">
      <t>シハラ</t>
    </rPh>
    <phoneticPr fontId="3"/>
  </si>
  <si>
    <t>※ご入園時に、この駐車カードを滝野の森口料金所へご提出ください。</t>
    <rPh sb="2" eb="5">
      <t>ニュウエンジ</t>
    </rPh>
    <rPh sb="9" eb="11">
      <t>チュウシャ</t>
    </rPh>
    <rPh sb="15" eb="17">
      <t>タキノ</t>
    </rPh>
    <rPh sb="18" eb="20">
      <t>モリグチ</t>
    </rPh>
    <rPh sb="20" eb="22">
      <t>リョウキン</t>
    </rPh>
    <rPh sb="22" eb="23">
      <t>ショ</t>
    </rPh>
    <rPh sb="25" eb="27">
      <t>テイシュツ</t>
    </rPh>
    <phoneticPr fontId="3"/>
  </si>
  <si>
    <t>青少年山の家小学校</t>
    <rPh sb="0" eb="3">
      <t>セイショウネン</t>
    </rPh>
    <rPh sb="3" eb="4">
      <t>ヤマ</t>
    </rPh>
    <rPh sb="5" eb="6">
      <t>イエ</t>
    </rPh>
    <rPh sb="6" eb="9">
      <t>ショウガッコウ</t>
    </rPh>
    <phoneticPr fontId="3"/>
  </si>
  <si>
    <t>補助的指導者使用申込書</t>
    <rPh sb="0" eb="3">
      <t>ホジョテキ</t>
    </rPh>
    <rPh sb="3" eb="6">
      <t>シドウシャ</t>
    </rPh>
    <rPh sb="6" eb="8">
      <t>シヨウ</t>
    </rPh>
    <rPh sb="8" eb="11">
      <t>モウシコミショ</t>
    </rPh>
    <phoneticPr fontId="3"/>
  </si>
  <si>
    <t>滝野　花子</t>
    <rPh sb="0" eb="2">
      <t>タキノ</t>
    </rPh>
    <rPh sb="3" eb="5">
      <t>ハナコ</t>
    </rPh>
    <phoneticPr fontId="3"/>
  </si>
  <si>
    <t>　　　　　　　　　　　　　上記の申し込みについて、使用を認める。</t>
    <rPh sb="13" eb="15">
      <t>ジョウキ</t>
    </rPh>
    <rPh sb="16" eb="17">
      <t>モウ</t>
    </rPh>
    <rPh sb="18" eb="19">
      <t>コ</t>
    </rPh>
    <rPh sb="25" eb="27">
      <t>シヨウ</t>
    </rPh>
    <rPh sb="28" eb="29">
      <t>ミト</t>
    </rPh>
    <phoneticPr fontId="3"/>
  </si>
  <si>
    <t>利用日変更（取消）報告書</t>
    <rPh sb="0" eb="3">
      <t>リヨウビ</t>
    </rPh>
    <rPh sb="3" eb="5">
      <t>ヘンコウ</t>
    </rPh>
    <rPh sb="6" eb="8">
      <t>トリケシ</t>
    </rPh>
    <rPh sb="9" eb="12">
      <t>ホウコクショ</t>
    </rPh>
    <phoneticPr fontId="3"/>
  </si>
  <si>
    <t>10</t>
    <phoneticPr fontId="3"/>
  </si>
  <si>
    <t>札幌市立青少年山の家小学校</t>
    <phoneticPr fontId="3"/>
  </si>
  <si>
    <t>利用日変更</t>
    <rPh sb="0" eb="3">
      <t>リヨウビ</t>
    </rPh>
    <rPh sb="3" eb="5">
      <t>ヘンコウ</t>
    </rPh>
    <phoneticPr fontId="3"/>
  </si>
  <si>
    <t>について、下記のとおり報告します。</t>
    <rPh sb="5" eb="7">
      <t>カキ</t>
    </rPh>
    <rPh sb="11" eb="13">
      <t>ホウコク</t>
    </rPh>
    <phoneticPr fontId="3"/>
  </si>
  <si>
    <t>利用取消</t>
    <rPh sb="0" eb="2">
      <t>リヨウ</t>
    </rPh>
    <rPh sb="2" eb="4">
      <t>トリケシ</t>
    </rPh>
    <phoneticPr fontId="3"/>
  </si>
  <si>
    <t>１　変更・取消前利用予定日</t>
    <rPh sb="2" eb="4">
      <t>ヘンコウ</t>
    </rPh>
    <rPh sb="5" eb="7">
      <t>トリケシ</t>
    </rPh>
    <rPh sb="7" eb="8">
      <t>マエ</t>
    </rPh>
    <rPh sb="8" eb="10">
      <t>リヨウ</t>
    </rPh>
    <rPh sb="10" eb="13">
      <t>ヨテイビ</t>
    </rPh>
    <phoneticPr fontId="3"/>
  </si>
  <si>
    <t>～</t>
    <phoneticPr fontId="3"/>
  </si>
  <si>
    <t>（</t>
    <phoneticPr fontId="3"/>
  </si>
  <si>
    <t>２　変更後利用予定日</t>
    <rPh sb="2" eb="4">
      <t>ヘンコウ</t>
    </rPh>
    <rPh sb="4" eb="5">
      <t>ゴ</t>
    </rPh>
    <rPh sb="5" eb="7">
      <t>リヨウ</t>
    </rPh>
    <rPh sb="7" eb="10">
      <t>ヨテイビ</t>
    </rPh>
    <phoneticPr fontId="3"/>
  </si>
  <si>
    <t>）</t>
    <phoneticPr fontId="3"/>
  </si>
  <si>
    <t>３　利用予定人数</t>
    <rPh sb="2" eb="4">
      <t>リヨウ</t>
    </rPh>
    <rPh sb="4" eb="6">
      <t>ヨテイ</t>
    </rPh>
    <rPh sb="6" eb="8">
      <t>ニンズウ</t>
    </rPh>
    <phoneticPr fontId="3"/>
  </si>
  <si>
    <t>４　変更・取消の理由</t>
    <rPh sb="2" eb="4">
      <t>ヘンコウ</t>
    </rPh>
    <rPh sb="5" eb="7">
      <t>トリケシ</t>
    </rPh>
    <rPh sb="8" eb="10">
      <t>リユウ</t>
    </rPh>
    <phoneticPr fontId="3"/>
  </si>
  <si>
    <t>　　インフルエンザ感染に伴う学年閉鎖のため、利用予定日変更を行いたい。</t>
    <rPh sb="9" eb="11">
      <t>カンセン</t>
    </rPh>
    <rPh sb="12" eb="13">
      <t>トモナ</t>
    </rPh>
    <rPh sb="14" eb="16">
      <t>ガクネン</t>
    </rPh>
    <rPh sb="16" eb="18">
      <t>ヘイサ</t>
    </rPh>
    <rPh sb="22" eb="24">
      <t>リヨウ</t>
    </rPh>
    <rPh sb="24" eb="27">
      <t>ヨテイビ</t>
    </rPh>
    <rPh sb="27" eb="29">
      <t>ヘンコウ</t>
    </rPh>
    <rPh sb="30" eb="31">
      <t>オコナ</t>
    </rPh>
    <phoneticPr fontId="3"/>
  </si>
  <si>
    <t>→</t>
    <phoneticPr fontId="3"/>
  </si>
  <si>
    <t>→</t>
    <phoneticPr fontId="3"/>
  </si>
  <si>
    <t>アレルゲン以外の特別な事情により、
やむを得ず食事をお持ち込みになる方はいますか。</t>
    <rPh sb="23" eb="25">
      <t>ショクジ</t>
    </rPh>
    <phoneticPr fontId="3"/>
  </si>
  <si>
    <t>　※原則、７大アレルゲン以外の対応はできません。</t>
    <rPh sb="2" eb="4">
      <t>ゲンソク</t>
    </rPh>
    <phoneticPr fontId="3"/>
  </si>
  <si>
    <t>（</t>
    <phoneticPr fontId="3"/>
  </si>
  <si>
    <t>№</t>
    <phoneticPr fontId="3"/>
  </si>
  <si>
    <t>／</t>
    <phoneticPr fontId="3"/>
  </si>
  <si>
    <t>）</t>
    <phoneticPr fontId="3"/>
  </si>
  <si>
    <t>）</t>
    <phoneticPr fontId="3"/>
  </si>
  <si>
    <t>）</t>
    <phoneticPr fontId="3"/>
  </si>
  <si>
    <t>～</t>
    <phoneticPr fontId="3"/>
  </si>
  <si>
    <t>（</t>
    <phoneticPr fontId="3"/>
  </si>
  <si>
    <t>はじめにお読みください</t>
    <rPh sb="5" eb="6">
      <t>ヨ</t>
    </rPh>
    <phoneticPr fontId="5"/>
  </si>
  <si>
    <t>シート名</t>
    <rPh sb="3" eb="4">
      <t>メイ</t>
    </rPh>
    <phoneticPr fontId="5"/>
  </si>
  <si>
    <t>　　　　各シートの</t>
    <rPh sb="4" eb="5">
      <t>カク</t>
    </rPh>
    <phoneticPr fontId="5"/>
  </si>
  <si>
    <t>　は、必須入力箇所となります。</t>
    <rPh sb="3" eb="5">
      <t>ヒッス</t>
    </rPh>
    <rPh sb="5" eb="7">
      <t>ニュウリョク</t>
    </rPh>
    <rPh sb="7" eb="9">
      <t>カショ</t>
    </rPh>
    <phoneticPr fontId="5"/>
  </si>
  <si>
    <t>通常食</t>
    <rPh sb="0" eb="2">
      <t>ツウジョウ</t>
    </rPh>
    <rPh sb="2" eb="3">
      <t>ショク</t>
    </rPh>
    <phoneticPr fontId="8"/>
  </si>
  <si>
    <t>札幌市立青少年山の家小学校</t>
    <phoneticPr fontId="3"/>
  </si>
  <si>
    <t>～</t>
    <phoneticPr fontId="3"/>
  </si>
  <si>
    <t>＠</t>
    <phoneticPr fontId="3"/>
  </si>
  <si>
    <t>×</t>
    <phoneticPr fontId="3"/>
  </si>
  <si>
    <t>＠</t>
    <phoneticPr fontId="3"/>
  </si>
  <si>
    <t>×</t>
    <phoneticPr fontId="3"/>
  </si>
  <si>
    <t>×</t>
    <phoneticPr fontId="3"/>
  </si>
  <si>
    <t>炊事判定</t>
  </si>
  <si>
    <t>ソート用データ</t>
  </si>
  <si>
    <t>期日</t>
  </si>
  <si>
    <t>昼</t>
  </si>
  <si>
    <t>夕</t>
  </si>
  <si>
    <t>朝</t>
  </si>
  <si>
    <t>メニュー</t>
  </si>
  <si>
    <t>人数</t>
  </si>
  <si>
    <t>班合計人数</t>
  </si>
  <si>
    <t>▼食堂食▼</t>
  </si>
  <si>
    <t>食堂</t>
  </si>
  <si>
    <t>▼時機▼</t>
  </si>
  <si>
    <t>通常食</t>
  </si>
  <si>
    <t>キッズA</t>
  </si>
  <si>
    <t>キッズB</t>
  </si>
  <si>
    <t>▼携帯食▼</t>
  </si>
  <si>
    <t>▼炊事食▼</t>
  </si>
  <si>
    <t>　ゴマ塩おにぎり</t>
  </si>
  <si>
    <t>ゴマ塩おにぎり</t>
  </si>
  <si>
    <t>　カレーライス</t>
  </si>
  <si>
    <t>カレーライス</t>
  </si>
  <si>
    <t>　牛丼</t>
  </si>
  <si>
    <t>牛丼</t>
  </si>
  <si>
    <t>　豚汁</t>
  </si>
  <si>
    <t>豚汁</t>
  </si>
  <si>
    <t>　ホットドッグ</t>
  </si>
  <si>
    <t>ホットドッグ</t>
  </si>
  <si>
    <t>　焼きうどん</t>
  </si>
  <si>
    <t>　焼きそば</t>
  </si>
  <si>
    <t>焼きそば</t>
  </si>
  <si>
    <t>　ジンギスカン</t>
  </si>
  <si>
    <t>ジンギスカン</t>
  </si>
  <si>
    <t>　炊き出し</t>
  </si>
  <si>
    <t>炊き出し</t>
  </si>
  <si>
    <t>　プリン</t>
  </si>
  <si>
    <t>　ミニエクレア</t>
  </si>
  <si>
    <t>　フライドポテト</t>
  </si>
  <si>
    <t>　アイスクリーム</t>
  </si>
  <si>
    <t>　チキンナゲット</t>
  </si>
  <si>
    <t>　フランクフルト</t>
  </si>
  <si>
    <t>　鶏の唐揚げ</t>
  </si>
  <si>
    <t>プリン</t>
  </si>
  <si>
    <t>ミニエクレア</t>
  </si>
  <si>
    <t>▼飲料▼</t>
  </si>
  <si>
    <t>フライドポテト</t>
  </si>
  <si>
    <t>　お～いお茶</t>
  </si>
  <si>
    <t>アイスクリーム</t>
  </si>
  <si>
    <t>　アップル：バヤリース</t>
  </si>
  <si>
    <t>チキンナゲット</t>
  </si>
  <si>
    <t>　オレンジ：バヤリース</t>
  </si>
  <si>
    <t>フランクフルト</t>
  </si>
  <si>
    <t>　ラブズスポーツ</t>
  </si>
  <si>
    <t>鶏の唐揚げ</t>
  </si>
  <si>
    <t>　香り茶：大和園</t>
  </si>
  <si>
    <t>携帯食</t>
  </si>
  <si>
    <t>日</t>
  </si>
  <si>
    <t>名</t>
    <rPh sb="0" eb="1">
      <t>メイ</t>
    </rPh>
    <phoneticPr fontId="8"/>
  </si>
  <si>
    <t>（</t>
    <phoneticPr fontId="3"/>
  </si>
  <si>
    <t>月</t>
    <rPh sb="0" eb="1">
      <t>ゲツ</t>
    </rPh>
    <phoneticPr fontId="8"/>
  </si>
  <si>
    <t>火</t>
    <rPh sb="0" eb="1">
      <t>ヒ</t>
    </rPh>
    <phoneticPr fontId="8"/>
  </si>
  <si>
    <t>木</t>
    <rPh sb="0" eb="1">
      <t>モク</t>
    </rPh>
    <phoneticPr fontId="8"/>
  </si>
  <si>
    <t>退館</t>
    <rPh sb="0" eb="2">
      <t>タイカン</t>
    </rPh>
    <phoneticPr fontId="8"/>
  </si>
  <si>
    <t>朝　食</t>
    <rPh sb="0" eb="1">
      <t>アサ</t>
    </rPh>
    <rPh sb="2" eb="3">
      <t>ショク</t>
    </rPh>
    <phoneticPr fontId="28"/>
  </si>
  <si>
    <t>昼　食</t>
    <rPh sb="0" eb="1">
      <t>ヒル</t>
    </rPh>
    <rPh sb="2" eb="3">
      <t>ショク</t>
    </rPh>
    <phoneticPr fontId="28"/>
  </si>
  <si>
    <t>夕　食</t>
    <rPh sb="0" eb="1">
      <t>ユウ</t>
    </rPh>
    <rPh sb="2" eb="3">
      <t>ショク</t>
    </rPh>
    <phoneticPr fontId="28"/>
  </si>
  <si>
    <t>昼　食</t>
    <rPh sb="0" eb="1">
      <t>ヒル</t>
    </rPh>
    <rPh sb="2" eb="3">
      <t>ショク</t>
    </rPh>
    <phoneticPr fontId="3"/>
  </si>
  <si>
    <t>夕　食</t>
    <rPh sb="0" eb="1">
      <t>ユウ</t>
    </rPh>
    <rPh sb="2" eb="3">
      <t>ショク</t>
    </rPh>
    <phoneticPr fontId="3"/>
  </si>
  <si>
    <t>場所</t>
    <rPh sb="0" eb="2">
      <t>バショ</t>
    </rPh>
    <phoneticPr fontId="3"/>
  </si>
  <si>
    <t>メニュー</t>
    <phoneticPr fontId="28"/>
  </si>
  <si>
    <t>炊事合計人数</t>
    <rPh sb="0" eb="2">
      <t>スイジ</t>
    </rPh>
    <rPh sb="2" eb="4">
      <t>ゴウケイ</t>
    </rPh>
    <rPh sb="4" eb="6">
      <t>ニンズウ</t>
    </rPh>
    <phoneticPr fontId="28"/>
  </si>
  <si>
    <t>炊事半数</t>
    <rPh sb="0" eb="2">
      <t>スイジ</t>
    </rPh>
    <rPh sb="2" eb="4">
      <t>ハンスウ</t>
    </rPh>
    <phoneticPr fontId="28"/>
  </si>
  <si>
    <t>人数報告用紙転載用ソートデータ</t>
    <rPh sb="0" eb="2">
      <t>ニンズウ</t>
    </rPh>
    <rPh sb="2" eb="4">
      <t>ホウコク</t>
    </rPh>
    <rPh sb="4" eb="6">
      <t>ヨウシ</t>
    </rPh>
    <rPh sb="6" eb="8">
      <t>テンサイ</t>
    </rPh>
    <rPh sb="8" eb="9">
      <t>ヨウ</t>
    </rPh>
    <phoneticPr fontId="28"/>
  </si>
  <si>
    <t>期日</t>
    <rPh sb="0" eb="2">
      <t>キジツ</t>
    </rPh>
    <phoneticPr fontId="28"/>
  </si>
  <si>
    <t>時機</t>
    <rPh sb="0" eb="2">
      <t>ジキ</t>
    </rPh>
    <phoneticPr fontId="28"/>
  </si>
  <si>
    <t>人数</t>
    <rPh sb="0" eb="2">
      <t>ニンズウ</t>
    </rPh>
    <phoneticPr fontId="28"/>
  </si>
  <si>
    <t>幼児</t>
    <rPh sb="0" eb="2">
      <t>ヨウジ</t>
    </rPh>
    <phoneticPr fontId="28"/>
  </si>
  <si>
    <t>小学生</t>
    <rPh sb="0" eb="3">
      <t>ショウガクセイ</t>
    </rPh>
    <phoneticPr fontId="28"/>
  </si>
  <si>
    <t>食堂以外</t>
    <rPh sb="0" eb="2">
      <t>ショクドウ</t>
    </rPh>
    <rPh sb="2" eb="4">
      <t>イガイ</t>
    </rPh>
    <phoneticPr fontId="28"/>
  </si>
  <si>
    <t>中学生以上</t>
    <rPh sb="0" eb="3">
      <t>チュウガクセイ</t>
    </rPh>
    <rPh sb="3" eb="5">
      <t>イジョウ</t>
    </rPh>
    <phoneticPr fontId="28"/>
  </si>
  <si>
    <t>料金</t>
    <rPh sb="0" eb="2">
      <t>リョウキン</t>
    </rPh>
    <phoneticPr fontId="28"/>
  </si>
  <si>
    <t>人数報告書メニュー名</t>
    <rPh sb="0" eb="2">
      <t>ニンズウ</t>
    </rPh>
    <rPh sb="2" eb="5">
      <t>ホウコクショ</t>
    </rPh>
    <rPh sb="9" eb="10">
      <t>メイ</t>
    </rPh>
    <phoneticPr fontId="28"/>
  </si>
  <si>
    <t>　クリスタルガイザー</t>
    <phoneticPr fontId="28"/>
  </si>
  <si>
    <t>判定＆ソート用データ</t>
    <rPh sb="0" eb="2">
      <t>ハンテイ</t>
    </rPh>
    <rPh sb="6" eb="7">
      <t>ヨウ</t>
    </rPh>
    <phoneticPr fontId="28"/>
  </si>
  <si>
    <t>メニュー判定用</t>
    <rPh sb="4" eb="7">
      <t>ハンテイヨウ</t>
    </rPh>
    <phoneticPr fontId="28"/>
  </si>
  <si>
    <t>昼　食通常食幼児</t>
    <rPh sb="0" eb="1">
      <t>ヒル</t>
    </rPh>
    <rPh sb="2" eb="3">
      <t>ショク</t>
    </rPh>
    <rPh sb="3" eb="5">
      <t>ツウジョウ</t>
    </rPh>
    <rPh sb="5" eb="6">
      <t>ショク</t>
    </rPh>
    <rPh sb="6" eb="8">
      <t>ヨウジ</t>
    </rPh>
    <phoneticPr fontId="28"/>
  </si>
  <si>
    <t>昼　食通常食小学生</t>
    <rPh sb="0" eb="1">
      <t>ヒル</t>
    </rPh>
    <rPh sb="2" eb="3">
      <t>ショク</t>
    </rPh>
    <rPh sb="3" eb="5">
      <t>ツウジョウ</t>
    </rPh>
    <rPh sb="5" eb="6">
      <t>ショク</t>
    </rPh>
    <rPh sb="6" eb="9">
      <t>ショウガクセイ</t>
    </rPh>
    <phoneticPr fontId="28"/>
  </si>
  <si>
    <t>昼　食通常食中学生以上</t>
    <rPh sb="0" eb="1">
      <t>ヒル</t>
    </rPh>
    <rPh sb="2" eb="3">
      <t>ショク</t>
    </rPh>
    <rPh sb="3" eb="5">
      <t>ツウジョウ</t>
    </rPh>
    <rPh sb="5" eb="6">
      <t>ショク</t>
    </rPh>
    <rPh sb="6" eb="9">
      <t>チュウガクセイ</t>
    </rPh>
    <rPh sb="9" eb="11">
      <t>イジョウ</t>
    </rPh>
    <phoneticPr fontId="28"/>
  </si>
  <si>
    <t>夕　食通常食幼児</t>
    <rPh sb="0" eb="1">
      <t>ユウ</t>
    </rPh>
    <rPh sb="2" eb="3">
      <t>ショク</t>
    </rPh>
    <rPh sb="3" eb="5">
      <t>ツウジョウ</t>
    </rPh>
    <rPh sb="5" eb="6">
      <t>ショク</t>
    </rPh>
    <rPh sb="6" eb="8">
      <t>ヨウジ</t>
    </rPh>
    <phoneticPr fontId="28"/>
  </si>
  <si>
    <t>夕　食通常食小学生</t>
    <rPh sb="0" eb="1">
      <t>ユウ</t>
    </rPh>
    <rPh sb="2" eb="3">
      <t>ショク</t>
    </rPh>
    <rPh sb="3" eb="5">
      <t>ツウジョウ</t>
    </rPh>
    <rPh sb="5" eb="6">
      <t>ショク</t>
    </rPh>
    <rPh sb="6" eb="9">
      <t>ショウガクセイ</t>
    </rPh>
    <phoneticPr fontId="28"/>
  </si>
  <si>
    <t>夕　食通常食中学生以上</t>
    <rPh sb="0" eb="1">
      <t>ユウ</t>
    </rPh>
    <rPh sb="2" eb="3">
      <t>ショク</t>
    </rPh>
    <rPh sb="3" eb="5">
      <t>ツウジョウ</t>
    </rPh>
    <rPh sb="5" eb="6">
      <t>ショク</t>
    </rPh>
    <rPh sb="6" eb="9">
      <t>チュウガクセイ</t>
    </rPh>
    <rPh sb="9" eb="11">
      <t>イジョウ</t>
    </rPh>
    <phoneticPr fontId="28"/>
  </si>
  <si>
    <t>朝　食通常食幼児</t>
    <rPh sb="0" eb="1">
      <t>アサ</t>
    </rPh>
    <rPh sb="2" eb="3">
      <t>ショク</t>
    </rPh>
    <rPh sb="3" eb="5">
      <t>ツウジョウ</t>
    </rPh>
    <rPh sb="5" eb="6">
      <t>ショク</t>
    </rPh>
    <rPh sb="6" eb="8">
      <t>ヨウジ</t>
    </rPh>
    <phoneticPr fontId="28"/>
  </si>
  <si>
    <t>朝　食通常食小学生</t>
    <rPh sb="0" eb="1">
      <t>アサ</t>
    </rPh>
    <rPh sb="2" eb="3">
      <t>ショク</t>
    </rPh>
    <rPh sb="3" eb="5">
      <t>ツウジョウ</t>
    </rPh>
    <rPh sb="5" eb="6">
      <t>ショク</t>
    </rPh>
    <rPh sb="6" eb="9">
      <t>ショウガクセイ</t>
    </rPh>
    <phoneticPr fontId="28"/>
  </si>
  <si>
    <t>朝　食通常食中学生以上</t>
    <rPh sb="0" eb="1">
      <t>アサ</t>
    </rPh>
    <rPh sb="2" eb="3">
      <t>ショク</t>
    </rPh>
    <rPh sb="3" eb="5">
      <t>ツウジョウ</t>
    </rPh>
    <rPh sb="5" eb="6">
      <t>ショク</t>
    </rPh>
    <rPh sb="6" eb="9">
      <t>チュウガクセイ</t>
    </rPh>
    <rPh sb="9" eb="11">
      <t>イジョウ</t>
    </rPh>
    <phoneticPr fontId="28"/>
  </si>
  <si>
    <t>単価</t>
    <rPh sb="0" eb="2">
      <t>タンカ</t>
    </rPh>
    <phoneticPr fontId="28"/>
  </si>
  <si>
    <t>総数</t>
    <rPh sb="0" eb="2">
      <t>ソウスウ</t>
    </rPh>
    <phoneticPr fontId="28"/>
  </si>
  <si>
    <t>小計</t>
    <rPh sb="0" eb="1">
      <t>ショウ</t>
    </rPh>
    <rPh sb="1" eb="2">
      <t>ケイ</t>
    </rPh>
    <phoneticPr fontId="28"/>
  </si>
  <si>
    <t>ソート用データ</t>
    <rPh sb="3" eb="4">
      <t>ヨウ</t>
    </rPh>
    <phoneticPr fontId="28"/>
  </si>
  <si>
    <t>時機（略）</t>
    <rPh sb="0" eb="2">
      <t>ジキ</t>
    </rPh>
    <rPh sb="3" eb="4">
      <t>リャク</t>
    </rPh>
    <phoneticPr fontId="28"/>
  </si>
  <si>
    <t>日</t>
    <phoneticPr fontId="28"/>
  </si>
  <si>
    <t>卵（鳥）</t>
    <rPh sb="0" eb="1">
      <t>タマゴ</t>
    </rPh>
    <rPh sb="2" eb="3">
      <t>トリ</t>
    </rPh>
    <phoneticPr fontId="8"/>
  </si>
  <si>
    <t>対応不要</t>
    <rPh sb="0" eb="2">
      <t>タイオウ</t>
    </rPh>
    <rPh sb="2" eb="4">
      <t>フヨウ</t>
    </rPh>
    <phoneticPr fontId="8"/>
  </si>
  <si>
    <t>小麦</t>
    <rPh sb="0" eb="2">
      <t>コムギ</t>
    </rPh>
    <phoneticPr fontId="8"/>
  </si>
  <si>
    <t>えび</t>
    <phoneticPr fontId="8"/>
  </si>
  <si>
    <t>乳（牛）</t>
    <rPh sb="0" eb="1">
      <t>チチ</t>
    </rPh>
    <rPh sb="2" eb="3">
      <t>ウシ</t>
    </rPh>
    <phoneticPr fontId="8"/>
  </si>
  <si>
    <t>原則として７大アレルゲンのみ（※詳細については相談のこと）</t>
    <rPh sb="0" eb="2">
      <t>ゲンソク</t>
    </rPh>
    <rPh sb="6" eb="7">
      <t>ダイ</t>
    </rPh>
    <rPh sb="16" eb="18">
      <t>ショウサイ</t>
    </rPh>
    <rPh sb="23" eb="25">
      <t>ソウダン</t>
    </rPh>
    <phoneticPr fontId="3"/>
  </si>
  <si>
    <t>引率割引適用者
（４才～小・中学生）</t>
    <rPh sb="0" eb="2">
      <t>インソツ</t>
    </rPh>
    <rPh sb="2" eb="4">
      <t>ワリビキ</t>
    </rPh>
    <rPh sb="4" eb="6">
      <t>テキヨウ</t>
    </rPh>
    <rPh sb="6" eb="7">
      <t>シャ</t>
    </rPh>
    <rPh sb="7" eb="8">
      <t>テキシャ</t>
    </rPh>
    <rPh sb="10" eb="11">
      <t>サイ</t>
    </rPh>
    <rPh sb="12" eb="13">
      <t>ショウ</t>
    </rPh>
    <rPh sb="14" eb="17">
      <t>チュウガクセイ</t>
    </rPh>
    <phoneticPr fontId="21"/>
  </si>
  <si>
    <t>24</t>
    <phoneticPr fontId="3"/>
  </si>
  <si>
    <t>25</t>
    <phoneticPr fontId="3"/>
  </si>
  <si>
    <t>110</t>
    <phoneticPr fontId="3"/>
  </si>
  <si>
    <t>金</t>
    <rPh sb="0" eb="1">
      <t>キン</t>
    </rPh>
    <phoneticPr fontId="8"/>
  </si>
  <si>
    <t>札幌市青少年山の家　【 利用者名簿】</t>
    <phoneticPr fontId="3"/>
  </si>
  <si>
    <t>Ｎｏ．</t>
    <phoneticPr fontId="3"/>
  </si>
  <si>
    <t>a</t>
    <phoneticPr fontId="3"/>
  </si>
  <si>
    <t>（</t>
    <phoneticPr fontId="3"/>
  </si>
  <si>
    <t>）</t>
    <phoneticPr fontId="3"/>
  </si>
  <si>
    <t>（</t>
    <phoneticPr fontId="3"/>
  </si>
  <si>
    <t>）</t>
    <phoneticPr fontId="3"/>
  </si>
  <si>
    <t>10</t>
    <phoneticPr fontId="3"/>
  </si>
  <si>
    <t>（</t>
    <phoneticPr fontId="3"/>
  </si>
  <si>
    <t>）</t>
    <phoneticPr fontId="3"/>
  </si>
  <si>
    <t>～</t>
    <phoneticPr fontId="3"/>
  </si>
  <si>
    <t>10</t>
    <phoneticPr fontId="3"/>
  </si>
  <si>
    <t>）</t>
    <phoneticPr fontId="3"/>
  </si>
  <si>
    <t>b</t>
    <phoneticPr fontId="3"/>
  </si>
  <si>
    <t>c</t>
    <phoneticPr fontId="3"/>
  </si>
  <si>
    <t>d</t>
    <phoneticPr fontId="3"/>
  </si>
  <si>
    <t>№</t>
    <phoneticPr fontId="3"/>
  </si>
  <si>
    <t>№</t>
    <phoneticPr fontId="3"/>
  </si>
  <si>
    <t>№</t>
    <phoneticPr fontId="3"/>
  </si>
  <si>
    <t>№</t>
    <phoneticPr fontId="3"/>
  </si>
  <si>
    <t>e</t>
    <phoneticPr fontId="3"/>
  </si>
  <si>
    <t>f</t>
    <phoneticPr fontId="3"/>
  </si>
  <si>
    <t>g</t>
    <phoneticPr fontId="3"/>
  </si>
  <si>
    <t>h</t>
    <phoneticPr fontId="3"/>
  </si>
  <si>
    <t>i</t>
    <phoneticPr fontId="3"/>
  </si>
  <si>
    <t>内減免</t>
    <rPh sb="0" eb="1">
      <t>ウチ</t>
    </rPh>
    <rPh sb="1" eb="3">
      <t>ゲンメン</t>
    </rPh>
    <phoneticPr fontId="3"/>
  </si>
  <si>
    <t>人</t>
    <rPh sb="0" eb="1">
      <t>ヒト</t>
    </rPh>
    <phoneticPr fontId="3"/>
  </si>
  <si>
    <t>減免計</t>
    <rPh sb="0" eb="2">
      <t>ゲンメン</t>
    </rPh>
    <rPh sb="2" eb="3">
      <t>ケイ</t>
    </rPh>
    <phoneticPr fontId="3"/>
  </si>
  <si>
    <t>札幌市青少年山の家　【 利用者名簿】</t>
    <phoneticPr fontId="3"/>
  </si>
  <si>
    <t>Ｎｏ．</t>
    <phoneticPr fontId="3"/>
  </si>
  <si>
    <t>（</t>
    <phoneticPr fontId="3"/>
  </si>
  <si>
    <t>～</t>
    <phoneticPr fontId="3"/>
  </si>
  <si>
    <t>№</t>
    <phoneticPr fontId="3"/>
  </si>
  <si>
    <t>Ｎｏ．</t>
    <phoneticPr fontId="3"/>
  </si>
  <si>
    <t>）</t>
    <phoneticPr fontId="3"/>
  </si>
  <si>
    <t>Ｎｏ．</t>
    <phoneticPr fontId="3"/>
  </si>
  <si>
    <t>（</t>
    <phoneticPr fontId="3"/>
  </si>
  <si>
    <t>）</t>
    <phoneticPr fontId="3"/>
  </si>
  <si>
    <t>（</t>
    <phoneticPr fontId="3"/>
  </si>
  <si>
    <t>Ｎｏ．</t>
    <phoneticPr fontId="3"/>
  </si>
  <si>
    <t>札幌市青少年山の家　【 利用者名簿】</t>
    <phoneticPr fontId="3"/>
  </si>
  <si>
    <t>Ｎｏ．</t>
    <phoneticPr fontId="3"/>
  </si>
  <si>
    <t>）</t>
    <phoneticPr fontId="3"/>
  </si>
  <si>
    <t>№</t>
    <phoneticPr fontId="3"/>
  </si>
  <si>
    <t>炊事</t>
    <phoneticPr fontId="28"/>
  </si>
  <si>
    <t>炊事</t>
    <rPh sb="0" eb="2">
      <t>スイジ</t>
    </rPh>
    <phoneticPr fontId="3"/>
  </si>
  <si>
    <t>食堂</t>
    <rPh sb="0" eb="2">
      <t>ショクドウ</t>
    </rPh>
    <phoneticPr fontId="3"/>
  </si>
  <si>
    <t>課　長</t>
    <rPh sb="0" eb="1">
      <t>カ</t>
    </rPh>
    <rPh sb="2" eb="3">
      <t>チョウ</t>
    </rPh>
    <phoneticPr fontId="3"/>
  </si>
  <si>
    <t>10</t>
    <phoneticPr fontId="8"/>
  </si>
  <si>
    <t>1</t>
    <phoneticPr fontId="8"/>
  </si>
  <si>
    <t>2</t>
    <phoneticPr fontId="8"/>
  </si>
  <si>
    <t>木</t>
    <phoneticPr fontId="8"/>
  </si>
  <si>
    <t>金</t>
    <phoneticPr fontId="8"/>
  </si>
  <si>
    <t>　おにぎり240(鮭・おかか）</t>
    <phoneticPr fontId="28"/>
  </si>
  <si>
    <t>　おにぎり240(梅・梅）</t>
    <phoneticPr fontId="28"/>
  </si>
  <si>
    <t>　弁当440(鮭・おかか）</t>
    <phoneticPr fontId="28"/>
  </si>
  <si>
    <t>　弁当440(梅・梅）</t>
    <phoneticPr fontId="28"/>
  </si>
  <si>
    <t>団体（２０名以上）：高校生～大人</t>
    <rPh sb="0" eb="2">
      <t>ダンタイ</t>
    </rPh>
    <rPh sb="5" eb="8">
      <t>メイイジョウ</t>
    </rPh>
    <rPh sb="10" eb="13">
      <t>コウコウセイ</t>
    </rPh>
    <rPh sb="14" eb="16">
      <t>オトナ</t>
    </rPh>
    <phoneticPr fontId="26"/>
  </si>
  <si>
    <t>団体（20名以上）：高校生～大人（２日券）</t>
    <rPh sb="0" eb="2">
      <t>ダンタイ</t>
    </rPh>
    <rPh sb="5" eb="8">
      <t>メイイジョウ</t>
    </rPh>
    <rPh sb="10" eb="13">
      <t>コウコウセイ</t>
    </rPh>
    <rPh sb="14" eb="16">
      <t>オトナ</t>
    </rPh>
    <rPh sb="18" eb="19">
      <t>ニチ</t>
    </rPh>
    <rPh sb="19" eb="20">
      <t>ケン</t>
    </rPh>
    <phoneticPr fontId="8"/>
  </si>
  <si>
    <t>日</t>
    <rPh sb="0" eb="1">
      <t>ニチ</t>
    </rPh>
    <phoneticPr fontId="8"/>
  </si>
  <si>
    <t>▼クラフト（選択してください）▼</t>
    <rPh sb="6" eb="8">
      <t>センタク</t>
    </rPh>
    <phoneticPr fontId="3"/>
  </si>
  <si>
    <t>.</t>
    <phoneticPr fontId="3"/>
  </si>
  <si>
    <t>水</t>
    <rPh sb="0" eb="1">
      <t>ミズ</t>
    </rPh>
    <phoneticPr fontId="8"/>
  </si>
  <si>
    <t>土</t>
    <rPh sb="0" eb="1">
      <t>ド</t>
    </rPh>
    <phoneticPr fontId="8"/>
  </si>
  <si>
    <t>減免区分</t>
    <rPh sb="0" eb="2">
      <t>ゲンメン</t>
    </rPh>
    <rPh sb="2" eb="4">
      <t>クブン</t>
    </rPh>
    <phoneticPr fontId="8"/>
  </si>
  <si>
    <t>準</t>
    <rPh sb="0" eb="1">
      <t>ジュン</t>
    </rPh>
    <phoneticPr fontId="8"/>
  </si>
  <si>
    <t>特</t>
    <rPh sb="0" eb="1">
      <t>トク</t>
    </rPh>
    <phoneticPr fontId="8"/>
  </si>
  <si>
    <t>身</t>
    <rPh sb="0" eb="1">
      <t>ミ</t>
    </rPh>
    <phoneticPr fontId="8"/>
  </si>
  <si>
    <t>療</t>
    <rPh sb="0" eb="1">
      <t>リョウ</t>
    </rPh>
    <phoneticPr fontId="8"/>
  </si>
  <si>
    <t>精</t>
    <rPh sb="0" eb="1">
      <t>セイ</t>
    </rPh>
    <phoneticPr fontId="8"/>
  </si>
  <si>
    <t>特</t>
    <rPh sb="0" eb="1">
      <t>トク</t>
    </rPh>
    <phoneticPr fontId="3"/>
  </si>
  <si>
    <t>準</t>
    <rPh sb="0" eb="1">
      <t>ジュン</t>
    </rPh>
    <phoneticPr fontId="3"/>
  </si>
  <si>
    <t>身</t>
    <rPh sb="0" eb="1">
      <t>ミ</t>
    </rPh>
    <phoneticPr fontId="3"/>
  </si>
  <si>
    <t>療</t>
    <rPh sb="0" eb="1">
      <t>リョウ</t>
    </rPh>
    <phoneticPr fontId="3"/>
  </si>
  <si>
    <t>精</t>
    <rPh sb="0" eb="1">
      <t>セイ</t>
    </rPh>
    <phoneticPr fontId="3"/>
  </si>
  <si>
    <t>介</t>
    <rPh sb="0" eb="1">
      <t>スケ</t>
    </rPh>
    <phoneticPr fontId="3"/>
  </si>
  <si>
    <t>準・特</t>
    <rPh sb="0" eb="1">
      <t>ジュン</t>
    </rPh>
    <rPh sb="2" eb="3">
      <t>トク</t>
    </rPh>
    <phoneticPr fontId="8"/>
  </si>
  <si>
    <t>準・身</t>
    <rPh sb="0" eb="1">
      <t>ジュン</t>
    </rPh>
    <rPh sb="2" eb="3">
      <t>ミ</t>
    </rPh>
    <phoneticPr fontId="8"/>
  </si>
  <si>
    <t>準・療</t>
    <rPh sb="0" eb="1">
      <t>ジュン</t>
    </rPh>
    <rPh sb="2" eb="3">
      <t>リョウ</t>
    </rPh>
    <phoneticPr fontId="8"/>
  </si>
  <si>
    <t>準・精</t>
    <rPh sb="0" eb="1">
      <t>ジュン</t>
    </rPh>
    <rPh sb="2" eb="3">
      <t>セイ</t>
    </rPh>
    <phoneticPr fontId="8"/>
  </si>
  <si>
    <t>特・身</t>
    <rPh sb="0" eb="1">
      <t>トク</t>
    </rPh>
    <rPh sb="2" eb="3">
      <t>ミ</t>
    </rPh>
    <phoneticPr fontId="8"/>
  </si>
  <si>
    <t>特・療</t>
    <rPh sb="0" eb="1">
      <t>トク</t>
    </rPh>
    <rPh sb="2" eb="3">
      <t>リョウ</t>
    </rPh>
    <phoneticPr fontId="8"/>
  </si>
  <si>
    <t>特・精</t>
    <rPh sb="0" eb="1">
      <t>トク</t>
    </rPh>
    <rPh sb="2" eb="3">
      <t>セイ</t>
    </rPh>
    <phoneticPr fontId="8"/>
  </si>
  <si>
    <t>身・療</t>
    <rPh sb="0" eb="1">
      <t>ミ</t>
    </rPh>
    <rPh sb="2" eb="3">
      <t>リョウ</t>
    </rPh>
    <phoneticPr fontId="8"/>
  </si>
  <si>
    <t>身・精</t>
    <rPh sb="0" eb="1">
      <t>ミ</t>
    </rPh>
    <rPh sb="2" eb="3">
      <t>セイ</t>
    </rPh>
    <phoneticPr fontId="8"/>
  </si>
  <si>
    <t>療・精</t>
    <rPh sb="0" eb="1">
      <t>リョウ</t>
    </rPh>
    <rPh sb="2" eb="3">
      <t>セイ</t>
    </rPh>
    <phoneticPr fontId="8"/>
  </si>
  <si>
    <t>準・特・身</t>
    <rPh sb="0" eb="1">
      <t>ジュン</t>
    </rPh>
    <rPh sb="2" eb="3">
      <t>トク</t>
    </rPh>
    <rPh sb="4" eb="5">
      <t>ミ</t>
    </rPh>
    <phoneticPr fontId="8"/>
  </si>
  <si>
    <t>準・特・療</t>
    <rPh sb="0" eb="1">
      <t>ジュン</t>
    </rPh>
    <rPh sb="2" eb="3">
      <t>トク</t>
    </rPh>
    <rPh sb="4" eb="5">
      <t>リョウ</t>
    </rPh>
    <phoneticPr fontId="8"/>
  </si>
  <si>
    <t>準・特・精</t>
    <rPh sb="0" eb="1">
      <t>ジュン</t>
    </rPh>
    <rPh sb="2" eb="3">
      <t>トク</t>
    </rPh>
    <rPh sb="4" eb="5">
      <t>セイ</t>
    </rPh>
    <phoneticPr fontId="8"/>
  </si>
  <si>
    <t>準・身・療</t>
    <rPh sb="0" eb="1">
      <t>ジュン</t>
    </rPh>
    <rPh sb="2" eb="3">
      <t>ミ</t>
    </rPh>
    <rPh sb="4" eb="5">
      <t>リョウ</t>
    </rPh>
    <phoneticPr fontId="8"/>
  </si>
  <si>
    <t>準・身・精</t>
    <rPh sb="0" eb="1">
      <t>ジュン</t>
    </rPh>
    <rPh sb="2" eb="3">
      <t>ミ</t>
    </rPh>
    <rPh sb="4" eb="5">
      <t>セイ</t>
    </rPh>
    <phoneticPr fontId="8"/>
  </si>
  <si>
    <t>準・療・精</t>
    <rPh sb="0" eb="1">
      <t>ジュン</t>
    </rPh>
    <rPh sb="2" eb="3">
      <t>リョウ</t>
    </rPh>
    <rPh sb="4" eb="5">
      <t>セイ</t>
    </rPh>
    <phoneticPr fontId="8"/>
  </si>
  <si>
    <t>特・身・療</t>
    <rPh sb="0" eb="1">
      <t>トク</t>
    </rPh>
    <rPh sb="2" eb="3">
      <t>ミ</t>
    </rPh>
    <rPh sb="4" eb="5">
      <t>リョウ</t>
    </rPh>
    <phoneticPr fontId="8"/>
  </si>
  <si>
    <t>特・身・精</t>
    <rPh sb="0" eb="1">
      <t>トク</t>
    </rPh>
    <rPh sb="2" eb="3">
      <t>ミ</t>
    </rPh>
    <rPh sb="4" eb="5">
      <t>セイ</t>
    </rPh>
    <phoneticPr fontId="8"/>
  </si>
  <si>
    <t>身・療・精</t>
    <rPh sb="0" eb="1">
      <t>ミ</t>
    </rPh>
    <rPh sb="2" eb="3">
      <t>リョウ</t>
    </rPh>
    <rPh sb="4" eb="5">
      <t>セイ</t>
    </rPh>
    <phoneticPr fontId="8"/>
  </si>
  <si>
    <t>減免区分</t>
    <rPh sb="0" eb="2">
      <t>ゲンメン</t>
    </rPh>
    <rPh sb="2" eb="4">
      <t>クブン</t>
    </rPh>
    <phoneticPr fontId="3"/>
  </si>
  <si>
    <t>料金区分</t>
    <rPh sb="0" eb="2">
      <t>リョウキン</t>
    </rPh>
    <rPh sb="2" eb="4">
      <t>クブン</t>
    </rPh>
    <phoneticPr fontId="3"/>
  </si>
  <si>
    <t>引率者</t>
    <rPh sb="0" eb="2">
      <t>インソツ</t>
    </rPh>
    <rPh sb="2" eb="3">
      <t>シャ</t>
    </rPh>
    <phoneticPr fontId="3"/>
  </si>
  <si>
    <t>料金区分</t>
    <rPh sb="0" eb="2">
      <t>リョウキン</t>
    </rPh>
    <rPh sb="2" eb="4">
      <t>クブン</t>
    </rPh>
    <phoneticPr fontId="8"/>
  </si>
  <si>
    <t>一</t>
    <rPh sb="0" eb="1">
      <t>イッ</t>
    </rPh>
    <phoneticPr fontId="8"/>
  </si>
  <si>
    <t>引</t>
    <rPh sb="0" eb="1">
      <t>イン</t>
    </rPh>
    <phoneticPr fontId="8"/>
  </si>
  <si>
    <t>中</t>
    <rPh sb="0" eb="1">
      <t>チュウ</t>
    </rPh>
    <phoneticPr fontId="8"/>
  </si>
  <si>
    <t>小</t>
    <rPh sb="0" eb="1">
      <t>ショウ</t>
    </rPh>
    <phoneticPr fontId="8"/>
  </si>
  <si>
    <t>介添</t>
    <rPh sb="0" eb="1">
      <t>スケ</t>
    </rPh>
    <rPh sb="1" eb="2">
      <t>ゾ</t>
    </rPh>
    <phoneticPr fontId="8"/>
  </si>
  <si>
    <t>合計</t>
    <rPh sb="0" eb="2">
      <t>ゴウケイ</t>
    </rPh>
    <phoneticPr fontId="8"/>
  </si>
  <si>
    <t>小</t>
    <rPh sb="0" eb="1">
      <t>ショウ</t>
    </rPh>
    <phoneticPr fontId="3"/>
  </si>
  <si>
    <t>中</t>
    <rPh sb="0" eb="1">
      <t>チュウ</t>
    </rPh>
    <phoneticPr fontId="3"/>
  </si>
  <si>
    <t>引</t>
    <rPh sb="0" eb="1">
      <t>イン</t>
    </rPh>
    <phoneticPr fontId="3"/>
  </si>
  <si>
    <t>一</t>
    <rPh sb="0" eb="1">
      <t>イチ</t>
    </rPh>
    <phoneticPr fontId="3"/>
  </si>
  <si>
    <t>延べ日数</t>
    <rPh sb="0" eb="1">
      <t>ノ</t>
    </rPh>
    <rPh sb="2" eb="4">
      <t>ニッスウ</t>
    </rPh>
    <phoneticPr fontId="8"/>
  </si>
  <si>
    <t>減免対象</t>
    <rPh sb="0" eb="2">
      <t>ゲンメン</t>
    </rPh>
    <rPh sb="2" eb="4">
      <t>タイショウ</t>
    </rPh>
    <phoneticPr fontId="8"/>
  </si>
  <si>
    <t>特・療・精</t>
    <rPh sb="0" eb="1">
      <t>トク</t>
    </rPh>
    <rPh sb="2" eb="3">
      <t>リョウ</t>
    </rPh>
    <rPh sb="4" eb="5">
      <t>セイ</t>
    </rPh>
    <phoneticPr fontId="8"/>
  </si>
  <si>
    <t>入園料減免</t>
    <rPh sb="0" eb="3">
      <t>ニュウエンリョウ</t>
    </rPh>
    <rPh sb="3" eb="5">
      <t>ゲンメン</t>
    </rPh>
    <phoneticPr fontId="8"/>
  </si>
  <si>
    <t>2day券判定</t>
    <rPh sb="4" eb="5">
      <t>ケン</t>
    </rPh>
    <rPh sb="5" eb="7">
      <t>ハンテイ</t>
    </rPh>
    <phoneticPr fontId="8"/>
  </si>
  <si>
    <t>中学生</t>
  </si>
  <si>
    <t>引率者</t>
  </si>
  <si>
    <t>一般</t>
    <rPh sb="0" eb="2">
      <t>イッパン</t>
    </rPh>
    <phoneticPr fontId="8"/>
  </si>
  <si>
    <t>延日数</t>
    <rPh sb="0" eb="1">
      <t>ノ</t>
    </rPh>
    <rPh sb="1" eb="3">
      <t>ニッスウ</t>
    </rPh>
    <phoneticPr fontId="8"/>
  </si>
  <si>
    <t>減免者・２DAY除く入園料計</t>
    <rPh sb="0" eb="2">
      <t>ゲンメン</t>
    </rPh>
    <rPh sb="2" eb="3">
      <t>シャ</t>
    </rPh>
    <rPh sb="8" eb="9">
      <t>ノゾ</t>
    </rPh>
    <rPh sb="10" eb="13">
      <t>ニュウエンリョウ</t>
    </rPh>
    <rPh sb="13" eb="14">
      <t>ケイ</t>
    </rPh>
    <phoneticPr fontId="8"/>
  </si>
  <si>
    <t>小・中学生（無料）</t>
    <rPh sb="0" eb="1">
      <t>ショウ</t>
    </rPh>
    <rPh sb="2" eb="5">
      <t>チュウガクセイ</t>
    </rPh>
    <rPh sb="6" eb="8">
      <t>ムリョウ</t>
    </rPh>
    <phoneticPr fontId="21"/>
  </si>
  <si>
    <t>入園料　小計</t>
    <rPh sb="0" eb="3">
      <t>ニュウエンリョウ</t>
    </rPh>
    <rPh sb="4" eb="6">
      <t>ショウケイ</t>
    </rPh>
    <phoneticPr fontId="3"/>
  </si>
  <si>
    <t>宿泊　小計</t>
    <rPh sb="0" eb="2">
      <t>シュクハク</t>
    </rPh>
    <rPh sb="3" eb="5">
      <t>ショウケイ</t>
    </rPh>
    <phoneticPr fontId="3"/>
  </si>
  <si>
    <t>日帰り　小計</t>
    <rPh sb="0" eb="2">
      <t>ヒガエ</t>
    </rPh>
    <rPh sb="4" eb="6">
      <t>ショウケイ</t>
    </rPh>
    <phoneticPr fontId="3"/>
  </si>
  <si>
    <t>　施設使用料　小計（円）</t>
    <rPh sb="1" eb="3">
      <t>シセツ</t>
    </rPh>
    <rPh sb="3" eb="5">
      <t>シヨウ</t>
    </rPh>
    <rPh sb="5" eb="6">
      <t>リョウ</t>
    </rPh>
    <rPh sb="7" eb="9">
      <t>ショウケイ</t>
    </rPh>
    <rPh sb="10" eb="11">
      <t>エン</t>
    </rPh>
    <phoneticPr fontId="3"/>
  </si>
  <si>
    <t>カレーライス</t>
    <phoneticPr fontId="3"/>
  </si>
  <si>
    <t>牛丼</t>
    <rPh sb="0" eb="2">
      <t>ギュウドン</t>
    </rPh>
    <phoneticPr fontId="3"/>
  </si>
  <si>
    <t>豚汁</t>
    <rPh sb="0" eb="1">
      <t>トン</t>
    </rPh>
    <rPh sb="1" eb="2">
      <t>ジル</t>
    </rPh>
    <phoneticPr fontId="3"/>
  </si>
  <si>
    <t>ホットドッグ</t>
    <phoneticPr fontId="3"/>
  </si>
  <si>
    <t>焼きそば</t>
    <rPh sb="0" eb="1">
      <t>ヤ</t>
    </rPh>
    <phoneticPr fontId="3"/>
  </si>
  <si>
    <t>薪</t>
    <rPh sb="0" eb="1">
      <t>マキ</t>
    </rPh>
    <phoneticPr fontId="3"/>
  </si>
  <si>
    <t>炭</t>
    <rPh sb="0" eb="1">
      <t>スミ</t>
    </rPh>
    <phoneticPr fontId="3"/>
  </si>
  <si>
    <t>札幌市中央区</t>
  </si>
  <si>
    <t>札幌市北区</t>
  </si>
  <si>
    <t>札幌市東区</t>
  </si>
  <si>
    <t>札幌市白石区</t>
  </si>
  <si>
    <t>札幌市豊平区</t>
  </si>
  <si>
    <t>札幌市南区</t>
  </si>
  <si>
    <t>札幌市西区</t>
  </si>
  <si>
    <t>札幌市厚別区</t>
  </si>
  <si>
    <t>札幌市手稲区</t>
  </si>
  <si>
    <t>札幌市清田区</t>
  </si>
  <si>
    <t>旭ケ丘</t>
  </si>
  <si>
    <t>大通東</t>
  </si>
  <si>
    <t>北一条東</t>
  </si>
  <si>
    <t>北二条東</t>
  </si>
  <si>
    <t>北三条東</t>
  </si>
  <si>
    <t>北七条西</t>
  </si>
  <si>
    <t>北八条西</t>
  </si>
  <si>
    <t>北九条西</t>
  </si>
  <si>
    <t>北十条西</t>
  </si>
  <si>
    <t>北十一条西</t>
  </si>
  <si>
    <t>北十二条西</t>
  </si>
  <si>
    <t>北十三条西</t>
  </si>
  <si>
    <t>北十四条西</t>
  </si>
  <si>
    <t>北十五条西</t>
  </si>
  <si>
    <t>北十六条西</t>
  </si>
  <si>
    <t>北十七条西</t>
  </si>
  <si>
    <t>北十八条西</t>
  </si>
  <si>
    <t>北二十条西</t>
  </si>
  <si>
    <t>北二十一条西</t>
  </si>
  <si>
    <t>北二十二条西</t>
  </si>
  <si>
    <t>界川</t>
  </si>
  <si>
    <t>中島公園</t>
  </si>
  <si>
    <t>盤渓</t>
  </si>
  <si>
    <t>伏見</t>
  </si>
  <si>
    <t>双子山</t>
  </si>
  <si>
    <t>円山西町</t>
  </si>
  <si>
    <t>南一条東</t>
  </si>
  <si>
    <t>南二条東</t>
  </si>
  <si>
    <t>南三条東</t>
  </si>
  <si>
    <t>南四条東</t>
  </si>
  <si>
    <t>南四条西</t>
  </si>
  <si>
    <t>南五条東</t>
  </si>
  <si>
    <t>南五条西</t>
  </si>
  <si>
    <t>南六条東</t>
  </si>
  <si>
    <t>南六条西</t>
  </si>
  <si>
    <t>南七条東</t>
  </si>
  <si>
    <t>南七条西</t>
  </si>
  <si>
    <t>南八条西</t>
  </si>
  <si>
    <t>南九条西</t>
  </si>
  <si>
    <t>南十条西</t>
  </si>
  <si>
    <t>南十一条西</t>
  </si>
  <si>
    <t>南十二条西</t>
  </si>
  <si>
    <t>南十三条西</t>
  </si>
  <si>
    <t>南十四条西</t>
  </si>
  <si>
    <t>南十五条西</t>
  </si>
  <si>
    <t>南十六条西</t>
  </si>
  <si>
    <t>南十七条西</t>
  </si>
  <si>
    <t>南十八条西</t>
  </si>
  <si>
    <t>南十九条西</t>
  </si>
  <si>
    <t>南二十条西</t>
  </si>
  <si>
    <t>南二十一条西</t>
  </si>
  <si>
    <t>南二十二条西</t>
  </si>
  <si>
    <t>南二十三条西</t>
  </si>
  <si>
    <t>南二十四条西</t>
  </si>
  <si>
    <t>南二十五条西</t>
  </si>
  <si>
    <t>南二十六条西</t>
  </si>
  <si>
    <t>南二十七条西</t>
  </si>
  <si>
    <t>南二十八条西</t>
  </si>
  <si>
    <t>南二十九条西</t>
  </si>
  <si>
    <t>宮ケ丘</t>
  </si>
  <si>
    <t>宮の森</t>
  </si>
  <si>
    <t>宮の森一条</t>
  </si>
  <si>
    <t>宮の森二条</t>
  </si>
  <si>
    <t>宮の森三条</t>
  </si>
  <si>
    <t>宮の森四条</t>
  </si>
  <si>
    <t>あいの里一条</t>
  </si>
  <si>
    <t>あいの里二条</t>
  </si>
  <si>
    <t>あいの里三条</t>
  </si>
  <si>
    <t>あいの里四条</t>
  </si>
  <si>
    <t>あいの里五条</t>
  </si>
  <si>
    <t>麻生町</t>
  </si>
  <si>
    <t>北六条西</t>
  </si>
  <si>
    <t>北二十三条西</t>
  </si>
  <si>
    <t>北二十四条西</t>
  </si>
  <si>
    <t>北二十五条西</t>
  </si>
  <si>
    <t>北二十六条西</t>
  </si>
  <si>
    <t>北二十七条西</t>
  </si>
  <si>
    <t>北二十八条西</t>
  </si>
  <si>
    <t>北二十九条西</t>
  </si>
  <si>
    <t>北三十条西</t>
  </si>
  <si>
    <t>北三十一条西</t>
  </si>
  <si>
    <t>北三十二条西</t>
  </si>
  <si>
    <t>北三十三条西</t>
  </si>
  <si>
    <t>北三十四条西</t>
  </si>
  <si>
    <t>北三十五条西</t>
  </si>
  <si>
    <t>北三十六条西</t>
  </si>
  <si>
    <t>北三十七条西</t>
  </si>
  <si>
    <t>北三十八条西</t>
  </si>
  <si>
    <t>北三十九条西</t>
  </si>
  <si>
    <t>北四十条西</t>
  </si>
  <si>
    <t>篠路一条</t>
  </si>
  <si>
    <t>篠路二条</t>
  </si>
  <si>
    <t>篠路三条</t>
  </si>
  <si>
    <t>篠路四条</t>
  </si>
  <si>
    <t>篠路五条</t>
  </si>
  <si>
    <t>篠路六条</t>
  </si>
  <si>
    <t>篠路七条</t>
  </si>
  <si>
    <t>篠路八条</t>
  </si>
  <si>
    <t>篠路九条</t>
  </si>
  <si>
    <t>篠路十条</t>
  </si>
  <si>
    <t>篠路町上篠路</t>
  </si>
  <si>
    <t>篠路町篠路</t>
  </si>
  <si>
    <t>篠路町太平</t>
  </si>
  <si>
    <t>篠路町拓北</t>
  </si>
  <si>
    <t>篠路町福移</t>
  </si>
  <si>
    <t>新川</t>
  </si>
  <si>
    <t>新川一条</t>
  </si>
  <si>
    <t>新川二条</t>
  </si>
  <si>
    <t>新川三条</t>
  </si>
  <si>
    <t>新川四条</t>
  </si>
  <si>
    <t>新川五条</t>
  </si>
  <si>
    <t>新川六条</t>
  </si>
  <si>
    <t>新川七条</t>
  </si>
  <si>
    <t>新川八条</t>
  </si>
  <si>
    <t>新川西一条</t>
  </si>
  <si>
    <t>新川西二条</t>
  </si>
  <si>
    <t>新川西三条</t>
  </si>
  <si>
    <t>新川西四条</t>
  </si>
  <si>
    <t>新川西五条</t>
  </si>
  <si>
    <t>新琴似一条</t>
  </si>
  <si>
    <t>新琴似二条</t>
  </si>
  <si>
    <t>新琴似三条</t>
  </si>
  <si>
    <t>新琴似四条</t>
  </si>
  <si>
    <t>新琴似五条</t>
  </si>
  <si>
    <t>新琴似六条</t>
  </si>
  <si>
    <t>新琴似七条</t>
  </si>
  <si>
    <t>新琴似八条</t>
  </si>
  <si>
    <t>新琴似九条</t>
  </si>
  <si>
    <t>新琴似十条</t>
  </si>
  <si>
    <t>新琴似十一条</t>
  </si>
  <si>
    <t>新琴似十二条</t>
  </si>
  <si>
    <t>新琴似町</t>
  </si>
  <si>
    <t>太平一条</t>
  </si>
  <si>
    <t>太平二条</t>
  </si>
  <si>
    <t>太平三条</t>
  </si>
  <si>
    <t>太平四条</t>
  </si>
  <si>
    <t>太平五条</t>
  </si>
  <si>
    <t>太平六条</t>
  </si>
  <si>
    <t>太平七条</t>
  </si>
  <si>
    <t>太平八条</t>
  </si>
  <si>
    <t>太平九条</t>
  </si>
  <si>
    <t>太平十条</t>
  </si>
  <si>
    <t>太平十一条</t>
  </si>
  <si>
    <t>太平十二条</t>
  </si>
  <si>
    <t>拓北一条</t>
  </si>
  <si>
    <t>拓北二条</t>
  </si>
  <si>
    <t>拓北三条</t>
  </si>
  <si>
    <t>拓北四条</t>
  </si>
  <si>
    <t>拓北五条</t>
  </si>
  <si>
    <t>拓北六条</t>
  </si>
  <si>
    <t>拓北七条</t>
  </si>
  <si>
    <t>拓北八条</t>
  </si>
  <si>
    <t>屯田一条</t>
  </si>
  <si>
    <t>屯田二条</t>
  </si>
  <si>
    <t>屯田三条</t>
  </si>
  <si>
    <t>屯田四条</t>
  </si>
  <si>
    <t>屯田五条</t>
  </si>
  <si>
    <t>屯田六条</t>
  </si>
  <si>
    <t>屯田七条</t>
  </si>
  <si>
    <t>屯田八条</t>
  </si>
  <si>
    <t>屯田九条</t>
  </si>
  <si>
    <t>屯田十条</t>
  </si>
  <si>
    <t>屯田十一条</t>
  </si>
  <si>
    <t>屯田町</t>
  </si>
  <si>
    <t>西茨戸</t>
  </si>
  <si>
    <t>西茨戸一条</t>
  </si>
  <si>
    <t>西茨戸二条</t>
  </si>
  <si>
    <t>西茨戸三条</t>
  </si>
  <si>
    <t>西茨戸四条</t>
  </si>
  <si>
    <t>西茨戸五条</t>
  </si>
  <si>
    <t>西茨戸六条</t>
  </si>
  <si>
    <t>西茨戸七条</t>
  </si>
  <si>
    <t>東茨戸</t>
  </si>
  <si>
    <t>東茨戸一条</t>
  </si>
  <si>
    <t>東茨戸二条</t>
  </si>
  <si>
    <t>東茨戸三条</t>
  </si>
  <si>
    <t>東茨戸四条</t>
  </si>
  <si>
    <t>南あいの里</t>
  </si>
  <si>
    <t>百合が原</t>
  </si>
  <si>
    <t>百合が原公園</t>
  </si>
  <si>
    <t>丘珠町</t>
  </si>
  <si>
    <t>北丘珠一条</t>
  </si>
  <si>
    <t>北丘珠二条</t>
  </si>
  <si>
    <t>北丘珠三条</t>
  </si>
  <si>
    <t>北丘珠四条</t>
  </si>
  <si>
    <t>北丘珠五条</t>
  </si>
  <si>
    <t>北丘珠六条</t>
  </si>
  <si>
    <t>北十条東</t>
  </si>
  <si>
    <t>北十一条東</t>
  </si>
  <si>
    <t>北十二条東</t>
  </si>
  <si>
    <t>北十三条東</t>
  </si>
  <si>
    <t>北十四条東</t>
  </si>
  <si>
    <t>北十五条東</t>
  </si>
  <si>
    <t>北十六条東</t>
  </si>
  <si>
    <t>北十七条東</t>
  </si>
  <si>
    <t>北十八条東</t>
  </si>
  <si>
    <t>北十九条東</t>
  </si>
  <si>
    <t>北二十条東</t>
  </si>
  <si>
    <t>北二十一条東</t>
  </si>
  <si>
    <t>北二十二条東</t>
  </si>
  <si>
    <t>北二十三条東</t>
  </si>
  <si>
    <t>北二十四条東</t>
  </si>
  <si>
    <t>北二十五条東</t>
  </si>
  <si>
    <t>北二十六条東</t>
  </si>
  <si>
    <t>北二十七条東</t>
  </si>
  <si>
    <t>北二十八条東</t>
  </si>
  <si>
    <t>北三十条東</t>
  </si>
  <si>
    <t>北三十一条東</t>
  </si>
  <si>
    <t>北三十二条東</t>
  </si>
  <si>
    <t>北三十三条東</t>
  </si>
  <si>
    <t>北三十四条東</t>
  </si>
  <si>
    <t>北三十五条東</t>
  </si>
  <si>
    <t>北三十六条東</t>
  </si>
  <si>
    <t>北三十七条東</t>
  </si>
  <si>
    <t>北三十八条東</t>
  </si>
  <si>
    <t>北三十九条東</t>
  </si>
  <si>
    <t>北四十条東</t>
  </si>
  <si>
    <t>北四十一条東</t>
  </si>
  <si>
    <t>北四十二条東</t>
  </si>
  <si>
    <t>北四十三条東</t>
  </si>
  <si>
    <t>北四十四条東</t>
  </si>
  <si>
    <t>北四十五条東</t>
  </si>
  <si>
    <t>北四十六条東</t>
  </si>
  <si>
    <t>北四十七条東</t>
  </si>
  <si>
    <t>北四十八条東</t>
  </si>
  <si>
    <t>北四十九条東</t>
  </si>
  <si>
    <t>北五十条東</t>
  </si>
  <si>
    <t>北五十一条東</t>
  </si>
  <si>
    <t>栄町</t>
  </si>
  <si>
    <t>苗穂町</t>
  </si>
  <si>
    <t>中沼一条</t>
  </si>
  <si>
    <t>中沼二条</t>
  </si>
  <si>
    <t>中沼三条</t>
  </si>
  <si>
    <t>中沼四条</t>
  </si>
  <si>
    <t>中沼五条</t>
  </si>
  <si>
    <t>中沼六条</t>
  </si>
  <si>
    <t>中沼町</t>
  </si>
  <si>
    <t>中沼西一条</t>
  </si>
  <si>
    <t>中沼西二条</t>
  </si>
  <si>
    <t>中沼西三条</t>
  </si>
  <si>
    <t>中沼西四条</t>
  </si>
  <si>
    <t>中沼西五条</t>
  </si>
  <si>
    <t>東雁来一条</t>
  </si>
  <si>
    <t>東雁来二条</t>
  </si>
  <si>
    <t>東雁来三条</t>
  </si>
  <si>
    <t>東雁来四条</t>
  </si>
  <si>
    <t>東雁来五条</t>
  </si>
  <si>
    <t>東雁来六条</t>
  </si>
  <si>
    <t>東雁来七条</t>
  </si>
  <si>
    <t>東雁来八条</t>
  </si>
  <si>
    <t>東雁来九条</t>
  </si>
  <si>
    <t>東雁来十条</t>
  </si>
  <si>
    <t>東雁来十一条</t>
  </si>
  <si>
    <t>東雁来十二条</t>
  </si>
  <si>
    <t>東雁来十三条</t>
  </si>
  <si>
    <t>東雁来十四条</t>
  </si>
  <si>
    <t>東雁来町</t>
  </si>
  <si>
    <t>東苗穂一条</t>
  </si>
  <si>
    <t>東苗穂二条</t>
  </si>
  <si>
    <t>東苗穂三条</t>
  </si>
  <si>
    <t>東苗穂四条</t>
  </si>
  <si>
    <t>東苗穂五条</t>
  </si>
  <si>
    <t>東苗穂六条</t>
  </si>
  <si>
    <t>東苗穂七条</t>
  </si>
  <si>
    <t>東苗穂八条</t>
  </si>
  <si>
    <t>東苗穂九条</t>
  </si>
  <si>
    <t>東苗穂十条</t>
  </si>
  <si>
    <t>東苗穂十一条</t>
  </si>
  <si>
    <t>東苗穂十二条</t>
  </si>
  <si>
    <t>東苗穂十三条</t>
  </si>
  <si>
    <t>東苗穂十四条</t>
  </si>
  <si>
    <t>東苗穂十五条</t>
  </si>
  <si>
    <t>東苗穂町</t>
  </si>
  <si>
    <t>伏古一条</t>
  </si>
  <si>
    <t>伏古二条</t>
  </si>
  <si>
    <t>伏古三条</t>
  </si>
  <si>
    <t>伏古四条</t>
  </si>
  <si>
    <t>伏古五条</t>
  </si>
  <si>
    <t>伏古六条</t>
  </si>
  <si>
    <t>伏古七条</t>
  </si>
  <si>
    <t>伏古八条</t>
  </si>
  <si>
    <t>伏古九条</t>
  </si>
  <si>
    <t>伏古十条</t>
  </si>
  <si>
    <t>伏古十一条</t>
  </si>
  <si>
    <t>伏古十二条</t>
  </si>
  <si>
    <t>伏古十三条</t>
  </si>
  <si>
    <t>伏古十四条</t>
  </si>
  <si>
    <t>本町一条</t>
  </si>
  <si>
    <t>本町二条</t>
  </si>
  <si>
    <t>モエレ沼公園</t>
  </si>
  <si>
    <t>川北一条</t>
  </si>
  <si>
    <t>川北二条</t>
  </si>
  <si>
    <t>川北三条</t>
  </si>
  <si>
    <t>川北四条</t>
  </si>
  <si>
    <t>川北五条</t>
  </si>
  <si>
    <t>川下</t>
  </si>
  <si>
    <t>川下一条</t>
  </si>
  <si>
    <t>川下二条</t>
  </si>
  <si>
    <t>川下三条</t>
  </si>
  <si>
    <t>川下四条</t>
  </si>
  <si>
    <t>川下五条</t>
  </si>
  <si>
    <t>川北</t>
  </si>
  <si>
    <t>菊水一条</t>
  </si>
  <si>
    <t>菊水二条</t>
  </si>
  <si>
    <t>菊水三条</t>
  </si>
  <si>
    <t>菊水四条</t>
  </si>
  <si>
    <t>菊水五条</t>
  </si>
  <si>
    <t>菊水六条</t>
  </si>
  <si>
    <t>菊水七条</t>
  </si>
  <si>
    <t>菊水八条</t>
  </si>
  <si>
    <t>菊水九条</t>
  </si>
  <si>
    <t>菊水上町一条</t>
  </si>
  <si>
    <t>菊水上町二条</t>
  </si>
  <si>
    <t>菊水上町三条</t>
  </si>
  <si>
    <t>菊水上町四条</t>
  </si>
  <si>
    <t>菊水元町一条</t>
  </si>
  <si>
    <t>菊水元町二条</t>
  </si>
  <si>
    <t>菊水元町三条</t>
  </si>
  <si>
    <t>菊水元町四条</t>
  </si>
  <si>
    <t>菊水元町五条</t>
  </si>
  <si>
    <t>菊水元町六条</t>
  </si>
  <si>
    <t>菊水元町七条</t>
  </si>
  <si>
    <t>菊水元町八条</t>
  </si>
  <si>
    <t>菊水元町九条</t>
  </si>
  <si>
    <t>菊水元町十条</t>
  </si>
  <si>
    <t>北郷</t>
  </si>
  <si>
    <t>北郷一条</t>
  </si>
  <si>
    <t>北郷二条</t>
  </si>
  <si>
    <t>北郷三条</t>
  </si>
  <si>
    <t>北郷四条</t>
  </si>
  <si>
    <t>北郷五条</t>
  </si>
  <si>
    <t>北郷六条</t>
  </si>
  <si>
    <t>北郷七条</t>
  </si>
  <si>
    <t>北郷八条</t>
  </si>
  <si>
    <t>北郷九条</t>
  </si>
  <si>
    <t>北郷十条</t>
  </si>
  <si>
    <t>栄通</t>
  </si>
  <si>
    <t>中央一条</t>
  </si>
  <si>
    <t>中央二条</t>
  </si>
  <si>
    <t>中央三条</t>
  </si>
  <si>
    <t>東札幌一条</t>
  </si>
  <si>
    <t>東札幌二条</t>
  </si>
  <si>
    <t>東札幌三条</t>
  </si>
  <si>
    <t>東札幌四条</t>
  </si>
  <si>
    <t>東札幌五条</t>
  </si>
  <si>
    <t>東札幌六条</t>
  </si>
  <si>
    <t>東米里</t>
  </si>
  <si>
    <t>米里一条</t>
  </si>
  <si>
    <t>米里二条</t>
  </si>
  <si>
    <t>米里三条</t>
  </si>
  <si>
    <t>米里四条</t>
  </si>
  <si>
    <t>米里五条</t>
  </si>
  <si>
    <t>流通センター</t>
  </si>
  <si>
    <t>旭町</t>
  </si>
  <si>
    <t>水車町</t>
  </si>
  <si>
    <t>月寒中央通</t>
  </si>
  <si>
    <t>月寒西一条</t>
  </si>
  <si>
    <t>月寒西二条</t>
  </si>
  <si>
    <t>月寒西三条</t>
  </si>
  <si>
    <t>月寒西四条</t>
  </si>
  <si>
    <t>月寒西五条</t>
  </si>
  <si>
    <t>月寒東一条</t>
  </si>
  <si>
    <t>月寒東二条</t>
  </si>
  <si>
    <t>月寒東三条</t>
  </si>
  <si>
    <t>月寒東四条</t>
  </si>
  <si>
    <t>月寒東五条</t>
  </si>
  <si>
    <t>豊平一条</t>
  </si>
  <si>
    <t>豊平二条</t>
  </si>
  <si>
    <t>豊平三条</t>
  </si>
  <si>
    <t>豊平四条</t>
  </si>
  <si>
    <t>豊平五条</t>
  </si>
  <si>
    <t>豊平六条</t>
  </si>
  <si>
    <t>豊平七条</t>
  </si>
  <si>
    <t>豊平八条</t>
  </si>
  <si>
    <t>豊平九条</t>
  </si>
  <si>
    <t>中の島一条</t>
  </si>
  <si>
    <t>中の島二条</t>
  </si>
  <si>
    <t>西岡</t>
  </si>
  <si>
    <t>西岡一条</t>
  </si>
  <si>
    <t>西岡二条</t>
  </si>
  <si>
    <t>西岡三条</t>
  </si>
  <si>
    <t>西岡四条</t>
  </si>
  <si>
    <t>西岡五条</t>
  </si>
  <si>
    <t>羊ケ丘</t>
  </si>
  <si>
    <t>平岸一条</t>
  </si>
  <si>
    <t>平岸二条</t>
  </si>
  <si>
    <t>平岸三条</t>
  </si>
  <si>
    <t>平岸四条</t>
  </si>
  <si>
    <t>平岸五条</t>
  </si>
  <si>
    <t>平岸六条</t>
  </si>
  <si>
    <t>平岸七条</t>
  </si>
  <si>
    <t>平岸八条</t>
  </si>
  <si>
    <t>福住一条</t>
  </si>
  <si>
    <t>福住二条</t>
  </si>
  <si>
    <t>福住三条</t>
  </si>
  <si>
    <t>美園一条</t>
  </si>
  <si>
    <t>美園二条</t>
  </si>
  <si>
    <t>美園三条</t>
  </si>
  <si>
    <t>美園四条</t>
  </si>
  <si>
    <t>美園五条</t>
  </si>
  <si>
    <t>美園六条</t>
  </si>
  <si>
    <t>美園七条</t>
  </si>
  <si>
    <t>美園八条</t>
  </si>
  <si>
    <t>美園九条</t>
  </si>
  <si>
    <t>美園十条</t>
  </si>
  <si>
    <t>美園十一条</t>
  </si>
  <si>
    <t>美園十二条</t>
  </si>
  <si>
    <t>石山</t>
  </si>
  <si>
    <t>石山東</t>
  </si>
  <si>
    <t>石山一条</t>
  </si>
  <si>
    <t>石山二条</t>
  </si>
  <si>
    <t>石山三条</t>
  </si>
  <si>
    <t>石山四条</t>
  </si>
  <si>
    <t>川沿一条</t>
  </si>
  <si>
    <t>川沿二条</t>
  </si>
  <si>
    <t>川沿三条</t>
  </si>
  <si>
    <t>川沿四条</t>
  </si>
  <si>
    <t>川沿五条</t>
  </si>
  <si>
    <t>川沿六条</t>
  </si>
  <si>
    <t>川沿七条</t>
  </si>
  <si>
    <t>川沿八条</t>
  </si>
  <si>
    <t>川沿九条</t>
  </si>
  <si>
    <t>川沿十条</t>
  </si>
  <si>
    <t>川沿十一条</t>
  </si>
  <si>
    <t>川沿十二条</t>
  </si>
  <si>
    <t>川沿十三条</t>
  </si>
  <si>
    <t>川沿十四条</t>
  </si>
  <si>
    <t>川沿十五条</t>
  </si>
  <si>
    <t>川沿十六条</t>
  </si>
  <si>
    <t>川沿十七条</t>
  </si>
  <si>
    <t>川沿十八条</t>
  </si>
  <si>
    <t>北ノ沢</t>
  </si>
  <si>
    <t>芸術の森</t>
  </si>
  <si>
    <t>小金湯</t>
  </si>
  <si>
    <t>定山渓</t>
  </si>
  <si>
    <t>定山渓温泉東</t>
  </si>
  <si>
    <t>定山渓温泉西</t>
  </si>
  <si>
    <t>白川</t>
  </si>
  <si>
    <t>澄川</t>
  </si>
  <si>
    <t>澄川一条</t>
  </si>
  <si>
    <t>澄川二条</t>
  </si>
  <si>
    <t>澄川三条</t>
  </si>
  <si>
    <t>澄川四条</t>
  </si>
  <si>
    <t>澄川五条</t>
  </si>
  <si>
    <t>澄川六条</t>
  </si>
  <si>
    <t>滝野</t>
  </si>
  <si>
    <t>砥石山</t>
  </si>
  <si>
    <t>常盤一条</t>
  </si>
  <si>
    <t>常盤二条</t>
  </si>
  <si>
    <t>常盤三条</t>
  </si>
  <si>
    <t>常盤四条</t>
  </si>
  <si>
    <t>常盤五条</t>
  </si>
  <si>
    <t>常盤六条</t>
  </si>
  <si>
    <t>砥山</t>
  </si>
  <si>
    <t>豊滝</t>
  </si>
  <si>
    <t>中ノ沢</t>
  </si>
  <si>
    <t>藤野一条</t>
  </si>
  <si>
    <t>藤野二条</t>
  </si>
  <si>
    <t>藤野三条</t>
  </si>
  <si>
    <t>藤野四条</t>
  </si>
  <si>
    <t>藤野五条</t>
  </si>
  <si>
    <t>藤野六条</t>
  </si>
  <si>
    <t>真駒内曙町</t>
  </si>
  <si>
    <t>真駒内泉町</t>
  </si>
  <si>
    <t>真駒内柏丘</t>
  </si>
  <si>
    <t>真駒内上町</t>
  </si>
  <si>
    <t>真駒内幸町</t>
  </si>
  <si>
    <t>真駒内東町</t>
  </si>
  <si>
    <t>真駒内本町</t>
  </si>
  <si>
    <t>真駒内緑町</t>
  </si>
  <si>
    <t>真駒内南町</t>
  </si>
  <si>
    <t>真駒内公園</t>
  </si>
  <si>
    <t>簾舞一条</t>
  </si>
  <si>
    <t>簾舞二条</t>
  </si>
  <si>
    <t>簾舞三条</t>
  </si>
  <si>
    <t>簾舞四条</t>
  </si>
  <si>
    <t>簾舞五条</t>
  </si>
  <si>
    <t>簾舞六条</t>
  </si>
  <si>
    <t>南沢</t>
  </si>
  <si>
    <t>南沢一条</t>
  </si>
  <si>
    <t>南沢二条</t>
  </si>
  <si>
    <t>南沢三条</t>
  </si>
  <si>
    <t>南沢四条</t>
  </si>
  <si>
    <t>南沢五条</t>
  </si>
  <si>
    <t>南沢六条</t>
  </si>
  <si>
    <t>南三十一条西</t>
  </si>
  <si>
    <t>南三十二条西</t>
  </si>
  <si>
    <t>南三十三条西</t>
  </si>
  <si>
    <t>南三十四条西</t>
  </si>
  <si>
    <t>南三十五条西</t>
  </si>
  <si>
    <t>南三十六条西</t>
  </si>
  <si>
    <t>南三十七条西</t>
  </si>
  <si>
    <t>南三十八条西</t>
  </si>
  <si>
    <t>南三十九条西</t>
  </si>
  <si>
    <t>藻岩下</t>
  </si>
  <si>
    <t>藻岩山</t>
  </si>
  <si>
    <t>琴似一条</t>
  </si>
  <si>
    <t>琴似二条</t>
  </si>
  <si>
    <t>琴似三条</t>
  </si>
  <si>
    <t>琴似四条</t>
  </si>
  <si>
    <t>小別沢</t>
  </si>
  <si>
    <t>西野</t>
  </si>
  <si>
    <t>西野一条</t>
  </si>
  <si>
    <t>西野二条</t>
  </si>
  <si>
    <t>西野三条</t>
  </si>
  <si>
    <t>西野四条</t>
  </si>
  <si>
    <t>西野五条</t>
  </si>
  <si>
    <t>西野六条</t>
  </si>
  <si>
    <t>西野七条</t>
  </si>
  <si>
    <t>西野八条</t>
  </si>
  <si>
    <t>西野九条</t>
  </si>
  <si>
    <t>西野十条</t>
  </si>
  <si>
    <t>西野十一条</t>
  </si>
  <si>
    <t>西野十二条</t>
  </si>
  <si>
    <t>西野十三条</t>
  </si>
  <si>
    <t>西野十四条</t>
  </si>
  <si>
    <t>西町南</t>
  </si>
  <si>
    <t>西町北</t>
  </si>
  <si>
    <t>二十四軒一条</t>
  </si>
  <si>
    <t>二十四軒二条</t>
  </si>
  <si>
    <t>二十四軒三条</t>
  </si>
  <si>
    <t>二十四軒四条</t>
  </si>
  <si>
    <t>八軒一条東</t>
  </si>
  <si>
    <t>八軒一条西</t>
  </si>
  <si>
    <t>八軒二条東</t>
  </si>
  <si>
    <t>八軒二条西</t>
  </si>
  <si>
    <t>八軒三条東</t>
  </si>
  <si>
    <t>八軒三条西</t>
  </si>
  <si>
    <t>八軒四条東</t>
  </si>
  <si>
    <t>八軒四条西</t>
  </si>
  <si>
    <t>八軒五条東</t>
  </si>
  <si>
    <t>八軒五条西</t>
  </si>
  <si>
    <t>八軒六条東</t>
  </si>
  <si>
    <t>八軒六条西</t>
  </si>
  <si>
    <t>八軒七条東</t>
  </si>
  <si>
    <t>八軒七条西</t>
  </si>
  <si>
    <t>八軒八条東</t>
  </si>
  <si>
    <t>八軒八条西</t>
  </si>
  <si>
    <t>八軒九条東</t>
  </si>
  <si>
    <t>八軒九条西</t>
  </si>
  <si>
    <t>八軒十条東</t>
  </si>
  <si>
    <t>八軒十条西</t>
  </si>
  <si>
    <t>発寒一条</t>
  </si>
  <si>
    <t>発寒二条</t>
  </si>
  <si>
    <t>発寒三条</t>
  </si>
  <si>
    <t>発寒四条</t>
  </si>
  <si>
    <t>発寒五条</t>
  </si>
  <si>
    <t>発寒六条</t>
  </si>
  <si>
    <t>発寒七条</t>
  </si>
  <si>
    <t>発寒八条</t>
  </si>
  <si>
    <t>発寒九条</t>
  </si>
  <si>
    <t>発寒十条</t>
  </si>
  <si>
    <t>発寒十一条</t>
  </si>
  <si>
    <t>発寒十二条</t>
  </si>
  <si>
    <t>発寒十三条</t>
  </si>
  <si>
    <t>発寒十四条</t>
  </si>
  <si>
    <t>発寒十五条</t>
  </si>
  <si>
    <t>発寒十六条</t>
  </si>
  <si>
    <t>発寒十七条</t>
  </si>
  <si>
    <t>福井</t>
  </si>
  <si>
    <t>平和</t>
  </si>
  <si>
    <t>平和一条</t>
  </si>
  <si>
    <t>平和二条</t>
  </si>
  <si>
    <t>平和三条</t>
  </si>
  <si>
    <t>宮の沢</t>
  </si>
  <si>
    <t>宮の沢一条</t>
  </si>
  <si>
    <t>宮の沢二条</t>
  </si>
  <si>
    <t>宮の沢三条</t>
  </si>
  <si>
    <t>宮の沢四条</t>
  </si>
  <si>
    <t>山の手</t>
  </si>
  <si>
    <t>山の手一条</t>
  </si>
  <si>
    <t>山の手二条</t>
  </si>
  <si>
    <t>山の手三条</t>
  </si>
  <si>
    <t>山の手四条</t>
  </si>
  <si>
    <t>山の手五条</t>
  </si>
  <si>
    <t>山の手六条</t>
  </si>
  <si>
    <t>山の手七条</t>
  </si>
  <si>
    <t>青葉町</t>
  </si>
  <si>
    <t>厚別北一条</t>
  </si>
  <si>
    <t>厚別北二条</t>
  </si>
  <si>
    <t>厚別北三条</t>
  </si>
  <si>
    <t>厚別北四条</t>
  </si>
  <si>
    <t>厚別北五条</t>
  </si>
  <si>
    <t>厚別北六条</t>
  </si>
  <si>
    <t>厚別中央一条</t>
  </si>
  <si>
    <t>厚別中央二条</t>
  </si>
  <si>
    <t>厚別中央三条</t>
  </si>
  <si>
    <t>厚別中央四条</t>
  </si>
  <si>
    <t>厚別中央五条</t>
  </si>
  <si>
    <t>厚別町上野幌</t>
  </si>
  <si>
    <t>厚別町下野幌</t>
  </si>
  <si>
    <t>厚別町小野幌</t>
  </si>
  <si>
    <t>厚別町山本</t>
  </si>
  <si>
    <t>厚別西</t>
  </si>
  <si>
    <t>厚別西一条</t>
  </si>
  <si>
    <t>厚別西二条</t>
  </si>
  <si>
    <t>厚別西三条</t>
  </si>
  <si>
    <t>厚別西四条</t>
  </si>
  <si>
    <t>厚別西五条</t>
  </si>
  <si>
    <t>厚別東一条</t>
  </si>
  <si>
    <t>厚別東二条</t>
  </si>
  <si>
    <t>厚別東三条</t>
  </si>
  <si>
    <t>厚別東四条</t>
  </si>
  <si>
    <t>厚別東五条</t>
  </si>
  <si>
    <t>厚別南</t>
  </si>
  <si>
    <t>大谷地東</t>
  </si>
  <si>
    <t>大谷地西</t>
  </si>
  <si>
    <t>上野幌一条</t>
  </si>
  <si>
    <t>上野幌二条</t>
  </si>
  <si>
    <t>上野幌三条</t>
  </si>
  <si>
    <t>下野幌テクノパーク</t>
  </si>
  <si>
    <t>もみじ台東</t>
  </si>
  <si>
    <t>もみじ台西</t>
  </si>
  <si>
    <t>もみじ台南</t>
  </si>
  <si>
    <t>もみじ台北</t>
  </si>
  <si>
    <t>曙一条</t>
  </si>
  <si>
    <t>曙二条</t>
  </si>
  <si>
    <t>曙三条</t>
  </si>
  <si>
    <t>曙四条</t>
  </si>
  <si>
    <t>曙五条</t>
  </si>
  <si>
    <t>曙六条</t>
  </si>
  <si>
    <t>曙七条</t>
  </si>
  <si>
    <t>曙八条</t>
  </si>
  <si>
    <t>曙九条</t>
  </si>
  <si>
    <t>曙十条</t>
  </si>
  <si>
    <t>曙十一条</t>
  </si>
  <si>
    <t>曙十二条</t>
  </si>
  <si>
    <t>明日風</t>
  </si>
  <si>
    <t>稲穂一条</t>
  </si>
  <si>
    <t>稲穂二条</t>
  </si>
  <si>
    <t>稲穂三条</t>
  </si>
  <si>
    <t>稲穂四条</t>
  </si>
  <si>
    <t>稲穂五条</t>
  </si>
  <si>
    <t>金山一条</t>
  </si>
  <si>
    <t>金山二条</t>
  </si>
  <si>
    <t>金山三条</t>
  </si>
  <si>
    <t>新発寒一条</t>
  </si>
  <si>
    <t>新発寒二条</t>
  </si>
  <si>
    <t>新発寒三条</t>
  </si>
  <si>
    <t>新発寒四条</t>
  </si>
  <si>
    <t>新発寒五条</t>
  </si>
  <si>
    <t>新発寒六条</t>
  </si>
  <si>
    <t>新発寒七条</t>
  </si>
  <si>
    <t>手稲稲穂</t>
  </si>
  <si>
    <t>手稲金山</t>
  </si>
  <si>
    <t>手稲富丘</t>
  </si>
  <si>
    <t>手稲星置</t>
  </si>
  <si>
    <t>手稲前田</t>
  </si>
  <si>
    <t>手稲山口</t>
  </si>
  <si>
    <t>手稲本町</t>
  </si>
  <si>
    <t>手稲本町一条</t>
  </si>
  <si>
    <t>手稲本町二条</t>
  </si>
  <si>
    <t>手稲本町三条</t>
  </si>
  <si>
    <t>手稲本町四条</t>
  </si>
  <si>
    <t>手稲本町五条</t>
  </si>
  <si>
    <t>手稲本町六条</t>
  </si>
  <si>
    <t>富丘一条</t>
  </si>
  <si>
    <t>富丘二条</t>
  </si>
  <si>
    <t>富丘三条</t>
  </si>
  <si>
    <t>富丘四条</t>
  </si>
  <si>
    <t>富丘五条</t>
  </si>
  <si>
    <t>富丘六条</t>
  </si>
  <si>
    <t>西宮の沢</t>
  </si>
  <si>
    <t>西宮の沢一条</t>
  </si>
  <si>
    <t>西宮の沢二条</t>
  </si>
  <si>
    <t>西宮の沢三条</t>
  </si>
  <si>
    <t>西宮の沢四条</t>
  </si>
  <si>
    <t>西宮の沢五条</t>
  </si>
  <si>
    <t>西宮の沢六条</t>
  </si>
  <si>
    <t>星置一条</t>
  </si>
  <si>
    <t>星置二条</t>
  </si>
  <si>
    <t>星置三条</t>
  </si>
  <si>
    <t>星置南</t>
  </si>
  <si>
    <t>前田一条</t>
  </si>
  <si>
    <t>前田二条</t>
  </si>
  <si>
    <t>前田三条</t>
  </si>
  <si>
    <t>前田四条</t>
  </si>
  <si>
    <t>前田五条</t>
  </si>
  <si>
    <t>前田六条</t>
  </si>
  <si>
    <t>前田七条</t>
  </si>
  <si>
    <t>前田八条</t>
  </si>
  <si>
    <t>前田九条</t>
  </si>
  <si>
    <t>前田十条</t>
  </si>
  <si>
    <t>前田十一条</t>
  </si>
  <si>
    <t>前田十二条</t>
  </si>
  <si>
    <t>前田十三条</t>
  </si>
  <si>
    <t>有明</t>
  </si>
  <si>
    <t>美しが丘一条</t>
  </si>
  <si>
    <t>美しが丘二条</t>
  </si>
  <si>
    <t>美しが丘三条</t>
  </si>
  <si>
    <t>美しが丘四条</t>
  </si>
  <si>
    <t>美しが丘五条</t>
  </si>
  <si>
    <t>北野一条</t>
  </si>
  <si>
    <t>北野二条</t>
  </si>
  <si>
    <t>北野三条</t>
  </si>
  <si>
    <t>北野四条</t>
  </si>
  <si>
    <t>北野五条</t>
  </si>
  <si>
    <t>北野六条</t>
  </si>
  <si>
    <t>北野七条</t>
  </si>
  <si>
    <t>清田</t>
  </si>
  <si>
    <t>清田一条</t>
  </si>
  <si>
    <t>清田二条</t>
  </si>
  <si>
    <t>清田三条</t>
  </si>
  <si>
    <t>清田四条</t>
  </si>
  <si>
    <t>清田五条</t>
  </si>
  <si>
    <t>清田六条</t>
  </si>
  <si>
    <t>清田七条</t>
  </si>
  <si>
    <t>清田八条</t>
  </si>
  <si>
    <t>清田九条</t>
  </si>
  <si>
    <t>清田十条</t>
  </si>
  <si>
    <t>里塚</t>
  </si>
  <si>
    <t>里塚一条</t>
  </si>
  <si>
    <t>里塚二条</t>
  </si>
  <si>
    <t>里塚三条</t>
  </si>
  <si>
    <t>里塚四条</t>
  </si>
  <si>
    <t>里塚緑ケ丘</t>
  </si>
  <si>
    <t>真栄</t>
  </si>
  <si>
    <t>真栄一条</t>
  </si>
  <si>
    <t>真栄三条</t>
  </si>
  <si>
    <t>真栄四条</t>
  </si>
  <si>
    <t>真栄五条</t>
  </si>
  <si>
    <t>真栄六条</t>
  </si>
  <si>
    <t>平岡</t>
  </si>
  <si>
    <t>平岡一条</t>
  </si>
  <si>
    <t>平岡二条</t>
  </si>
  <si>
    <t>平岡三条</t>
  </si>
  <si>
    <t>平岡四条</t>
  </si>
  <si>
    <t>平岡五条</t>
  </si>
  <si>
    <t>平岡六条</t>
  </si>
  <si>
    <t>平岡七条</t>
  </si>
  <si>
    <t>平岡八条</t>
  </si>
  <si>
    <t>平岡九条</t>
  </si>
  <si>
    <t>平岡十条</t>
  </si>
  <si>
    <t>平岡公園</t>
  </si>
  <si>
    <t>平岡公園東</t>
  </si>
  <si>
    <t>真栄二条</t>
    <phoneticPr fontId="8"/>
  </si>
  <si>
    <t>常盤</t>
    <phoneticPr fontId="8"/>
  </si>
  <si>
    <t>北九条東</t>
    <phoneticPr fontId="8"/>
  </si>
  <si>
    <t>北八条東</t>
    <phoneticPr fontId="8"/>
  </si>
  <si>
    <t>北八条東</t>
    <phoneticPr fontId="8"/>
  </si>
  <si>
    <t>北七条東</t>
    <phoneticPr fontId="8"/>
  </si>
  <si>
    <t>北六条東</t>
    <phoneticPr fontId="8"/>
  </si>
  <si>
    <t>北六条東</t>
    <phoneticPr fontId="8"/>
  </si>
  <si>
    <t>北五条東</t>
    <phoneticPr fontId="8"/>
  </si>
  <si>
    <t>北四条東</t>
    <phoneticPr fontId="8"/>
  </si>
  <si>
    <t>北二十条西</t>
    <phoneticPr fontId="8"/>
  </si>
  <si>
    <t>北二十条西</t>
    <phoneticPr fontId="8"/>
  </si>
  <si>
    <t>北十九条西</t>
    <phoneticPr fontId="8"/>
  </si>
  <si>
    <t>北十九条西</t>
    <phoneticPr fontId="8"/>
  </si>
  <si>
    <t>北十八条西</t>
    <phoneticPr fontId="8"/>
  </si>
  <si>
    <t>北十八条西</t>
    <phoneticPr fontId="8"/>
  </si>
  <si>
    <t>北十七条西</t>
    <phoneticPr fontId="8"/>
  </si>
  <si>
    <t>北十七条西</t>
    <phoneticPr fontId="8"/>
  </si>
  <si>
    <t>北十六条西</t>
    <phoneticPr fontId="8"/>
  </si>
  <si>
    <t>北十条西</t>
    <phoneticPr fontId="8"/>
  </si>
  <si>
    <t>北十条西</t>
    <phoneticPr fontId="8"/>
  </si>
  <si>
    <t>北十一条西</t>
    <phoneticPr fontId="8"/>
  </si>
  <si>
    <t>北十二条西</t>
    <phoneticPr fontId="8"/>
  </si>
  <si>
    <t>北十二条西</t>
    <phoneticPr fontId="8"/>
  </si>
  <si>
    <t>北十三条西</t>
    <phoneticPr fontId="8"/>
  </si>
  <si>
    <t>北十四条西</t>
    <phoneticPr fontId="8"/>
  </si>
  <si>
    <t>北十四条西</t>
    <phoneticPr fontId="8"/>
  </si>
  <si>
    <t>北十五条西</t>
    <phoneticPr fontId="8"/>
  </si>
  <si>
    <t>南三十条西</t>
    <phoneticPr fontId="8"/>
  </si>
  <si>
    <t>南三条西</t>
    <phoneticPr fontId="8"/>
  </si>
  <si>
    <t>南二条西</t>
    <phoneticPr fontId="8"/>
  </si>
  <si>
    <t>南一条西</t>
    <phoneticPr fontId="8"/>
  </si>
  <si>
    <t>北六条西</t>
    <phoneticPr fontId="8"/>
  </si>
  <si>
    <t>北五条西</t>
    <phoneticPr fontId="8"/>
  </si>
  <si>
    <t>北四条西</t>
    <phoneticPr fontId="8"/>
  </si>
  <si>
    <t>北三条西</t>
    <phoneticPr fontId="8"/>
  </si>
  <si>
    <t>北三条西</t>
    <phoneticPr fontId="8"/>
  </si>
  <si>
    <t>北二条西</t>
    <phoneticPr fontId="8"/>
  </si>
  <si>
    <t>北一条西</t>
    <phoneticPr fontId="8"/>
  </si>
  <si>
    <t>北一条西</t>
    <phoneticPr fontId="8"/>
  </si>
  <si>
    <t>大通西</t>
    <phoneticPr fontId="8"/>
  </si>
  <si>
    <t>大通西</t>
    <phoneticPr fontId="8"/>
  </si>
  <si>
    <t>藤野</t>
    <phoneticPr fontId="8"/>
  </si>
  <si>
    <t>藤野</t>
    <phoneticPr fontId="8"/>
  </si>
  <si>
    <t>真駒内</t>
    <phoneticPr fontId="8"/>
  </si>
  <si>
    <t>真駒内</t>
    <phoneticPr fontId="8"/>
  </si>
  <si>
    <t>簾舞</t>
    <phoneticPr fontId="8"/>
  </si>
  <si>
    <t>郵便番号</t>
    <rPh sb="0" eb="4">
      <t>ユウビンバンゴウ</t>
    </rPh>
    <phoneticPr fontId="8"/>
  </si>
  <si>
    <t>住所①</t>
    <rPh sb="0" eb="2">
      <t>ジュウショ</t>
    </rPh>
    <phoneticPr fontId="8"/>
  </si>
  <si>
    <t>住所②</t>
    <rPh sb="0" eb="2">
      <t>ジュウショ</t>
    </rPh>
    <phoneticPr fontId="8"/>
  </si>
  <si>
    <t>住所</t>
    <rPh sb="0" eb="2">
      <t>ジュウショ</t>
    </rPh>
    <phoneticPr fontId="8"/>
  </si>
  <si>
    <t>①</t>
    <phoneticPr fontId="8"/>
  </si>
  <si>
    <t>②
丁目・番地</t>
    <rPh sb="2" eb="3">
      <t>チョウ</t>
    </rPh>
    <rPh sb="3" eb="4">
      <t>メ</t>
    </rPh>
    <rPh sb="5" eb="7">
      <t>バンチ</t>
    </rPh>
    <phoneticPr fontId="8"/>
  </si>
  <si>
    <t>欠席</t>
    <rPh sb="0" eb="2">
      <t>ケッセキ</t>
    </rPh>
    <phoneticPr fontId="8"/>
  </si>
  <si>
    <t>No.</t>
    <phoneticPr fontId="8"/>
  </si>
  <si>
    <t>宿泊</t>
    <rPh sb="0" eb="2">
      <t>シュクハク</t>
    </rPh>
    <phoneticPr fontId="8"/>
  </si>
  <si>
    <t>日帰り</t>
    <rPh sb="0" eb="2">
      <t>ヒガエ</t>
    </rPh>
    <phoneticPr fontId="8"/>
  </si>
  <si>
    <t>学校名</t>
    <rPh sb="0" eb="2">
      <t>ガッコウ</t>
    </rPh>
    <rPh sb="2" eb="3">
      <t>ガッコウメイ</t>
    </rPh>
    <phoneticPr fontId="21"/>
  </si>
  <si>
    <t>学校名</t>
    <rPh sb="0" eb="2">
      <t>ガッコウ</t>
    </rPh>
    <rPh sb="2" eb="3">
      <t>メイ</t>
    </rPh>
    <phoneticPr fontId="3"/>
  </si>
  <si>
    <t>学校</t>
    <rPh sb="0" eb="2">
      <t>ガッコウ</t>
    </rPh>
    <phoneticPr fontId="3"/>
  </si>
  <si>
    <t>学校長</t>
    <rPh sb="0" eb="3">
      <t>ガッコウチョウ</t>
    </rPh>
    <phoneticPr fontId="3"/>
  </si>
  <si>
    <t>領収・請求書６</t>
    <rPh sb="0" eb="2">
      <t>リョウシュウ</t>
    </rPh>
    <rPh sb="3" eb="6">
      <t>セイキュウショ</t>
    </rPh>
    <phoneticPr fontId="21"/>
  </si>
  <si>
    <t>領収・請求書７</t>
    <rPh sb="0" eb="2">
      <t>リョウシュウ</t>
    </rPh>
    <rPh sb="3" eb="6">
      <t>セイキュウショ</t>
    </rPh>
    <phoneticPr fontId="21"/>
  </si>
  <si>
    <t>　■　領収・請求書を分割する場合は、領収・請求書を振り分けて宛名（※30文字上限）を記入し、
　　　支払方法をチェックしてください。
　■　各領収・請求書に該当する数値を、下表以降の太枠内に記入してください。　　
　　　なお、利用予定（実態）がない運転者は、利用者として認定できませんので記入しないでください。
　　　その際、退館時まで駐車する場合は、料金所で駐車料金（及び入園料）を支払った上で待機してください。</t>
    <rPh sb="10" eb="12">
      <t>ブンカツ</t>
    </rPh>
    <rPh sb="30" eb="32">
      <t>アテナ</t>
    </rPh>
    <rPh sb="36" eb="38">
      <t>モジ</t>
    </rPh>
    <rPh sb="38" eb="40">
      <t>ジョウゲン</t>
    </rPh>
    <rPh sb="70" eb="71">
      <t>カク</t>
    </rPh>
    <rPh sb="91" eb="94">
      <t>フトワクナイ</t>
    </rPh>
    <rPh sb="144" eb="146">
      <t>キニュウ</t>
    </rPh>
    <rPh sb="161" eb="162">
      <t>サイ</t>
    </rPh>
    <rPh sb="163" eb="165">
      <t>タイカン</t>
    </rPh>
    <rPh sb="165" eb="166">
      <t>ジ</t>
    </rPh>
    <rPh sb="168" eb="170">
      <t>チュウシャ</t>
    </rPh>
    <rPh sb="172" eb="174">
      <t>バアイ</t>
    </rPh>
    <rPh sb="176" eb="179">
      <t>リョウキンジョ</t>
    </rPh>
    <rPh sb="180" eb="182">
      <t>チュウシャ</t>
    </rPh>
    <rPh sb="182" eb="184">
      <t>リョウキン</t>
    </rPh>
    <rPh sb="185" eb="186">
      <t>オヨ</t>
    </rPh>
    <rPh sb="187" eb="190">
      <t>ニュウエンリョウ</t>
    </rPh>
    <rPh sb="192" eb="194">
      <t>シハラ</t>
    </rPh>
    <rPh sb="196" eb="197">
      <t>ウエ</t>
    </rPh>
    <rPh sb="198" eb="200">
      <t>タイキ</t>
    </rPh>
    <phoneticPr fontId="3"/>
  </si>
  <si>
    <t>領　収
請求書３</t>
    <rPh sb="0" eb="1">
      <t>リョウ</t>
    </rPh>
    <rPh sb="2" eb="3">
      <t>オサム</t>
    </rPh>
    <rPh sb="4" eb="7">
      <t>セイキュウショ</t>
    </rPh>
    <phoneticPr fontId="3"/>
  </si>
  <si>
    <t>領   収
請求書２</t>
    <rPh sb="0" eb="1">
      <t>リョウ</t>
    </rPh>
    <rPh sb="4" eb="5">
      <t>オサム</t>
    </rPh>
    <rPh sb="6" eb="9">
      <t>セイキュウショ</t>
    </rPh>
    <phoneticPr fontId="21"/>
  </si>
  <si>
    <t>領   収
請求書１</t>
    <rPh sb="0" eb="1">
      <t>リョウ</t>
    </rPh>
    <rPh sb="4" eb="5">
      <t>オサム</t>
    </rPh>
    <rPh sb="6" eb="8">
      <t>セイキュウ</t>
    </rPh>
    <rPh sb="8" eb="9">
      <t>ショ</t>
    </rPh>
    <phoneticPr fontId="21"/>
  </si>
  <si>
    <t>領　収
請求書５</t>
    <rPh sb="0" eb="1">
      <t>リョウ</t>
    </rPh>
    <rPh sb="2" eb="3">
      <t>オサム</t>
    </rPh>
    <rPh sb="4" eb="7">
      <t>セイキュウショ</t>
    </rPh>
    <phoneticPr fontId="3"/>
  </si>
  <si>
    <t>領   収
請求書６</t>
    <rPh sb="0" eb="1">
      <t>リョウ</t>
    </rPh>
    <rPh sb="4" eb="5">
      <t>オサム</t>
    </rPh>
    <rPh sb="6" eb="9">
      <t>セイキュウショ</t>
    </rPh>
    <phoneticPr fontId="21"/>
  </si>
  <si>
    <t>領   収
請求書７</t>
    <rPh sb="0" eb="1">
      <t>リョウ</t>
    </rPh>
    <rPh sb="4" eb="5">
      <t>オサム</t>
    </rPh>
    <rPh sb="6" eb="9">
      <t>セイキュウショ</t>
    </rPh>
    <phoneticPr fontId="21"/>
  </si>
  <si>
    <t>人　数</t>
    <rPh sb="0" eb="1">
      <t>ヒト</t>
    </rPh>
    <rPh sb="2" eb="3">
      <t>スウ</t>
    </rPh>
    <phoneticPr fontId="3"/>
  </si>
  <si>
    <t>2day一般
（入園料用）</t>
    <rPh sb="4" eb="6">
      <t>イッパン</t>
    </rPh>
    <rPh sb="8" eb="10">
      <t>ニュウエン</t>
    </rPh>
    <rPh sb="10" eb="11">
      <t>リョウ</t>
    </rPh>
    <rPh sb="11" eb="12">
      <t>ヨウ</t>
    </rPh>
    <phoneticPr fontId="8"/>
  </si>
  <si>
    <t>2day一般
（施設使用料用）</t>
    <rPh sb="4" eb="6">
      <t>イッパン</t>
    </rPh>
    <rPh sb="8" eb="10">
      <t>シセツ</t>
    </rPh>
    <rPh sb="10" eb="12">
      <t>シヨウ</t>
    </rPh>
    <rPh sb="12" eb="13">
      <t>リョウ</t>
    </rPh>
    <rPh sb="13" eb="14">
      <t>ヨウ</t>
    </rPh>
    <phoneticPr fontId="8"/>
  </si>
  <si>
    <t>無料、減免対象者
　（小学生未満、手帳所持者・介添者）</t>
    <rPh sb="0" eb="2">
      <t>ムリョウ</t>
    </rPh>
    <rPh sb="3" eb="5">
      <t>ゲンメン</t>
    </rPh>
    <rPh sb="5" eb="7">
      <t>タイショウ</t>
    </rPh>
    <rPh sb="7" eb="8">
      <t>シャ</t>
    </rPh>
    <rPh sb="11" eb="14">
      <t>ショウガクセイ</t>
    </rPh>
    <rPh sb="14" eb="16">
      <t>ミマン</t>
    </rPh>
    <rPh sb="17" eb="19">
      <t>テチョウ</t>
    </rPh>
    <rPh sb="19" eb="22">
      <t>ショジシャ</t>
    </rPh>
    <rPh sb="23" eb="25">
      <t>カイゾ</t>
    </rPh>
    <rPh sb="25" eb="26">
      <t>シャ</t>
    </rPh>
    <phoneticPr fontId="21"/>
  </si>
  <si>
    <t>領収
請求書１</t>
    <rPh sb="0" eb="1">
      <t>リョウ</t>
    </rPh>
    <rPh sb="1" eb="2">
      <t>オサム</t>
    </rPh>
    <rPh sb="3" eb="5">
      <t>セイキュウ</t>
    </rPh>
    <rPh sb="5" eb="6">
      <t>ショ</t>
    </rPh>
    <phoneticPr fontId="21"/>
  </si>
  <si>
    <t>領収
請求書２</t>
    <rPh sb="0" eb="1">
      <t>リョウ</t>
    </rPh>
    <rPh sb="1" eb="2">
      <t>オサム</t>
    </rPh>
    <rPh sb="3" eb="5">
      <t>セイキュウ</t>
    </rPh>
    <rPh sb="5" eb="6">
      <t>ショ</t>
    </rPh>
    <phoneticPr fontId="21"/>
  </si>
  <si>
    <t>領収
請求書３</t>
    <rPh sb="0" eb="1">
      <t>リョウ</t>
    </rPh>
    <rPh sb="1" eb="2">
      <t>オサム</t>
    </rPh>
    <rPh sb="3" eb="5">
      <t>セイキュウ</t>
    </rPh>
    <rPh sb="5" eb="6">
      <t>ショ</t>
    </rPh>
    <phoneticPr fontId="21"/>
  </si>
  <si>
    <t>領収
請求書４</t>
    <rPh sb="0" eb="1">
      <t>リョウ</t>
    </rPh>
    <rPh sb="1" eb="2">
      <t>オサム</t>
    </rPh>
    <rPh sb="3" eb="5">
      <t>セイキュウ</t>
    </rPh>
    <rPh sb="5" eb="6">
      <t>ショ</t>
    </rPh>
    <phoneticPr fontId="21"/>
  </si>
  <si>
    <t>★　後納の振込手数料については【学校団体負担】となります。ご注意ください。　</t>
    <phoneticPr fontId="3"/>
  </si>
  <si>
    <t>食事代　小計</t>
    <rPh sb="0" eb="3">
      <t>ショクジダイ</t>
    </rPh>
    <rPh sb="4" eb="6">
      <t>ショウケイ</t>
    </rPh>
    <phoneticPr fontId="3"/>
  </si>
  <si>
    <t>【当日現金払い】のみ</t>
    <phoneticPr fontId="21"/>
  </si>
  <si>
    <t>【当日現金払い】・【後納】が選択可</t>
    <rPh sb="1" eb="3">
      <t>トウジツ</t>
    </rPh>
    <rPh sb="5" eb="6">
      <t>バラ</t>
    </rPh>
    <rPh sb="14" eb="17">
      <t>センタクカ</t>
    </rPh>
    <phoneticPr fontId="21"/>
  </si>
  <si>
    <t>【当日現金払い】・【後納払い】が選択可</t>
    <rPh sb="1" eb="3">
      <t>トウジツ</t>
    </rPh>
    <rPh sb="16" eb="19">
      <t>センタクカ</t>
    </rPh>
    <phoneticPr fontId="3"/>
  </si>
  <si>
    <t>その他料金　小計</t>
    <rPh sb="2" eb="3">
      <t>タ</t>
    </rPh>
    <rPh sb="3" eb="5">
      <t>リョウキン</t>
    </rPh>
    <rPh sb="6" eb="8">
      <t>ショウケイ</t>
    </rPh>
    <phoneticPr fontId="3"/>
  </si>
  <si>
    <t>2day一般
介添</t>
    <rPh sb="4" eb="6">
      <t>イッパン</t>
    </rPh>
    <rPh sb="7" eb="9">
      <t>カイゾエ</t>
    </rPh>
    <phoneticPr fontId="8"/>
  </si>
  <si>
    <t>施設使用料日帰合計延日数</t>
    <rPh sb="0" eb="2">
      <t>シセツ</t>
    </rPh>
    <rPh sb="2" eb="4">
      <t>シヨウ</t>
    </rPh>
    <rPh sb="4" eb="5">
      <t>リョウ</t>
    </rPh>
    <rPh sb="5" eb="7">
      <t>ヒガエ</t>
    </rPh>
    <rPh sb="7" eb="9">
      <t>ゴウケイ</t>
    </rPh>
    <rPh sb="9" eb="10">
      <t>ノ</t>
    </rPh>
    <rPh sb="10" eb="12">
      <t>ニッスウ</t>
    </rPh>
    <phoneticPr fontId="3"/>
  </si>
  <si>
    <t>施設使用料宿泊合計延日数</t>
    <rPh sb="0" eb="2">
      <t>シセツ</t>
    </rPh>
    <rPh sb="2" eb="4">
      <t>シヨウ</t>
    </rPh>
    <rPh sb="4" eb="5">
      <t>リョウ</t>
    </rPh>
    <rPh sb="5" eb="7">
      <t>シュクハク</t>
    </rPh>
    <rPh sb="7" eb="9">
      <t>ゴウケイ</t>
    </rPh>
    <rPh sb="9" eb="10">
      <t>ノ</t>
    </rPh>
    <rPh sb="10" eb="12">
      <t>ニッスウ</t>
    </rPh>
    <phoneticPr fontId="8"/>
  </si>
  <si>
    <t>領収
請求書５</t>
    <rPh sb="0" eb="1">
      <t>リョウ</t>
    </rPh>
    <rPh sb="1" eb="2">
      <t>オサム</t>
    </rPh>
    <rPh sb="3" eb="5">
      <t>セイキュウ</t>
    </rPh>
    <rPh sb="5" eb="6">
      <t>ショ</t>
    </rPh>
    <phoneticPr fontId="21"/>
  </si>
  <si>
    <t>領収
請求書６</t>
    <phoneticPr fontId="3"/>
  </si>
  <si>
    <t>領収
請求書７</t>
    <phoneticPr fontId="3"/>
  </si>
  <si>
    <t>人　　数</t>
    <phoneticPr fontId="3"/>
  </si>
  <si>
    <t>総合計　①　※クラフト無し</t>
    <rPh sb="0" eb="1">
      <t>ソウ</t>
    </rPh>
    <rPh sb="1" eb="2">
      <t>ゴウ</t>
    </rPh>
    <rPh sb="11" eb="12">
      <t>ナ</t>
    </rPh>
    <phoneticPr fontId="3"/>
  </si>
  <si>
    <t>総合計①-入園料</t>
    <rPh sb="0" eb="1">
      <t>ソウ</t>
    </rPh>
    <rPh sb="1" eb="2">
      <t>ゴウ</t>
    </rPh>
    <rPh sb="5" eb="7">
      <t>ニュウエン</t>
    </rPh>
    <rPh sb="7" eb="8">
      <t>リョウ</t>
    </rPh>
    <phoneticPr fontId="3"/>
  </si>
  <si>
    <t>総合計②-入園料</t>
    <rPh sb="0" eb="1">
      <t>ソウ</t>
    </rPh>
    <rPh sb="1" eb="2">
      <t>ゴウ</t>
    </rPh>
    <rPh sb="5" eb="8">
      <t>ニュウエンリョウ</t>
    </rPh>
    <phoneticPr fontId="3"/>
  </si>
  <si>
    <t>総合計　①'　※クラフト有り</t>
    <rPh sb="0" eb="1">
      <t>ソウ</t>
    </rPh>
    <rPh sb="1" eb="3">
      <t>ゴウケイ</t>
    </rPh>
    <rPh sb="12" eb="13">
      <t>アリ</t>
    </rPh>
    <phoneticPr fontId="3"/>
  </si>
  <si>
    <t>シャワー可能時間</t>
    <rPh sb="4" eb="6">
      <t>カノウ</t>
    </rPh>
    <rPh sb="6" eb="8">
      <t>ジカン</t>
    </rPh>
    <phoneticPr fontId="8"/>
  </si>
  <si>
    <t>シャワー＆入浴可能時間</t>
    <rPh sb="5" eb="7">
      <t>ニュウヨク</t>
    </rPh>
    <rPh sb="7" eb="9">
      <t>カノウ</t>
    </rPh>
    <rPh sb="9" eb="11">
      <t>ジカン</t>
    </rPh>
    <phoneticPr fontId="8"/>
  </si>
  <si>
    <t>学校住所シート</t>
    <rPh sb="0" eb="2">
      <t>ガッコウ</t>
    </rPh>
    <rPh sb="2" eb="4">
      <t>ジュウショ</t>
    </rPh>
    <phoneticPr fontId="3"/>
  </si>
  <si>
    <t>中央区</t>
    <rPh sb="0" eb="3">
      <t>チュウオウク</t>
    </rPh>
    <phoneticPr fontId="3"/>
  </si>
  <si>
    <t>学校名</t>
    <rPh sb="0" eb="3">
      <t>ガッコウメイ</t>
    </rPh>
    <phoneticPr fontId="3"/>
  </si>
  <si>
    <t>よみがな</t>
    <phoneticPr fontId="3"/>
  </si>
  <si>
    <t>郵便番号</t>
    <rPh sb="0" eb="4">
      <t>ユウビンバンゴウ</t>
    </rPh>
    <phoneticPr fontId="3"/>
  </si>
  <si>
    <t>電話番号</t>
    <rPh sb="0" eb="2">
      <t>デンワ</t>
    </rPh>
    <rPh sb="2" eb="4">
      <t>バンゴウ</t>
    </rPh>
    <phoneticPr fontId="3"/>
  </si>
  <si>
    <t>FAX番号</t>
    <rPh sb="3" eb="5">
      <t>バンゴウ</t>
    </rPh>
    <phoneticPr fontId="3"/>
  </si>
  <si>
    <t>札幌市立中央小学校</t>
    <rPh sb="0" eb="4">
      <t>サッポロシリツ</t>
    </rPh>
    <phoneticPr fontId="3"/>
  </si>
  <si>
    <t>さっぽろしりつちゅうおうしょうがっこう</t>
    <phoneticPr fontId="3"/>
  </si>
  <si>
    <t>011-261-6568</t>
    <phoneticPr fontId="3"/>
  </si>
  <si>
    <t>札幌市立山鼻小学校</t>
    <rPh sb="0" eb="4">
      <t>サッポロシリツ</t>
    </rPh>
    <phoneticPr fontId="8"/>
  </si>
  <si>
    <t>さっぽろしりつやまはなしょうがっこう</t>
    <phoneticPr fontId="8"/>
  </si>
  <si>
    <t>011-511-6616</t>
    <phoneticPr fontId="8"/>
  </si>
  <si>
    <t>札幌市立幌西小学校</t>
    <rPh sb="0" eb="4">
      <t>サッポロシリツ</t>
    </rPh>
    <phoneticPr fontId="8"/>
  </si>
  <si>
    <t>さっぽろしりつこうさいしょうがっこう</t>
    <phoneticPr fontId="8"/>
  </si>
  <si>
    <t>011-561-2201</t>
    <phoneticPr fontId="8"/>
  </si>
  <si>
    <t>札幌市立桑園小学校</t>
    <rPh sb="0" eb="4">
      <t>サッポロシリツ</t>
    </rPh>
    <phoneticPr fontId="8"/>
  </si>
  <si>
    <t>さっぽろしりつそうえんしょうがっこう</t>
    <phoneticPr fontId="8"/>
  </si>
  <si>
    <t>011-611-4211</t>
    <phoneticPr fontId="8"/>
  </si>
  <si>
    <t>さっぽろしりつこうなんしょうがっこう</t>
    <phoneticPr fontId="8"/>
  </si>
  <si>
    <t>011-521-0214</t>
    <phoneticPr fontId="8"/>
  </si>
  <si>
    <t>札幌市立幌南小学校</t>
    <rPh sb="0" eb="2">
      <t>サッポロ</t>
    </rPh>
    <rPh sb="2" eb="4">
      <t>シリツ</t>
    </rPh>
    <phoneticPr fontId="8"/>
  </si>
  <si>
    <t>011-631-3437</t>
    <phoneticPr fontId="8"/>
  </si>
  <si>
    <t>札幌市立円山小学校</t>
    <rPh sb="0" eb="4">
      <t>サッポロシリツ</t>
    </rPh>
    <phoneticPr fontId="8"/>
  </si>
  <si>
    <t>さっぽろしりつまるやましょうがっこう</t>
    <phoneticPr fontId="8"/>
  </si>
  <si>
    <t>011-261-6596</t>
    <phoneticPr fontId="8"/>
  </si>
  <si>
    <t>札幌市立二条小学校</t>
    <rPh sb="0" eb="4">
      <t>サッポロシリツ</t>
    </rPh>
    <phoneticPr fontId="8"/>
  </si>
  <si>
    <t>さっぽろしりつにじょうしょうがっこう</t>
    <phoneticPr fontId="8"/>
  </si>
  <si>
    <t>011-631-6361</t>
    <phoneticPr fontId="8"/>
  </si>
  <si>
    <t>札幌市立日新小学校</t>
    <rPh sb="0" eb="4">
      <t>サッポロシリツ</t>
    </rPh>
    <phoneticPr fontId="8"/>
  </si>
  <si>
    <t>さっぽろしりつにっしんしょうがっこう</t>
    <phoneticPr fontId="8"/>
  </si>
  <si>
    <t>011-561-5118</t>
    <phoneticPr fontId="8"/>
  </si>
  <si>
    <t>さっぽろしりつみどりおかしょうがっこう</t>
    <phoneticPr fontId="8"/>
  </si>
  <si>
    <t>札幌市立緑丘小学校</t>
    <rPh sb="0" eb="4">
      <t>サッポロシリツ</t>
    </rPh>
    <phoneticPr fontId="8"/>
  </si>
  <si>
    <t>札幌市立あいの里西小学校</t>
    <rPh sb="0" eb="4">
      <t>サッポロシリツ</t>
    </rPh>
    <rPh sb="7" eb="8">
      <t>サト</t>
    </rPh>
    <rPh sb="8" eb="9">
      <t>ニシ</t>
    </rPh>
    <rPh sb="9" eb="12">
      <t>ショウガッコウ</t>
    </rPh>
    <phoneticPr fontId="72"/>
  </si>
  <si>
    <t>札幌市立旭小学校</t>
  </si>
  <si>
    <t>札幌市立厚別通小学校</t>
  </si>
  <si>
    <t>札幌市立厚別東小学校</t>
  </si>
  <si>
    <t>札幌市立東橋小学校</t>
    <phoneticPr fontId="72"/>
  </si>
  <si>
    <t>札幌市立あやめ野小学校</t>
  </si>
  <si>
    <t>札幌市立有明小学校</t>
    <phoneticPr fontId="72"/>
  </si>
  <si>
    <t>札幌市立石山東小学校</t>
    <rPh sb="0" eb="4">
      <t>サッポロシリツ</t>
    </rPh>
    <rPh sb="4" eb="6">
      <t>イシヤマ</t>
    </rPh>
    <rPh sb="6" eb="7">
      <t>ヒガシ</t>
    </rPh>
    <rPh sb="7" eb="10">
      <t>ショウガッコウ</t>
    </rPh>
    <phoneticPr fontId="72"/>
  </si>
  <si>
    <t>札幌市立稲積小学校</t>
    <rPh sb="0" eb="4">
      <t>サッポロシリツ</t>
    </rPh>
    <rPh sb="4" eb="6">
      <t>イナヅミ</t>
    </rPh>
    <rPh sb="6" eb="9">
      <t>ショウガッコウ</t>
    </rPh>
    <phoneticPr fontId="72"/>
  </si>
  <si>
    <t>札幌市立稲穂小学校</t>
    <rPh sb="0" eb="4">
      <t>サッポロシリツ</t>
    </rPh>
    <rPh sb="4" eb="6">
      <t>イナホ</t>
    </rPh>
    <rPh sb="6" eb="9">
      <t>ショウガッコウ</t>
    </rPh>
    <phoneticPr fontId="72"/>
  </si>
  <si>
    <t>札幌市立美しが丘小学校</t>
    <phoneticPr fontId="72"/>
  </si>
  <si>
    <t>札幌市立大倉山小学校</t>
    <phoneticPr fontId="72"/>
  </si>
  <si>
    <t>札幌市立大谷地小学校</t>
  </si>
  <si>
    <t>札幌市立大谷地東小学校</t>
  </si>
  <si>
    <t>札幌市立開成小学校</t>
    <phoneticPr fontId="72"/>
  </si>
  <si>
    <t>札幌市立上白石小学校</t>
  </si>
  <si>
    <t>札幌市立川北小学校</t>
    <phoneticPr fontId="72"/>
  </si>
  <si>
    <t>札幌市立菊水小学校</t>
    <phoneticPr fontId="72"/>
  </si>
  <si>
    <t>札幌市立北九条小学校</t>
    <phoneticPr fontId="72"/>
  </si>
  <si>
    <t>札幌市立北郷小学校</t>
    <phoneticPr fontId="72"/>
  </si>
  <si>
    <t>札幌市立北白石小学校</t>
    <phoneticPr fontId="72"/>
  </si>
  <si>
    <t>札幌市立北園小学校</t>
  </si>
  <si>
    <t>札幌市立北野小学校</t>
  </si>
  <si>
    <t>札幌市立北野台小学校</t>
  </si>
  <si>
    <t>札幌市立北野平小学校</t>
    <phoneticPr fontId="72"/>
  </si>
  <si>
    <t>札幌市立清田小学校</t>
  </si>
  <si>
    <t>札幌市立清田緑小学校</t>
    <phoneticPr fontId="72"/>
  </si>
  <si>
    <t>札幌市立清田南小学校</t>
  </si>
  <si>
    <t>札幌市立鴻城小学校</t>
    <phoneticPr fontId="72"/>
  </si>
  <si>
    <t>札幌市立幌東小学校</t>
    <phoneticPr fontId="72"/>
  </si>
  <si>
    <t>札幌市立幌北小学校</t>
    <phoneticPr fontId="72"/>
  </si>
  <si>
    <t>札幌市立琴似中央小学校</t>
    <phoneticPr fontId="72"/>
  </si>
  <si>
    <t>札幌市立栄小学校</t>
    <phoneticPr fontId="72"/>
  </si>
  <si>
    <t>札幌市立栄西小学校</t>
    <phoneticPr fontId="72"/>
  </si>
  <si>
    <t>札幌市立栄南小学校</t>
    <phoneticPr fontId="72"/>
  </si>
  <si>
    <t>札幌市立札苗北小学校</t>
  </si>
  <si>
    <t>札幌市立三角山小学校</t>
  </si>
  <si>
    <t>札幌市立三里塚小学校</t>
  </si>
  <si>
    <t>札幌市立資生館小学校</t>
  </si>
  <si>
    <t>札幌市立信濃小学校</t>
  </si>
  <si>
    <t>札幌市立篠路小学校</t>
  </si>
  <si>
    <t>札幌市立しらかば台小学校</t>
    <phoneticPr fontId="72"/>
  </si>
  <si>
    <t>札幌市立白石小学校</t>
  </si>
  <si>
    <t>札幌市立真栄小学校</t>
    <phoneticPr fontId="72"/>
  </si>
  <si>
    <t>札幌市立新琴似北小学校</t>
  </si>
  <si>
    <t>札幌市立新琴似西小学校</t>
    <phoneticPr fontId="72"/>
  </si>
  <si>
    <t>札幌市立新発寒小学校</t>
  </si>
  <si>
    <t>札幌市立新陽小学校</t>
    <phoneticPr fontId="72"/>
  </si>
  <si>
    <t>札幌市立新陵小学校</t>
  </si>
  <si>
    <t>札幌市立新陵東小学校</t>
  </si>
  <si>
    <t>札幌市立澄川小学校</t>
  </si>
  <si>
    <t>札幌市立澄川西小学校</t>
  </si>
  <si>
    <t>札幌市立西園小学校</t>
    <phoneticPr fontId="72"/>
  </si>
  <si>
    <t>札幌太平小学校</t>
    <phoneticPr fontId="72"/>
  </si>
  <si>
    <t>札幌市立太平南小学校</t>
  </si>
  <si>
    <t>札幌市立拓北小学校</t>
    <phoneticPr fontId="72"/>
  </si>
  <si>
    <t>札幌市立月寒小学校</t>
  </si>
  <si>
    <t>札幌市立月寒東小学校</t>
    <phoneticPr fontId="72"/>
  </si>
  <si>
    <t>札幌市立手稲鉄北小学校</t>
  </si>
  <si>
    <t>札幌市立手稲西小学校</t>
  </si>
  <si>
    <t>札幌市立手稲東小学校</t>
    <phoneticPr fontId="72"/>
  </si>
  <si>
    <t>札幌市立東園小学校</t>
  </si>
  <si>
    <t>札幌市立東光小学校</t>
  </si>
  <si>
    <t>札幌市立常盤小学校</t>
  </si>
  <si>
    <t>札幌市立富丘小学校</t>
  </si>
  <si>
    <t>札幌市立豊園小学校</t>
    <phoneticPr fontId="72"/>
  </si>
  <si>
    <t>札幌市立豊平小学校</t>
    <phoneticPr fontId="72"/>
  </si>
  <si>
    <t>札幌市立屯田小学校</t>
    <phoneticPr fontId="72"/>
  </si>
  <si>
    <t>札幌市立屯田北小学校</t>
  </si>
  <si>
    <t>札幌市立屯田西小学校</t>
    <phoneticPr fontId="72"/>
  </si>
  <si>
    <t>札幌市立苗穂小学校</t>
  </si>
  <si>
    <t>札幌市立中沼小学校</t>
    <phoneticPr fontId="72"/>
  </si>
  <si>
    <t>札幌市立中の島小学校</t>
    <phoneticPr fontId="72"/>
  </si>
  <si>
    <t>札幌市立南郷小学校</t>
    <phoneticPr fontId="72"/>
  </si>
  <si>
    <t>札幌市立西小学校</t>
    <phoneticPr fontId="72"/>
  </si>
  <si>
    <t>札幌市立西岡小学校</t>
    <phoneticPr fontId="72"/>
  </si>
  <si>
    <t>札幌市立西岡北小学校</t>
  </si>
  <si>
    <t>札幌市立西岡南小学校</t>
    <phoneticPr fontId="72"/>
  </si>
  <si>
    <t>札幌市立西白石小学校</t>
    <phoneticPr fontId="72"/>
  </si>
  <si>
    <t>札幌市立西野小学校</t>
  </si>
  <si>
    <t>札幌市立西野第二小学校</t>
  </si>
  <si>
    <t>札幌市立二十四軒小学校</t>
    <phoneticPr fontId="72"/>
  </si>
  <si>
    <t>札幌市立八軒小学校</t>
  </si>
  <si>
    <t>札幌市立八軒北小学校</t>
    <phoneticPr fontId="72"/>
  </si>
  <si>
    <t>札幌市立八軒西小学校</t>
  </si>
  <si>
    <t>札幌市立発寒小学校</t>
    <phoneticPr fontId="72"/>
  </si>
  <si>
    <t>札幌市立発寒西小学校</t>
    <phoneticPr fontId="72"/>
  </si>
  <si>
    <t>札幌市立発寒東小学校</t>
    <phoneticPr fontId="72"/>
  </si>
  <si>
    <t>札幌市立発寒南小学校</t>
  </si>
  <si>
    <t>札幌市立茨戸小学校</t>
  </si>
  <si>
    <t>札幌市立東川下小学校</t>
  </si>
  <si>
    <t>札幌市立東札幌小学校</t>
    <phoneticPr fontId="72"/>
  </si>
  <si>
    <t>札幌市立東白石小学校</t>
    <phoneticPr fontId="72"/>
  </si>
  <si>
    <t>札幌市立東苗穂小学校</t>
    <phoneticPr fontId="72"/>
  </si>
  <si>
    <t>札幌市立東山小学校</t>
  </si>
  <si>
    <t>札幌市立羊丘小学校</t>
    <phoneticPr fontId="72"/>
  </si>
  <si>
    <t>札幌市立平岡小学校</t>
    <phoneticPr fontId="72"/>
  </si>
  <si>
    <t>札幌市立平岡公園小学校</t>
  </si>
  <si>
    <t>札幌市立平岡中央小学校</t>
  </si>
  <si>
    <t>札幌市立平岡南小学校</t>
  </si>
  <si>
    <t>札幌市立平岸小学校</t>
  </si>
  <si>
    <t>札幌市立平岸高台小学校</t>
  </si>
  <si>
    <t>札幌市立平岸西小学校</t>
  </si>
  <si>
    <t>札幌市立福移小学校</t>
  </si>
  <si>
    <t>札幌市立福井野小学校</t>
  </si>
  <si>
    <t>札幌市立福住小学校</t>
  </si>
  <si>
    <t>札幌市立伏古小学校</t>
  </si>
  <si>
    <t>札幌市立伏古北小学校</t>
  </si>
  <si>
    <t>札幌市立藤野小学校</t>
  </si>
  <si>
    <t>札幌市立藤の沢小学校</t>
  </si>
  <si>
    <t>札幌市立藤野南小学校</t>
  </si>
  <si>
    <t>札幌市立伏見小学校</t>
  </si>
  <si>
    <t>札幌市立平和小学校</t>
  </si>
  <si>
    <t>札幌市立平和通小学校</t>
  </si>
  <si>
    <t>札幌市立北都小学校</t>
    <phoneticPr fontId="72"/>
  </si>
  <si>
    <t>札幌市立北陽小学校</t>
  </si>
  <si>
    <t>札幌市立星置東小学校</t>
  </si>
  <si>
    <t>札幌市立北光小学校</t>
  </si>
  <si>
    <t>札幌市立本郷小学校</t>
  </si>
  <si>
    <t>札幌市立本町小学校</t>
  </si>
  <si>
    <t>札幌市立本通小学校</t>
  </si>
  <si>
    <t>札幌市立前田小学校</t>
  </si>
  <si>
    <t>札幌市立前田北小学校</t>
  </si>
  <si>
    <t>札幌市立前田中央小学校</t>
  </si>
  <si>
    <t>札幌市立真駒内公園小学校</t>
  </si>
  <si>
    <t>札幌市立真駒内桜山小学校</t>
  </si>
  <si>
    <t>札幌市立美香保小学校</t>
  </si>
  <si>
    <t>札幌市立簾舞小学校</t>
  </si>
  <si>
    <t>札幌市立美園小学校</t>
    <phoneticPr fontId="72"/>
  </si>
  <si>
    <t>札幌市立みどり小学校</t>
  </si>
  <si>
    <t>札幌市立南小学校</t>
  </si>
  <si>
    <t>札幌市立南白石小学校</t>
  </si>
  <si>
    <t>札幌市立南月寒小学校</t>
  </si>
  <si>
    <t>札幌市立南の沢小学校</t>
  </si>
  <si>
    <t>札幌市立宮の森小学校</t>
  </si>
  <si>
    <t>札幌市立明園小学校</t>
  </si>
  <si>
    <t>札幌市立藻岩小学校</t>
  </si>
  <si>
    <t>札幌市立藻岩南小学校</t>
  </si>
  <si>
    <t>札幌市立元町北小学校</t>
  </si>
  <si>
    <t>札幌市立もみじの丘小学校</t>
  </si>
  <si>
    <t>札幌市立もみじの森小学校</t>
  </si>
  <si>
    <t>札幌市立山の手小学校</t>
  </si>
  <si>
    <t>札幌市立山の手南小学校</t>
  </si>
  <si>
    <t>札幌市立山鼻南小学校</t>
  </si>
  <si>
    <t>札幌市立百合が原小学校</t>
  </si>
  <si>
    <t>札幌市立米里小学校</t>
  </si>
  <si>
    <t>札幌市立和光小学校</t>
  </si>
  <si>
    <t>札幌市立豊成養護学校</t>
  </si>
  <si>
    <t>札幌市立北翔養護学校</t>
  </si>
  <si>
    <t>札幌市立山の手養護学校</t>
  </si>
  <si>
    <t>北海道教育大学附属札幌小学校</t>
  </si>
  <si>
    <t>064-0953</t>
    <phoneticPr fontId="72"/>
  </si>
  <si>
    <t>064-0954</t>
    <phoneticPr fontId="72"/>
  </si>
  <si>
    <t>064-0918</t>
    <phoneticPr fontId="72"/>
  </si>
  <si>
    <t>064-0929</t>
    <phoneticPr fontId="72"/>
  </si>
  <si>
    <t>060-0063</t>
    <phoneticPr fontId="72"/>
  </si>
  <si>
    <t>さっぽろしりつおおくらやましょうがっこう</t>
    <phoneticPr fontId="8"/>
  </si>
  <si>
    <t>さっぽろしりつさんかくやましょうがっこう</t>
    <phoneticPr fontId="8"/>
  </si>
  <si>
    <t>さっぽろしりつみやのもりしょうがっこう</t>
    <phoneticPr fontId="8"/>
  </si>
  <si>
    <t>さっぽろしりつふしみしょうがっこう</t>
    <phoneticPr fontId="8"/>
  </si>
  <si>
    <t>さっぽろしりつやまはなみなみしょうがっこう</t>
    <phoneticPr fontId="8"/>
  </si>
  <si>
    <t>さっぽろしりつしせいかんしょうがっこう</t>
    <phoneticPr fontId="8"/>
  </si>
  <si>
    <t>番号</t>
    <rPh sb="0" eb="2">
      <t>バンゴウ</t>
    </rPh>
    <phoneticPr fontId="8"/>
  </si>
  <si>
    <t>さっぽろしりつやまのてみなみしょうがっこう</t>
    <phoneticPr fontId="8"/>
  </si>
  <si>
    <t>さっぽろしりつやまのてしょうがっこう</t>
    <phoneticPr fontId="8"/>
  </si>
  <si>
    <t>さっぽろしりつやまのてようごがっこう</t>
    <phoneticPr fontId="8"/>
  </si>
  <si>
    <t>さっぽろしりつせいえんしょうがっこう</t>
    <phoneticPr fontId="8"/>
  </si>
  <si>
    <t>さっぽろしりつていねひがししょうがっこう</t>
    <phoneticPr fontId="8"/>
  </si>
  <si>
    <t>さっぽろしりつにしのしょうがっこう</t>
    <phoneticPr fontId="8"/>
  </si>
  <si>
    <t>さっぽろしりつにしのだいにしょうがっこう</t>
    <phoneticPr fontId="8"/>
  </si>
  <si>
    <t>さっぽろしりつにじゅうよんけんしょうがっこう</t>
    <phoneticPr fontId="8"/>
  </si>
  <si>
    <t>さっぽろしりつはちけんにししょうがっこう</t>
    <phoneticPr fontId="8"/>
  </si>
  <si>
    <t>さっぽろしりつはちけんしょうがっこう</t>
    <phoneticPr fontId="8"/>
  </si>
  <si>
    <t>さっぽろしりつことにちゅうおうしょうがっこう</t>
    <phoneticPr fontId="8"/>
  </si>
  <si>
    <t>さっぽろしりつはちけんきたしょうがっこう</t>
    <phoneticPr fontId="8"/>
  </si>
  <si>
    <t>さっぽろしりつはっさむしょうがっこう</t>
    <phoneticPr fontId="8"/>
  </si>
  <si>
    <t>さっぽろしりつほくしょうようごがっこう</t>
    <phoneticPr fontId="8"/>
  </si>
  <si>
    <t>区</t>
    <rPh sb="0" eb="1">
      <t>ク</t>
    </rPh>
    <phoneticPr fontId="8"/>
  </si>
  <si>
    <t>さっぽろしりつはっさむひがししょうがっこう</t>
    <phoneticPr fontId="8"/>
  </si>
  <si>
    <t>さっぽろしりつはっさむみなみしょうがっこう</t>
    <phoneticPr fontId="8"/>
  </si>
  <si>
    <t>さっぽろしりつはっさむにししょうがっこう</t>
    <phoneticPr fontId="8"/>
  </si>
  <si>
    <t>さっぽろしりつにししょうがっこう</t>
    <phoneticPr fontId="8"/>
  </si>
  <si>
    <t>さっぽろしりつふくいのしょうがっこう</t>
    <phoneticPr fontId="8"/>
  </si>
  <si>
    <t>さっぽろしりつへいわしょうがっこう</t>
    <phoneticPr fontId="8"/>
  </si>
  <si>
    <t>清田区</t>
    <rPh sb="0" eb="3">
      <t>キヨタク</t>
    </rPh>
    <phoneticPr fontId="8"/>
  </si>
  <si>
    <t>さっぽろしりつきよたしょうがっこう</t>
    <phoneticPr fontId="8"/>
  </si>
  <si>
    <t>さっぽろしりつきよたみなみしょうがっこう</t>
    <phoneticPr fontId="8"/>
  </si>
  <si>
    <t>さっぽろしりつきよたみどりしょうがっこう</t>
    <phoneticPr fontId="8"/>
  </si>
  <si>
    <t>さっぽろしりつしんえいしょうがっこう</t>
    <phoneticPr fontId="8"/>
  </si>
  <si>
    <t>さっぽしりつうつくしがおかしょうがっこう</t>
    <phoneticPr fontId="8"/>
  </si>
  <si>
    <t>札幌市立美しが丘緑小学校</t>
    <phoneticPr fontId="8"/>
  </si>
  <si>
    <t>さっぽろしりつうつくしがおかみどりしょうがっこう</t>
    <phoneticPr fontId="8"/>
  </si>
  <si>
    <t>さっぽろしりつひらおかみなみしょうがっこう</t>
    <phoneticPr fontId="8"/>
  </si>
  <si>
    <t>さっぽろしりつひらおかちゅうおうしょうがっこう</t>
    <phoneticPr fontId="8"/>
  </si>
  <si>
    <t>さっぽろしりつひらおかしょうがっこう</t>
    <phoneticPr fontId="8"/>
  </si>
  <si>
    <t>さっぽろしりつひらおかこうえんしょうがっこう</t>
    <phoneticPr fontId="8"/>
  </si>
  <si>
    <t>さっぽろしりつきたのだいらしょうがっこう</t>
    <phoneticPr fontId="8"/>
  </si>
  <si>
    <t>さっぽろしりつきたのしょうがっこう</t>
    <phoneticPr fontId="8"/>
  </si>
  <si>
    <t>さっぽろしりつきたのだいしょうがっこう</t>
    <phoneticPr fontId="8"/>
  </si>
  <si>
    <t>さっぽろしりつありあけしょうがっこう</t>
    <phoneticPr fontId="8"/>
  </si>
  <si>
    <t>さっぽろしりつさんりづかしょうがっこう</t>
    <phoneticPr fontId="8"/>
  </si>
  <si>
    <t>札幌市立手稲北小学校</t>
    <phoneticPr fontId="72"/>
  </si>
  <si>
    <t>札幌市立手稲中央小学校</t>
    <phoneticPr fontId="72"/>
  </si>
  <si>
    <t>札幌市立手稲山口小学校</t>
    <phoneticPr fontId="72"/>
  </si>
  <si>
    <t>札幌市立西宮の沢小学校</t>
    <phoneticPr fontId="72"/>
  </si>
  <si>
    <t>手稲区</t>
    <rPh sb="0" eb="3">
      <t>テイネク</t>
    </rPh>
    <phoneticPr fontId="8"/>
  </si>
  <si>
    <t>さっぽろしりつていねにししょうがっこう</t>
    <phoneticPr fontId="8"/>
  </si>
  <si>
    <t>さっぽろしりついなほしょうがっこう</t>
    <phoneticPr fontId="8"/>
  </si>
  <si>
    <t>さっぽろしりつていねきたしょうがっこう</t>
    <phoneticPr fontId="8"/>
  </si>
  <si>
    <t>さっぽろしりつていねてつほくしょうがっこう</t>
    <phoneticPr fontId="8"/>
  </si>
  <si>
    <t>さっぽろしりつていねちゅうおうしょうがっこう</t>
    <phoneticPr fontId="8"/>
  </si>
  <si>
    <t>さっぽろしりつていねやまぐちしょうがっこう</t>
    <phoneticPr fontId="8"/>
  </si>
  <si>
    <t>さっぽろしりつしんはっさむしょうがっこう</t>
    <phoneticPr fontId="8"/>
  </si>
  <si>
    <t>さっぽろしりつしんりょうひがししょうがっこう</t>
    <phoneticPr fontId="8"/>
  </si>
  <si>
    <t>さっぽろしりつしんりょうしょうがっこう</t>
    <phoneticPr fontId="8"/>
  </si>
  <si>
    <t>さっぽろしりつほしおきひがししょうがっこう</t>
    <phoneticPr fontId="8"/>
  </si>
  <si>
    <t>さっぽろしりつにしみやのさわしょうがっこう</t>
    <phoneticPr fontId="8"/>
  </si>
  <si>
    <t>さっぽろしりつまえだきたしょうがっこう</t>
    <phoneticPr fontId="8"/>
  </si>
  <si>
    <t>さっぽろしりついなづみしょうがっこう</t>
    <phoneticPr fontId="8"/>
  </si>
  <si>
    <t>さっぽろしりつまえだしょうがっこう</t>
    <phoneticPr fontId="8"/>
  </si>
  <si>
    <t>さっぽろしりつまえだちゅうおうしょうがっこう</t>
    <phoneticPr fontId="8"/>
  </si>
  <si>
    <t>さっぽろしりつとみおかしょうがっこう</t>
    <phoneticPr fontId="8"/>
  </si>
  <si>
    <t>札幌市立厚別西小学校</t>
    <phoneticPr fontId="72"/>
  </si>
  <si>
    <t>札幌市立ひばりが丘小学校</t>
    <phoneticPr fontId="72"/>
  </si>
  <si>
    <t>札幌市立小野幌小学校</t>
    <phoneticPr fontId="72"/>
  </si>
  <si>
    <t>札幌市立共栄小学校</t>
    <phoneticPr fontId="72"/>
  </si>
  <si>
    <t>札幌市立厚別北小学校</t>
    <phoneticPr fontId="72"/>
  </si>
  <si>
    <t>厚別区</t>
    <rPh sb="0" eb="3">
      <t>アツベツク</t>
    </rPh>
    <phoneticPr fontId="8"/>
  </si>
  <si>
    <t>さっぽろしりつもみじのもりしょうがっこう</t>
    <phoneticPr fontId="8"/>
  </si>
  <si>
    <t>さっぽろしりつもみじのおかしょうがっこう</t>
    <phoneticPr fontId="8"/>
  </si>
  <si>
    <t>さっぽろしりつあつべつにししょうがっこう</t>
    <phoneticPr fontId="8"/>
  </si>
  <si>
    <t>さっぽろしりつあつべつどおりしょうがっこう</t>
    <phoneticPr fontId="8"/>
  </si>
  <si>
    <t>さっぽろしりつひばりがおかしょうがっこう</t>
    <phoneticPr fontId="8"/>
  </si>
  <si>
    <t>さっぽろしりつしなのしょうがっこう</t>
    <phoneticPr fontId="8"/>
  </si>
  <si>
    <t>さっぽろしりつこのっぽろしょうがっこう</t>
    <phoneticPr fontId="8"/>
  </si>
  <si>
    <t>さっぽろしりつあつべつひがししょうがっこう</t>
    <phoneticPr fontId="8"/>
  </si>
  <si>
    <t>さっぽろしりつきょうえいしょうがっこう</t>
    <phoneticPr fontId="8"/>
  </si>
  <si>
    <t>さっぽろしりつあつべつきたしょうがっこう</t>
    <phoneticPr fontId="8"/>
  </si>
  <si>
    <t>さっぽろしりつおおやちひがししょうがっこう</t>
    <phoneticPr fontId="8"/>
  </si>
  <si>
    <t>札幌市立丘珠小学校</t>
    <phoneticPr fontId="72"/>
  </si>
  <si>
    <t>札幌市立札苗緑小学校</t>
    <phoneticPr fontId="72"/>
  </si>
  <si>
    <t>札幌市立札苗小学校</t>
    <phoneticPr fontId="72"/>
  </si>
  <si>
    <t>札幌市立札幌小学校</t>
    <phoneticPr fontId="72"/>
  </si>
  <si>
    <t>札幌市立元町小学校</t>
    <phoneticPr fontId="72"/>
  </si>
  <si>
    <t>札幌市立北小学校</t>
    <phoneticPr fontId="72"/>
  </si>
  <si>
    <t>札幌市立栄町小学校</t>
    <phoneticPr fontId="72"/>
  </si>
  <si>
    <t>札幌市立栄東小学校</t>
    <phoneticPr fontId="72"/>
  </si>
  <si>
    <t>札幌市立栄北小学校</t>
    <phoneticPr fontId="72"/>
  </si>
  <si>
    <t>札幌市立栄緑小学校</t>
    <phoneticPr fontId="72"/>
  </si>
  <si>
    <t>東区</t>
    <rPh sb="0" eb="1">
      <t>ヒガシ</t>
    </rPh>
    <rPh sb="1" eb="2">
      <t>ク</t>
    </rPh>
    <phoneticPr fontId="8"/>
  </si>
  <si>
    <t>さっぽろしりつおかだましょうがっこう</t>
    <phoneticPr fontId="8"/>
  </si>
  <si>
    <t>さっぽろしりつふくいしょうがっこう</t>
    <phoneticPr fontId="8"/>
  </si>
  <si>
    <t>さっぽろしりつなかぬましょうがっこう</t>
    <phoneticPr fontId="8"/>
  </si>
  <si>
    <t>さっぽろしりつさつなえみどりしょうがっこう</t>
    <phoneticPr fontId="8"/>
  </si>
  <si>
    <t>さっぽろしりつひがしなえぼしょうがっこう</t>
    <phoneticPr fontId="8"/>
  </si>
  <si>
    <t>さっぽろしりつさつなえしょうがっこう</t>
    <phoneticPr fontId="8"/>
  </si>
  <si>
    <t>さっぽろしりつさつなえきたしょうがっこう</t>
    <phoneticPr fontId="8"/>
  </si>
  <si>
    <t>さっぽろしりつふしこきたしょうがっこう</t>
    <phoneticPr fontId="8"/>
  </si>
  <si>
    <t>さっぽろしりつさっぽろしょうがっこう</t>
    <phoneticPr fontId="8"/>
  </si>
  <si>
    <t>さっぽろしりつふしこしょうがっこう</t>
    <phoneticPr fontId="8"/>
  </si>
  <si>
    <t>さっぽろしりつほっこうしょうがっこう</t>
    <phoneticPr fontId="8"/>
  </si>
  <si>
    <t>さっぽろしりつみかほしょうがっこう</t>
    <phoneticPr fontId="8"/>
  </si>
  <si>
    <t>さっぽろしりつめいえんしょうがっこう</t>
    <phoneticPr fontId="8"/>
  </si>
  <si>
    <t>さっぽろしりつかいせいしょうがっこう</t>
    <phoneticPr fontId="8"/>
  </si>
  <si>
    <t>さっぽろしりつもとまちしょうがっこう</t>
    <phoneticPr fontId="8"/>
  </si>
  <si>
    <t>さっぽろしりつきたぞのしょうがっこう</t>
    <phoneticPr fontId="8"/>
  </si>
  <si>
    <t>さっぽろしりつもとまちきたしょうがっこう</t>
    <phoneticPr fontId="8"/>
  </si>
  <si>
    <t>さっぽろしりつきたしょうがっこう</t>
    <phoneticPr fontId="8"/>
  </si>
  <si>
    <t>さっぽろしりつさかえまちしょうがっこう</t>
    <phoneticPr fontId="8"/>
  </si>
  <si>
    <t>さっぽろしりつさかえみなみしょうがっこう</t>
    <phoneticPr fontId="8"/>
  </si>
  <si>
    <t>さっぽろしりつさかえにししょうがっこう</t>
    <phoneticPr fontId="8"/>
  </si>
  <si>
    <t>さっぽろしりつさかえしょうがっこう</t>
    <phoneticPr fontId="8"/>
  </si>
  <si>
    <t>さっぽろしりつさかえひがししょうがっこう</t>
    <phoneticPr fontId="8"/>
  </si>
  <si>
    <t>さっぽろしりつさかえきたしょうがっこう</t>
    <phoneticPr fontId="8"/>
  </si>
  <si>
    <t>さっぽろしりつさかえみどりしょうがっこう</t>
    <phoneticPr fontId="8"/>
  </si>
  <si>
    <t>さっぽろしりつなえぼしょうがっこう</t>
    <phoneticPr fontId="8"/>
  </si>
  <si>
    <t>さっぽろしりつとうこうしょうがっこう</t>
    <phoneticPr fontId="8"/>
  </si>
  <si>
    <t>さっぽろしりつほんちょうしょうがっこう</t>
    <phoneticPr fontId="8"/>
  </si>
  <si>
    <t>札幌市立駒岡小学校</t>
    <phoneticPr fontId="72"/>
  </si>
  <si>
    <t>札幌市立澄川南小学校</t>
    <phoneticPr fontId="72"/>
  </si>
  <si>
    <t>札幌市立藻岩北小学校</t>
    <phoneticPr fontId="72"/>
  </si>
  <si>
    <t>札幌市立定山渓小学校</t>
    <phoneticPr fontId="72"/>
  </si>
  <si>
    <t>札幌市立北の沢小学校</t>
    <phoneticPr fontId="72"/>
  </si>
  <si>
    <t>南区</t>
    <rPh sb="0" eb="2">
      <t>ミナミク</t>
    </rPh>
    <phoneticPr fontId="8"/>
  </si>
  <si>
    <t>さっぽろしりつときわしょうがっこう</t>
    <phoneticPr fontId="8"/>
  </si>
  <si>
    <t>さっぽろしりつこまおかしょうがっこう</t>
    <phoneticPr fontId="8"/>
  </si>
  <si>
    <t>さっぽろしりつまこまないこうえんしょうがっこう</t>
    <phoneticPr fontId="8"/>
  </si>
  <si>
    <t>さっぽろしりつまこまないさくらやましょうがっこう</t>
    <phoneticPr fontId="8"/>
  </si>
  <si>
    <t>さっぽろしりつすみかわにししょうがっこう</t>
    <phoneticPr fontId="8"/>
  </si>
  <si>
    <t>さっぽろしりつすみかわみなみしょうがっこう</t>
    <phoneticPr fontId="8"/>
  </si>
  <si>
    <t>さっぽろしりつすみかわしょうがっこう</t>
    <phoneticPr fontId="8"/>
  </si>
  <si>
    <t>さっぽろしりつふじのさわしょうがっこう</t>
    <phoneticPr fontId="8"/>
  </si>
  <si>
    <t>さっぽろしりついしやまひがししょうがっこう</t>
    <phoneticPr fontId="8"/>
  </si>
  <si>
    <t>さっぽろしりつもいわみなみしょうがっこう</t>
    <phoneticPr fontId="8"/>
  </si>
  <si>
    <t>さっぽろしりつもいわきたしょうがっこう</t>
    <phoneticPr fontId="8"/>
  </si>
  <si>
    <t>さっぽろしりつもいわしょうがっこう</t>
    <phoneticPr fontId="8"/>
  </si>
  <si>
    <t>さっぽろしりつじょうざんけいしょうがっこう</t>
    <phoneticPr fontId="8"/>
  </si>
  <si>
    <t>さっぽろしりつふじのしょうがっこう</t>
    <phoneticPr fontId="8"/>
  </si>
  <si>
    <t>さっぽろしりつふじのみなみしょうがっこう</t>
    <phoneticPr fontId="8"/>
  </si>
  <si>
    <t>さっぽろしりつほうせいようごがっこう</t>
    <phoneticPr fontId="8"/>
  </si>
  <si>
    <t>さっぽろしりつみなみしょうがっこう</t>
    <phoneticPr fontId="8"/>
  </si>
  <si>
    <t>さっぽろしりつみなみのさわしょうがっこう</t>
    <phoneticPr fontId="8"/>
  </si>
  <si>
    <t>さっぽろしりつきたのさわしょうがっこう</t>
    <phoneticPr fontId="8"/>
  </si>
  <si>
    <t>さっぽりしりつみすまえしょうがっこう</t>
    <phoneticPr fontId="8"/>
  </si>
  <si>
    <t>白石区</t>
    <rPh sb="0" eb="3">
      <t>シロイシク</t>
    </rPh>
    <phoneticPr fontId="8"/>
  </si>
  <si>
    <t>さっぽろしりつこうとうしょうがっこう</t>
    <phoneticPr fontId="8"/>
  </si>
  <si>
    <t>さっぽろしりつあずまばししょうがっこう</t>
    <phoneticPr fontId="8"/>
  </si>
  <si>
    <t>さっぽろしりつきくすいしょうがっこう</t>
    <phoneticPr fontId="8"/>
  </si>
  <si>
    <t>さっぽろしりつかみしろいししょうがっこう</t>
    <phoneticPr fontId="8"/>
  </si>
  <si>
    <t>さっぽろしりつひがしかわしもしょうがっこう</t>
    <phoneticPr fontId="8"/>
  </si>
  <si>
    <t>さっぽろしりつかわきたしょうがっこう</t>
    <phoneticPr fontId="8"/>
  </si>
  <si>
    <t>さっぽろしりつにししろいししょうがっこう</t>
    <phoneticPr fontId="8"/>
  </si>
  <si>
    <t>さっぽろしりつひがしさっぽろしょうがっこう</t>
    <phoneticPr fontId="8"/>
  </si>
  <si>
    <t>さっぽろしりつほんごうしょうがっこう</t>
    <phoneticPr fontId="8"/>
  </si>
  <si>
    <t>さっぽろしりつみなみしろいししょうがっこう</t>
    <phoneticPr fontId="8"/>
  </si>
  <si>
    <t>さっぽろしりつほんどおりしょうがっこう</t>
    <phoneticPr fontId="8"/>
  </si>
  <si>
    <t>さっぽろしりつよねさとしょうがっこう</t>
    <phoneticPr fontId="8"/>
  </si>
  <si>
    <t>さっぽろしりつほくとしょうがっこう</t>
    <phoneticPr fontId="8"/>
  </si>
  <si>
    <t>さっぽろしりつほんごうしょうがっこう</t>
    <phoneticPr fontId="8"/>
  </si>
  <si>
    <t>さっぽろしりつきたしろいししょうがっこう</t>
    <phoneticPr fontId="8"/>
  </si>
  <si>
    <t>さっぽろしりつなんごうしょうがっこう</t>
    <phoneticPr fontId="8"/>
  </si>
  <si>
    <t>さっぽろしりつひがししろいししょうがっこう</t>
    <phoneticPr fontId="8"/>
  </si>
  <si>
    <t>さっぽろしりつへいわどおりしょうがっこう</t>
    <phoneticPr fontId="8"/>
  </si>
  <si>
    <t>さっぽろしりつおおやちしょうがっこう</t>
    <phoneticPr fontId="8"/>
  </si>
  <si>
    <t>さっぽろしりつしろいししょうがっこう</t>
    <phoneticPr fontId="8"/>
  </si>
  <si>
    <t>豊平区</t>
    <rPh sb="0" eb="3">
      <t>トヨヒラク</t>
    </rPh>
    <phoneticPr fontId="8"/>
  </si>
  <si>
    <t>さっぽろしりつつきさむしょうがっこう</t>
    <phoneticPr fontId="8"/>
  </si>
  <si>
    <t>さっぽろしりつみなみつきさむしょうがっこう</t>
    <phoneticPr fontId="8"/>
  </si>
  <si>
    <t>さっぽろしりつあやめのしょうがっこう</t>
    <phoneticPr fontId="8"/>
  </si>
  <si>
    <t>さっぽろしひつじがおかしょうがっこう</t>
    <phoneticPr fontId="8"/>
  </si>
  <si>
    <t>さっぽろしりつつきさむひがししょうがっこう</t>
    <phoneticPr fontId="8"/>
  </si>
  <si>
    <t>さっぽろしりつしらかばだいしょうがっこう</t>
    <phoneticPr fontId="8"/>
  </si>
  <si>
    <t>さっぽろしりつあさひしょうがっこう</t>
    <phoneticPr fontId="8"/>
  </si>
  <si>
    <t>さっぽろしりつにしおかしょうがっこう</t>
    <phoneticPr fontId="8"/>
  </si>
  <si>
    <t>さっぽろしりつにしおかきたしょうがっこう</t>
    <phoneticPr fontId="8"/>
  </si>
  <si>
    <t>さっぽろしりつにしおかみなみしょうがっこう</t>
    <phoneticPr fontId="8"/>
  </si>
  <si>
    <t>さっぽろしりつなかのしましょうがっこう</t>
    <phoneticPr fontId="8"/>
  </si>
  <si>
    <t>さっぽろしりつとよぞのしょうがっこう</t>
    <phoneticPr fontId="8"/>
  </si>
  <si>
    <t>さっぽろしりつみどりしょうがっこう</t>
    <phoneticPr fontId="8"/>
  </si>
  <si>
    <t>さっぽろしりつふくずみしょうがっこう</t>
    <phoneticPr fontId="8"/>
  </si>
  <si>
    <t>さっぽろしりつひらぎしにししょうがっこう</t>
    <phoneticPr fontId="8"/>
  </si>
  <si>
    <t>さっぽろしりつひらぎししょうがっこう</t>
    <phoneticPr fontId="8"/>
  </si>
  <si>
    <t>さっぽろしりつひがしやましょうがっこう</t>
    <phoneticPr fontId="8"/>
  </si>
  <si>
    <t>さっぽろしりつひらぎしたかだいしょうがっこう</t>
    <phoneticPr fontId="8"/>
  </si>
  <si>
    <t>さっぽろしりつみそのしょうがっこう</t>
    <phoneticPr fontId="8"/>
  </si>
  <si>
    <t>さっぽろしりつとうえんしょうがっこう</t>
    <phoneticPr fontId="8"/>
  </si>
  <si>
    <t>さっぽろしりつとよひらしょうがっこう</t>
    <phoneticPr fontId="8"/>
  </si>
  <si>
    <t>札幌市立あいの里東小学校</t>
    <phoneticPr fontId="72"/>
  </si>
  <si>
    <t>札幌市立篠路西小学校</t>
    <phoneticPr fontId="72"/>
  </si>
  <si>
    <t>札幌市立新琴似緑小学校</t>
    <phoneticPr fontId="72"/>
  </si>
  <si>
    <t>札幌市立新光小学校</t>
    <phoneticPr fontId="72"/>
  </si>
  <si>
    <t>札幌市立新琴似南小学校</t>
    <phoneticPr fontId="72"/>
  </si>
  <si>
    <t>札幌市立光陽小学校</t>
    <phoneticPr fontId="72"/>
  </si>
  <si>
    <t>札幌市立新琴似小学校</t>
    <phoneticPr fontId="72"/>
  </si>
  <si>
    <t>札幌市立新川中央小学校</t>
    <phoneticPr fontId="72"/>
  </si>
  <si>
    <t>札幌市立新川小学校</t>
    <phoneticPr fontId="72"/>
  </si>
  <si>
    <t>札幌市立屯田南小学校</t>
    <phoneticPr fontId="72"/>
  </si>
  <si>
    <t>札幌市立白楊小学校</t>
    <phoneticPr fontId="72"/>
  </si>
  <si>
    <t>北区</t>
    <rPh sb="0" eb="2">
      <t>キタク</t>
    </rPh>
    <phoneticPr fontId="8"/>
  </si>
  <si>
    <t>さっぽろしりつたくほくしょうがっこう</t>
    <phoneticPr fontId="8"/>
  </si>
  <si>
    <t>さっぽろしりつあいのさとにししょうがっこう</t>
    <phoneticPr fontId="8"/>
  </si>
  <si>
    <t>さっぽろしりつこうじょうしょうがっこう</t>
    <phoneticPr fontId="8"/>
  </si>
  <si>
    <t>さっぽろしりつあいのさとひがししょうがっこう</t>
    <phoneticPr fontId="8"/>
  </si>
  <si>
    <t>ほっかいどうきょういくだいがくさっぽろしょうがっこう</t>
    <phoneticPr fontId="8"/>
  </si>
  <si>
    <t>さっぽろたいへいしょうがっこう</t>
    <phoneticPr fontId="8"/>
  </si>
  <si>
    <t>さっぽろしりつしのろしょうがっこう</t>
    <phoneticPr fontId="8"/>
  </si>
  <si>
    <t>さっぽろしりつしのろにししょうがっこう</t>
    <phoneticPr fontId="8"/>
  </si>
  <si>
    <t>さっぽろしりつしんことにみどりしょうがっこう</t>
    <phoneticPr fontId="8"/>
  </si>
  <si>
    <t>さっぽろしりつしんことににししょうがっこう</t>
    <phoneticPr fontId="8"/>
  </si>
  <si>
    <t>さっぽろしりつしんことにきたしょうがっこう</t>
    <phoneticPr fontId="8"/>
  </si>
  <si>
    <t>さっぽろしりつしんこうしょうがっこう</t>
    <phoneticPr fontId="8"/>
  </si>
  <si>
    <t>さっぽろしりつしんことにみなみしょうがっこう</t>
    <phoneticPr fontId="8"/>
  </si>
  <si>
    <t>さっぽろしりつこうようしょうがっこう</t>
    <phoneticPr fontId="8"/>
  </si>
  <si>
    <t>さっぽろしりつしんことにしょうがっこう</t>
    <phoneticPr fontId="8"/>
  </si>
  <si>
    <t>さっぽろしりつしんかわちゅうおうしょうがっこう</t>
    <phoneticPr fontId="8"/>
  </si>
  <si>
    <t>さっぽろしりつしんかわしょうがっこう</t>
    <phoneticPr fontId="8"/>
  </si>
  <si>
    <t>さっぽろしりつたいへいみなみしょうがっこう</t>
    <phoneticPr fontId="8"/>
  </si>
  <si>
    <t>さっぽろしりつばらとしょうがっこう</t>
    <phoneticPr fontId="8"/>
  </si>
  <si>
    <t>さっぽろしりつとんでんみなみしょうがっこう</t>
    <phoneticPr fontId="8"/>
  </si>
  <si>
    <t>さっぽろしりつとんでんにししょうがっこう</t>
    <phoneticPr fontId="8"/>
  </si>
  <si>
    <t>さっぽろしりつとんでんしょうがっこう</t>
    <phoneticPr fontId="8"/>
  </si>
  <si>
    <t>さっぽろしりつとんでんきたしょうがっこう</t>
    <phoneticPr fontId="8"/>
  </si>
  <si>
    <t>さっぽろしりつゆりがはらしょうがっこう</t>
    <phoneticPr fontId="8"/>
  </si>
  <si>
    <t>さっぽろしりつこうほくしょうがっこう</t>
    <phoneticPr fontId="8"/>
  </si>
  <si>
    <t>さっぽろしりつはくようしょうがっこう</t>
    <phoneticPr fontId="8"/>
  </si>
  <si>
    <t>さっぽろしりつしんようしょうがっこう</t>
    <phoneticPr fontId="8"/>
  </si>
  <si>
    <t>さっぽろしりつほくようしょうがっこう</t>
    <phoneticPr fontId="8"/>
  </si>
  <si>
    <t>さっぽろしりつわこうしょうがっこう</t>
    <phoneticPr fontId="8"/>
  </si>
  <si>
    <t>さっぽろしりつきたくじょうしょうがっこう</t>
    <phoneticPr fontId="8"/>
  </si>
  <si>
    <t>←郵便番号はハイフンなし【半角】で入力してください</t>
    <rPh sb="1" eb="5">
      <t>ユウビンバンゴウ</t>
    </rPh>
    <rPh sb="17" eb="19">
      <t>ニュウリョク</t>
    </rPh>
    <phoneticPr fontId="8"/>
  </si>
  <si>
    <t>令和３</t>
    <rPh sb="0" eb="2">
      <t>レイワ</t>
    </rPh>
    <phoneticPr fontId="8"/>
  </si>
  <si>
    <t>月</t>
    <rPh sb="0" eb="1">
      <t>ゲツ</t>
    </rPh>
    <phoneticPr fontId="8"/>
  </si>
  <si>
    <t>火</t>
    <rPh sb="0" eb="1">
      <t>カ</t>
    </rPh>
    <phoneticPr fontId="8"/>
  </si>
  <si>
    <t>水</t>
    <rPh sb="0" eb="1">
      <t>スイ</t>
    </rPh>
    <phoneticPr fontId="8"/>
  </si>
  <si>
    <t>木</t>
  </si>
  <si>
    <t>金</t>
  </si>
  <si>
    <t>土</t>
  </si>
  <si>
    <t>食堂利用可能時間</t>
    <rPh sb="0" eb="2">
      <t>ショクドウ</t>
    </rPh>
    <rPh sb="2" eb="4">
      <t>リヨウ</t>
    </rPh>
    <rPh sb="4" eb="6">
      <t>カノウ</t>
    </rPh>
    <rPh sb="6" eb="8">
      <t>ジカン</t>
    </rPh>
    <phoneticPr fontId="3"/>
  </si>
  <si>
    <t>小・日帰</t>
    <rPh sb="0" eb="1">
      <t>ショウ</t>
    </rPh>
    <rPh sb="2" eb="4">
      <t>ヒガエ</t>
    </rPh>
    <phoneticPr fontId="8"/>
  </si>
  <si>
    <t>小・宿泊</t>
    <rPh sb="0" eb="1">
      <t>ショウ</t>
    </rPh>
    <rPh sb="2" eb="4">
      <t>シュクハク</t>
    </rPh>
    <phoneticPr fontId="8"/>
  </si>
  <si>
    <t>中・宿泊</t>
    <rPh sb="0" eb="1">
      <t>チュウ</t>
    </rPh>
    <rPh sb="2" eb="4">
      <t>シュクハク</t>
    </rPh>
    <phoneticPr fontId="8"/>
  </si>
  <si>
    <t>中・日帰</t>
    <rPh sb="0" eb="1">
      <t>チュウ</t>
    </rPh>
    <rPh sb="2" eb="4">
      <t>ヒガエ</t>
    </rPh>
    <phoneticPr fontId="8"/>
  </si>
  <si>
    <t>引・宿泊</t>
    <rPh sb="0" eb="1">
      <t>イン</t>
    </rPh>
    <rPh sb="2" eb="4">
      <t>シュクハク</t>
    </rPh>
    <phoneticPr fontId="8"/>
  </si>
  <si>
    <t>引率・日帰</t>
    <rPh sb="0" eb="2">
      <t>インソツ</t>
    </rPh>
    <rPh sb="3" eb="5">
      <t>ヒガエ</t>
    </rPh>
    <phoneticPr fontId="8"/>
  </si>
  <si>
    <t>一般・宿泊</t>
    <rPh sb="0" eb="2">
      <t>イッパン</t>
    </rPh>
    <rPh sb="3" eb="5">
      <t>シュクハク</t>
    </rPh>
    <phoneticPr fontId="8"/>
  </si>
  <si>
    <t>一般・日帰</t>
    <rPh sb="0" eb="2">
      <t>イッパン</t>
    </rPh>
    <rPh sb="3" eb="5">
      <t>ヒガエ</t>
    </rPh>
    <phoneticPr fontId="8"/>
  </si>
  <si>
    <t>減免なし</t>
    <rPh sb="0" eb="2">
      <t>ゲンメン</t>
    </rPh>
    <phoneticPr fontId="8"/>
  </si>
  <si>
    <t>小・泊</t>
    <rPh sb="0" eb="1">
      <t>ショウ</t>
    </rPh>
    <rPh sb="2" eb="3">
      <t>ハク</t>
    </rPh>
    <phoneticPr fontId="8"/>
  </si>
  <si>
    <t>小・日帰</t>
    <rPh sb="0" eb="1">
      <t>ショウ</t>
    </rPh>
    <rPh sb="2" eb="4">
      <t>ヒガエ</t>
    </rPh>
    <phoneticPr fontId="8"/>
  </si>
  <si>
    <t>中・泊</t>
    <rPh sb="0" eb="1">
      <t>チュウ</t>
    </rPh>
    <rPh sb="2" eb="3">
      <t>ハク</t>
    </rPh>
    <phoneticPr fontId="8"/>
  </si>
  <si>
    <t>中・日帰</t>
    <rPh sb="0" eb="1">
      <t>チュウ</t>
    </rPh>
    <rPh sb="2" eb="4">
      <t>ヒガエ</t>
    </rPh>
    <phoneticPr fontId="8"/>
  </si>
  <si>
    <t>引・泊</t>
    <rPh sb="0" eb="1">
      <t>イン</t>
    </rPh>
    <phoneticPr fontId="8"/>
  </si>
  <si>
    <t>引・日帰</t>
    <rPh sb="0" eb="1">
      <t>イン</t>
    </rPh>
    <rPh sb="2" eb="4">
      <t>ヒガエ</t>
    </rPh>
    <phoneticPr fontId="8"/>
  </si>
  <si>
    <t>一般・日帰</t>
    <rPh sb="0" eb="2">
      <t>イッパン</t>
    </rPh>
    <rPh sb="3" eb="5">
      <t>ヒガエ</t>
    </rPh>
    <phoneticPr fontId="8"/>
  </si>
  <si>
    <t>一般・泊</t>
    <rPh sb="0" eb="2">
      <t>イッパン</t>
    </rPh>
    <rPh sb="3" eb="4">
      <t>ハク</t>
    </rPh>
    <phoneticPr fontId="8"/>
  </si>
  <si>
    <t>ソート用No</t>
    <rPh sb="3" eb="4">
      <t>ヨウ</t>
    </rPh>
    <phoneticPr fontId="8"/>
  </si>
  <si>
    <t>利用区分</t>
    <rPh sb="0" eb="2">
      <t>リヨウ</t>
    </rPh>
    <rPh sb="2" eb="4">
      <t>クブン</t>
    </rPh>
    <phoneticPr fontId="8"/>
  </si>
  <si>
    <t>利用者数</t>
    <rPh sb="0" eb="2">
      <t>リヨウ</t>
    </rPh>
    <rPh sb="2" eb="3">
      <t>シャ</t>
    </rPh>
    <rPh sb="3" eb="4">
      <t>スウ</t>
    </rPh>
    <phoneticPr fontId="8"/>
  </si>
  <si>
    <t>小泊/</t>
    <rPh sb="0" eb="1">
      <t>ショウ</t>
    </rPh>
    <rPh sb="1" eb="2">
      <t>トマリ</t>
    </rPh>
    <phoneticPr fontId="8"/>
  </si>
  <si>
    <t>小日帰/</t>
    <rPh sb="0" eb="1">
      <t>ショウ</t>
    </rPh>
    <rPh sb="1" eb="3">
      <t>ヒガエ</t>
    </rPh>
    <phoneticPr fontId="8"/>
  </si>
  <si>
    <t>中泊/</t>
    <rPh sb="0" eb="1">
      <t>チュウ</t>
    </rPh>
    <rPh sb="1" eb="2">
      <t>ハク</t>
    </rPh>
    <phoneticPr fontId="8"/>
  </si>
  <si>
    <t>中日帰/</t>
    <rPh sb="0" eb="1">
      <t>チュウ</t>
    </rPh>
    <rPh sb="1" eb="3">
      <t>ヒガエ</t>
    </rPh>
    <phoneticPr fontId="8"/>
  </si>
  <si>
    <t>引泊/</t>
    <rPh sb="0" eb="1">
      <t>イン</t>
    </rPh>
    <rPh sb="1" eb="2">
      <t>ハク</t>
    </rPh>
    <phoneticPr fontId="8"/>
  </si>
  <si>
    <t>引日帰/</t>
    <rPh sb="0" eb="1">
      <t>イン</t>
    </rPh>
    <rPh sb="1" eb="3">
      <t>ヒガエ</t>
    </rPh>
    <phoneticPr fontId="8"/>
  </si>
  <si>
    <t>一般泊/</t>
    <rPh sb="0" eb="2">
      <t>イッパン</t>
    </rPh>
    <rPh sb="2" eb="3">
      <t>ハク</t>
    </rPh>
    <phoneticPr fontId="8"/>
  </si>
  <si>
    <t>一般日帰/</t>
    <rPh sb="0" eb="2">
      <t>イッパン</t>
    </rPh>
    <rPh sb="2" eb="3">
      <t>ニチ</t>
    </rPh>
    <rPh sb="3" eb="4">
      <t>カエ</t>
    </rPh>
    <phoneticPr fontId="8"/>
  </si>
  <si>
    <t>利用区分ごとの【延べ日数】</t>
    <rPh sb="0" eb="2">
      <t>リヨウ</t>
    </rPh>
    <rPh sb="2" eb="4">
      <t>クブン</t>
    </rPh>
    <phoneticPr fontId="8"/>
  </si>
  <si>
    <t>団体　総利用者数</t>
    <rPh sb="0" eb="2">
      <t>ダンタイ</t>
    </rPh>
    <rPh sb="3" eb="4">
      <t>ソウ</t>
    </rPh>
    <rPh sb="4" eb="6">
      <t>リヨウ</t>
    </rPh>
    <rPh sb="6" eb="7">
      <t>シャ</t>
    </rPh>
    <rPh sb="7" eb="8">
      <t>スウ</t>
    </rPh>
    <phoneticPr fontId="8"/>
  </si>
  <si>
    <t>小・宿【人数】</t>
    <rPh sb="0" eb="1">
      <t>ショウ</t>
    </rPh>
    <rPh sb="2" eb="3">
      <t>シュク</t>
    </rPh>
    <rPh sb="4" eb="6">
      <t>ニンズウ</t>
    </rPh>
    <phoneticPr fontId="8"/>
  </si>
  <si>
    <t>中・宿</t>
    <rPh sb="0" eb="1">
      <t>チュウ</t>
    </rPh>
    <rPh sb="2" eb="3">
      <t>ヤド</t>
    </rPh>
    <phoneticPr fontId="8"/>
  </si>
  <si>
    <t>引・宿</t>
    <rPh sb="0" eb="1">
      <t>イン</t>
    </rPh>
    <rPh sb="2" eb="3">
      <t>ヤド</t>
    </rPh>
    <phoneticPr fontId="8"/>
  </si>
  <si>
    <t>一般・宿</t>
    <rPh sb="0" eb="2">
      <t>イッパン</t>
    </rPh>
    <rPh sb="3" eb="4">
      <t>ヤド</t>
    </rPh>
    <phoneticPr fontId="8"/>
  </si>
  <si>
    <t>人数カウント表</t>
    <rPh sb="0" eb="2">
      <t>ニンズウ</t>
    </rPh>
    <rPh sb="6" eb="7">
      <t>ヒョウ</t>
    </rPh>
    <phoneticPr fontId="8"/>
  </si>
  <si>
    <t>計</t>
    <rPh sb="0" eb="1">
      <t>ケイ</t>
    </rPh>
    <phoneticPr fontId="8"/>
  </si>
  <si>
    <t>区分</t>
    <rPh sb="0" eb="2">
      <t>クブン</t>
    </rPh>
    <phoneticPr fontId="8"/>
  </si>
  <si>
    <t>利用人数</t>
    <rPh sb="0" eb="2">
      <t>リヨウ</t>
    </rPh>
    <rPh sb="2" eb="4">
      <t>ニンズウ</t>
    </rPh>
    <phoneticPr fontId="8"/>
  </si>
  <si>
    <t>小泊/準・特・療</t>
    <rPh sb="0" eb="1">
      <t>ショウ</t>
    </rPh>
    <rPh sb="3" eb="4">
      <t>ジュン</t>
    </rPh>
    <rPh sb="5" eb="6">
      <t>トク</t>
    </rPh>
    <rPh sb="7" eb="8">
      <t>リョウ</t>
    </rPh>
    <phoneticPr fontId="8"/>
  </si>
  <si>
    <t>引泊</t>
    <rPh sb="0" eb="1">
      <t>イン</t>
    </rPh>
    <rPh sb="1" eb="2">
      <t>ハク</t>
    </rPh>
    <phoneticPr fontId="8"/>
  </si>
  <si>
    <t>一般日帰</t>
    <rPh sb="0" eb="2">
      <t>イッパン</t>
    </rPh>
    <rPh sb="2" eb="4">
      <t>ヒガエ</t>
    </rPh>
    <phoneticPr fontId="8"/>
  </si>
  <si>
    <t>利用区分
パターンNo</t>
    <rPh sb="0" eb="2">
      <t>リヨウ</t>
    </rPh>
    <rPh sb="2" eb="4">
      <t>クブン</t>
    </rPh>
    <phoneticPr fontId="8"/>
  </si>
  <si>
    <t>減免者
No</t>
    <rPh sb="0" eb="2">
      <t>ゲンメン</t>
    </rPh>
    <rPh sb="2" eb="3">
      <t>シャ</t>
    </rPh>
    <phoneticPr fontId="8"/>
  </si>
  <si>
    <t>ソートNo</t>
    <phoneticPr fontId="8"/>
  </si>
  <si>
    <t>【減免申請書】　記載用シート</t>
    <rPh sb="1" eb="3">
      <t>ゲンメン</t>
    </rPh>
    <rPh sb="3" eb="6">
      <t>シンセイショ</t>
    </rPh>
    <rPh sb="8" eb="10">
      <t>キサイ</t>
    </rPh>
    <rPh sb="10" eb="11">
      <t>ヨウ</t>
    </rPh>
    <phoneticPr fontId="8"/>
  </si>
  <si>
    <t>【利用者名簿】　記載用シート</t>
    <rPh sb="1" eb="4">
      <t>リヨウシャ</t>
    </rPh>
    <rPh sb="4" eb="6">
      <t>メイボ</t>
    </rPh>
    <phoneticPr fontId="8"/>
  </si>
  <si>
    <t>金額</t>
    <rPh sb="0" eb="2">
      <t>キンガク</t>
    </rPh>
    <phoneticPr fontId="8"/>
  </si>
  <si>
    <t>施設利用
金額</t>
    <rPh sb="0" eb="2">
      <t>シセツ</t>
    </rPh>
    <rPh sb="2" eb="4">
      <t>リヨウ</t>
    </rPh>
    <rPh sb="5" eb="7">
      <t>キンガク</t>
    </rPh>
    <phoneticPr fontId="8"/>
  </si>
  <si>
    <t>準</t>
    <rPh sb="0" eb="1">
      <t>ジュン</t>
    </rPh>
    <phoneticPr fontId="29"/>
  </si>
  <si>
    <t>特</t>
    <rPh sb="0" eb="1">
      <t>トク</t>
    </rPh>
    <phoneticPr fontId="29"/>
  </si>
  <si>
    <t>身</t>
    <rPh sb="0" eb="1">
      <t>ミ</t>
    </rPh>
    <phoneticPr fontId="29"/>
  </si>
  <si>
    <t>療</t>
    <rPh sb="0" eb="1">
      <t>リョウ</t>
    </rPh>
    <phoneticPr fontId="29"/>
  </si>
  <si>
    <t>精</t>
    <rPh sb="0" eb="1">
      <t>セイ</t>
    </rPh>
    <phoneticPr fontId="29"/>
  </si>
  <si>
    <t>介添</t>
    <rPh sb="0" eb="2">
      <t>カイゾエ</t>
    </rPh>
    <phoneticPr fontId="29"/>
  </si>
  <si>
    <t>減免判定データ</t>
    <rPh sb="0" eb="2">
      <t>ゲンメン</t>
    </rPh>
    <rPh sb="2" eb="4">
      <t>ハンテイ</t>
    </rPh>
    <phoneticPr fontId="29"/>
  </si>
  <si>
    <t>施設使用料減免【日帰り】</t>
    <rPh sb="0" eb="2">
      <t>シセツ</t>
    </rPh>
    <rPh sb="2" eb="4">
      <t>シヨウ</t>
    </rPh>
    <rPh sb="4" eb="5">
      <t>リョウ</t>
    </rPh>
    <rPh sb="5" eb="7">
      <t>ゲンメン</t>
    </rPh>
    <rPh sb="8" eb="10">
      <t>ヒガエ</t>
    </rPh>
    <phoneticPr fontId="8"/>
  </si>
  <si>
    <t>施設使用料減免【宿泊】</t>
    <rPh sb="0" eb="5">
      <t>シセツシヨウリョウ</t>
    </rPh>
    <rPh sb="5" eb="7">
      <t>ゲンメン</t>
    </rPh>
    <rPh sb="8" eb="10">
      <t>シュクハク</t>
    </rPh>
    <phoneticPr fontId="8"/>
  </si>
  <si>
    <t>合計延日数</t>
    <rPh sb="0" eb="2">
      <t>ゴウケイ</t>
    </rPh>
    <rPh sb="2" eb="3">
      <t>ノ</t>
    </rPh>
    <rPh sb="3" eb="5">
      <t>ニッスウ</t>
    </rPh>
    <phoneticPr fontId="8"/>
  </si>
  <si>
    <t xml:space="preserve">    基準を超える使用を希望</t>
    <rPh sb="4" eb="6">
      <t>キジュン</t>
    </rPh>
    <rPh sb="7" eb="8">
      <t>コ</t>
    </rPh>
    <rPh sb="10" eb="12">
      <t>シヨウ</t>
    </rPh>
    <rPh sb="13" eb="15">
      <t>キボウ</t>
    </rPh>
    <phoneticPr fontId="3"/>
  </si>
  <si>
    <t xml:space="preserve">    希望しない</t>
    <rPh sb="4" eb="6">
      <t>キボウ</t>
    </rPh>
    <phoneticPr fontId="3"/>
  </si>
  <si>
    <t xml:space="preserve">  希望する</t>
    <rPh sb="2" eb="4">
      <t>キボウ</t>
    </rPh>
    <phoneticPr fontId="3"/>
  </si>
  <si>
    <t xml:space="preserve">     有</t>
    <rPh sb="5" eb="6">
      <t>ユウ</t>
    </rPh>
    <phoneticPr fontId="3"/>
  </si>
  <si>
    <t xml:space="preserve">     無</t>
    <rPh sb="5" eb="6">
      <t>ム</t>
    </rPh>
    <phoneticPr fontId="3"/>
  </si>
  <si>
    <t>～</t>
    <phoneticPr fontId="8"/>
  </si>
  <si>
    <t>～</t>
    <phoneticPr fontId="8"/>
  </si>
  <si>
    <t>当団体の宿泊において、プログラムの補助的指導にあたるために、
札幌市青少年山の家のフィールドの使用を申し込みます。</t>
    <phoneticPr fontId="8"/>
  </si>
  <si>
    <t>使用者名簿
（下の表に指名をご記入ください）</t>
    <rPh sb="0" eb="3">
      <t>シヨウシャ</t>
    </rPh>
    <rPh sb="3" eb="5">
      <t>メイボ</t>
    </rPh>
    <rPh sb="7" eb="8">
      <t>シタ</t>
    </rPh>
    <rPh sb="9" eb="10">
      <t>ヒョウ</t>
    </rPh>
    <rPh sb="11" eb="13">
      <t>シメイ</t>
    </rPh>
    <rPh sb="15" eb="17">
      <t>キニュウ</t>
    </rPh>
    <phoneticPr fontId="8"/>
  </si>
  <si>
    <t>使用日</t>
    <rPh sb="0" eb="2">
      <t>シヨウ</t>
    </rPh>
    <rPh sb="2" eb="3">
      <t>ビ</t>
    </rPh>
    <phoneticPr fontId="8"/>
  </si>
  <si>
    <t>　人数</t>
    <rPh sb="1" eb="2">
      <t>ヒト</t>
    </rPh>
    <rPh sb="2" eb="3">
      <t>スウ</t>
    </rPh>
    <phoneticPr fontId="3"/>
  </si>
  <si>
    <t>　補助　車両台数</t>
    <rPh sb="1" eb="3">
      <t>ホジョ</t>
    </rPh>
    <rPh sb="4" eb="6">
      <t>シャリョウ</t>
    </rPh>
    <rPh sb="6" eb="8">
      <t>ダイスウ</t>
    </rPh>
    <phoneticPr fontId="8"/>
  </si>
  <si>
    <t>台</t>
    <rPh sb="0" eb="1">
      <t>ダイ</t>
    </rPh>
    <phoneticPr fontId="8"/>
  </si>
  <si>
    <t>　　　　　　　　　　</t>
    <phoneticPr fontId="3"/>
  </si>
  <si>
    <t>※　補助的指導者のうちの１名を代表者としてください。
代表者も使用者名簿に氏名をご記入ください。</t>
    <rPh sb="27" eb="30">
      <t>ダイヒョウシャ</t>
    </rPh>
    <rPh sb="31" eb="34">
      <t>シヨウシャ</t>
    </rPh>
    <rPh sb="34" eb="36">
      <t>メイボ</t>
    </rPh>
    <rPh sb="37" eb="39">
      <t>シメイ</t>
    </rPh>
    <rPh sb="41" eb="43">
      <t>キニュウ</t>
    </rPh>
    <phoneticPr fontId="3"/>
  </si>
  <si>
    <t>　有料車両料金</t>
    <rPh sb="1" eb="3">
      <t>ユウリョウ</t>
    </rPh>
    <rPh sb="3" eb="5">
      <t>シャリョウ</t>
    </rPh>
    <rPh sb="5" eb="7">
      <t>リョウキン</t>
    </rPh>
    <phoneticPr fontId="8"/>
  </si>
  <si>
    <t>円</t>
    <rPh sb="0" eb="1">
      <t>エン</t>
    </rPh>
    <phoneticPr fontId="8"/>
  </si>
  <si>
    <t>住所①</t>
    <rPh sb="0" eb="2">
      <t>ジュウショ</t>
    </rPh>
    <phoneticPr fontId="3"/>
  </si>
  <si>
    <t>住所②</t>
    <rPh sb="0" eb="2">
      <t>ジュウショ</t>
    </rPh>
    <phoneticPr fontId="8"/>
  </si>
  <si>
    <t>札幌市中央区大通東</t>
    <rPh sb="0" eb="3">
      <t>サッポロシ</t>
    </rPh>
    <rPh sb="3" eb="6">
      <t>チュウオウク</t>
    </rPh>
    <rPh sb="6" eb="8">
      <t>オオドオリ</t>
    </rPh>
    <rPh sb="8" eb="9">
      <t>ヒガシ</t>
    </rPh>
    <phoneticPr fontId="3"/>
  </si>
  <si>
    <t>６丁目１２番地</t>
    <phoneticPr fontId="8"/>
  </si>
  <si>
    <t>札幌市中央区南１４条西</t>
    <rPh sb="0" eb="3">
      <t>サッポロシ</t>
    </rPh>
    <rPh sb="3" eb="6">
      <t>チュウオウク</t>
    </rPh>
    <rPh sb="6" eb="7">
      <t>ミナミ</t>
    </rPh>
    <rPh sb="9" eb="10">
      <t>ジョウ</t>
    </rPh>
    <rPh sb="10" eb="11">
      <t>ニシ</t>
    </rPh>
    <phoneticPr fontId="8"/>
  </si>
  <si>
    <t>１０丁目１番地</t>
    <phoneticPr fontId="8"/>
  </si>
  <si>
    <t>札幌市中央区南１０条西</t>
    <rPh sb="0" eb="3">
      <t>サッポロシ</t>
    </rPh>
    <rPh sb="3" eb="6">
      <t>チュウオウク</t>
    </rPh>
    <rPh sb="6" eb="7">
      <t>ミナミ</t>
    </rPh>
    <rPh sb="9" eb="10">
      <t>ジョウ</t>
    </rPh>
    <rPh sb="10" eb="11">
      <t>ニシ</t>
    </rPh>
    <phoneticPr fontId="8"/>
  </si>
  <si>
    <t>１７丁目１－１</t>
    <phoneticPr fontId="8"/>
  </si>
  <si>
    <t>札幌市中央区北8条西</t>
    <rPh sb="0" eb="3">
      <t>サッポロシ</t>
    </rPh>
    <rPh sb="3" eb="6">
      <t>チュウオウク</t>
    </rPh>
    <rPh sb="6" eb="7">
      <t>キタ</t>
    </rPh>
    <rPh sb="8" eb="9">
      <t>ジョウ</t>
    </rPh>
    <rPh sb="9" eb="10">
      <t>ニシ</t>
    </rPh>
    <phoneticPr fontId="8"/>
  </si>
  <si>
    <t>17丁目</t>
    <phoneticPr fontId="8"/>
  </si>
  <si>
    <t>札幌市中央区南２１条西</t>
    <rPh sb="0" eb="3">
      <t>サッポロシ</t>
    </rPh>
    <rPh sb="3" eb="6">
      <t>チュウオウク</t>
    </rPh>
    <rPh sb="6" eb="7">
      <t>ミナミ</t>
    </rPh>
    <rPh sb="9" eb="10">
      <t>ジョウ</t>
    </rPh>
    <rPh sb="10" eb="11">
      <t>ニシ</t>
    </rPh>
    <phoneticPr fontId="8"/>
  </si>
  <si>
    <t>５丁目１－１</t>
  </si>
  <si>
    <t>５丁目１－１</t>
    <phoneticPr fontId="8"/>
  </si>
  <si>
    <t>札幌市中央区北１条西</t>
    <rPh sb="0" eb="3">
      <t>サッポロシ</t>
    </rPh>
    <rPh sb="3" eb="6">
      <t>チュウオウク</t>
    </rPh>
    <rPh sb="6" eb="7">
      <t>キタ</t>
    </rPh>
    <rPh sb="8" eb="9">
      <t>ジョウ</t>
    </rPh>
    <rPh sb="9" eb="10">
      <t>ニシ</t>
    </rPh>
    <phoneticPr fontId="8"/>
  </si>
  <si>
    <t>２５丁目１番８号</t>
    <phoneticPr fontId="8"/>
  </si>
  <si>
    <t>札幌市中央区南</t>
    <phoneticPr fontId="8"/>
  </si>
  <si>
    <t>２条西１５丁目</t>
    <phoneticPr fontId="8"/>
  </si>
  <si>
    <t>札幌市中央区北８条西</t>
    <rPh sb="0" eb="3">
      <t>サッポロシ</t>
    </rPh>
    <rPh sb="3" eb="6">
      <t>チュウオウク</t>
    </rPh>
    <rPh sb="6" eb="7">
      <t>キタ</t>
    </rPh>
    <rPh sb="8" eb="9">
      <t>ジョウ</t>
    </rPh>
    <rPh sb="9" eb="10">
      <t>ニシ</t>
    </rPh>
    <phoneticPr fontId="8"/>
  </si>
  <si>
    <t>２５丁目２番１号</t>
    <phoneticPr fontId="8"/>
  </si>
  <si>
    <t>札幌市中央区南１０条</t>
    <rPh sb="0" eb="3">
      <t>サッポロシ</t>
    </rPh>
    <rPh sb="3" eb="6">
      <t>チュウオウク</t>
    </rPh>
    <rPh sb="6" eb="7">
      <t>ミナミ</t>
    </rPh>
    <rPh sb="9" eb="10">
      <t>ジョウ</t>
    </rPh>
    <phoneticPr fontId="8"/>
  </si>
  <si>
    <t>西２３丁目３－１</t>
    <phoneticPr fontId="8"/>
  </si>
  <si>
    <t>札幌市中央区宮の森３条</t>
    <phoneticPr fontId="8"/>
  </si>
  <si>
    <t>１３丁目６－２０</t>
    <phoneticPr fontId="8"/>
  </si>
  <si>
    <t>札幌市中央区宮の森４条</t>
    <phoneticPr fontId="8"/>
  </si>
  <si>
    <t>１１丁目４－１</t>
    <phoneticPr fontId="8"/>
  </si>
  <si>
    <t>札幌市中央区宮の森４条</t>
    <phoneticPr fontId="8"/>
  </si>
  <si>
    <t>６丁目１－１</t>
    <phoneticPr fontId="8"/>
  </si>
  <si>
    <t>札幌市中央区南１８条</t>
    <phoneticPr fontId="8"/>
  </si>
  <si>
    <t>１５丁目１－１</t>
    <phoneticPr fontId="8"/>
  </si>
  <si>
    <t>札幌市中央区南２９条西</t>
    <phoneticPr fontId="8"/>
  </si>
  <si>
    <t>１２丁目１－１</t>
    <phoneticPr fontId="8"/>
  </si>
  <si>
    <t>札幌市中央区南３条西</t>
    <phoneticPr fontId="8"/>
  </si>
  <si>
    <t>７丁目１番地</t>
    <phoneticPr fontId="8"/>
  </si>
  <si>
    <t>７丁目１－３０</t>
    <phoneticPr fontId="8"/>
  </si>
  <si>
    <t>札幌市西区山の手１条</t>
    <phoneticPr fontId="8"/>
  </si>
  <si>
    <t>９丁目６番１号</t>
    <phoneticPr fontId="8"/>
  </si>
  <si>
    <t>札幌市西区山の手５条</t>
    <phoneticPr fontId="8"/>
  </si>
  <si>
    <t>６丁目１番１号</t>
    <phoneticPr fontId="8"/>
  </si>
  <si>
    <t>札幌市西区山の手５条</t>
    <phoneticPr fontId="8"/>
  </si>
  <si>
    <t>８丁目１番３８号</t>
    <phoneticPr fontId="8"/>
  </si>
  <si>
    <t>札幌市西区西野１条</t>
    <phoneticPr fontId="8"/>
  </si>
  <si>
    <t>７丁目４－１</t>
    <phoneticPr fontId="8"/>
  </si>
  <si>
    <t>札幌市西区西野４条</t>
    <phoneticPr fontId="8"/>
  </si>
  <si>
    <t>３丁目７番１号</t>
    <phoneticPr fontId="8"/>
  </si>
  <si>
    <t>札幌市西区西野８条</t>
    <phoneticPr fontId="8"/>
  </si>
  <si>
    <t>４丁目４番１号</t>
    <phoneticPr fontId="8"/>
  </si>
  <si>
    <t>７丁目１－１</t>
    <phoneticPr fontId="8"/>
  </si>
  <si>
    <t>札幌市西区二十四軒２条</t>
    <phoneticPr fontId="8"/>
  </si>
  <si>
    <t>３丁目１－３７</t>
    <phoneticPr fontId="8"/>
  </si>
  <si>
    <t>札幌市西区八軒３条西</t>
    <phoneticPr fontId="8"/>
  </si>
  <si>
    <t>５丁目１番１号</t>
    <phoneticPr fontId="8"/>
  </si>
  <si>
    <t>札幌市西区八軒４条西</t>
    <phoneticPr fontId="8"/>
  </si>
  <si>
    <t>１丁目１－８</t>
    <phoneticPr fontId="8"/>
  </si>
  <si>
    <t>札幌市西区八軒７条東</t>
    <phoneticPr fontId="8"/>
  </si>
  <si>
    <t>１丁目１－１</t>
    <phoneticPr fontId="8"/>
  </si>
  <si>
    <t>札幌市西区八軒８条西</t>
    <phoneticPr fontId="8"/>
  </si>
  <si>
    <t>札幌市西区発寒１０条</t>
    <phoneticPr fontId="8"/>
  </si>
  <si>
    <t>４丁目１番６２号</t>
    <phoneticPr fontId="8"/>
  </si>
  <si>
    <t>札幌市西区発寒１１条</t>
    <phoneticPr fontId="8"/>
  </si>
  <si>
    <t>６丁目２番１号</t>
    <phoneticPr fontId="8"/>
  </si>
  <si>
    <t>札幌市西区発寒１５条</t>
    <phoneticPr fontId="8"/>
  </si>
  <si>
    <t>２丁目２－１</t>
    <phoneticPr fontId="8"/>
  </si>
  <si>
    <t>札幌市西区発寒２条</t>
    <phoneticPr fontId="8"/>
  </si>
  <si>
    <t>４丁目１－１</t>
    <phoneticPr fontId="8"/>
  </si>
  <si>
    <t>札幌市西区発寒５条</t>
    <phoneticPr fontId="8"/>
  </si>
  <si>
    <t>７丁目１－２</t>
    <phoneticPr fontId="8"/>
  </si>
  <si>
    <t>札幌市西区発寒７条</t>
    <phoneticPr fontId="8"/>
  </si>
  <si>
    <t>１３丁目２－１</t>
    <phoneticPr fontId="8"/>
  </si>
  <si>
    <t>札幌市西区福井</t>
    <phoneticPr fontId="8"/>
  </si>
  <si>
    <t>６丁目１１－１</t>
    <phoneticPr fontId="8"/>
  </si>
  <si>
    <t>札幌市西区平和３条</t>
    <phoneticPr fontId="8"/>
  </si>
  <si>
    <t>８丁目２－１</t>
    <phoneticPr fontId="8"/>
  </si>
  <si>
    <t>札幌市清田区清田１条</t>
    <phoneticPr fontId="8"/>
  </si>
  <si>
    <t>４丁目３番３０号</t>
    <phoneticPr fontId="8"/>
  </si>
  <si>
    <t>札幌市北区北９条西</t>
    <phoneticPr fontId="72"/>
  </si>
  <si>
    <t>１丁目１</t>
    <phoneticPr fontId="8"/>
  </si>
  <si>
    <t>札幌市清田区清田５条</t>
    <phoneticPr fontId="72"/>
  </si>
  <si>
    <t>２丁目１８－１</t>
    <phoneticPr fontId="8"/>
  </si>
  <si>
    <t>札幌市清田区清田７条</t>
    <phoneticPr fontId="8"/>
  </si>
  <si>
    <t>３丁目１２－３０</t>
    <phoneticPr fontId="8"/>
  </si>
  <si>
    <t>札幌市清田区美しが丘１条</t>
    <phoneticPr fontId="8"/>
  </si>
  <si>
    <t>１丁目１－１０</t>
    <phoneticPr fontId="8"/>
  </si>
  <si>
    <t>札幌市清田区美しが丘２条</t>
    <phoneticPr fontId="72"/>
  </si>
  <si>
    <t>５丁目１番１号</t>
    <phoneticPr fontId="8"/>
  </si>
  <si>
    <t>札幌市清田区美しが丘４条</t>
    <phoneticPr fontId="8"/>
  </si>
  <si>
    <t>５丁目８番１号</t>
    <phoneticPr fontId="8"/>
  </si>
  <si>
    <t>札幌市清田区平岡２条</t>
    <phoneticPr fontId="8"/>
  </si>
  <si>
    <t>６丁目２－１</t>
    <phoneticPr fontId="8"/>
  </si>
  <si>
    <t>札幌市清田区平岡５条</t>
    <phoneticPr fontId="8"/>
  </si>
  <si>
    <t>３丁目９番１号</t>
    <phoneticPr fontId="8"/>
  </si>
  <si>
    <t>札幌市清田区平岡９条</t>
    <phoneticPr fontId="8"/>
  </si>
  <si>
    <t>２丁目５番１号</t>
    <phoneticPr fontId="8"/>
  </si>
  <si>
    <t>札幌市清田区平岡公園東</t>
    <phoneticPr fontId="8"/>
  </si>
  <si>
    <t>５丁目９番１号</t>
    <phoneticPr fontId="8"/>
  </si>
  <si>
    <t>札幌市清田区北野２条</t>
    <phoneticPr fontId="8"/>
  </si>
  <si>
    <t>札幌市北区北３４条西</t>
    <phoneticPr fontId="8"/>
  </si>
  <si>
    <t>７丁目３番２号</t>
    <phoneticPr fontId="8"/>
  </si>
  <si>
    <t>札幌市北区北３１条西</t>
    <phoneticPr fontId="8"/>
  </si>
  <si>
    <t>９丁目２－１</t>
    <phoneticPr fontId="8"/>
  </si>
  <si>
    <t>札幌市北区北２７条西</t>
    <phoneticPr fontId="8"/>
  </si>
  <si>
    <t>１４丁目１－１</t>
    <phoneticPr fontId="8"/>
  </si>
  <si>
    <t>札幌市北区北２４条西</t>
    <phoneticPr fontId="8"/>
  </si>
  <si>
    <t>７丁目１－１</t>
    <phoneticPr fontId="8"/>
  </si>
  <si>
    <t>札幌市北区北１９条西</t>
    <phoneticPr fontId="8"/>
  </si>
  <si>
    <t>２丁目１番１号</t>
    <phoneticPr fontId="8"/>
  </si>
  <si>
    <t>札幌市北区百合が原</t>
    <phoneticPr fontId="72"/>
  </si>
  <si>
    <t>６丁目５番１号</t>
    <phoneticPr fontId="8"/>
  </si>
  <si>
    <t>札幌市北区屯田９条</t>
    <phoneticPr fontId="8"/>
  </si>
  <si>
    <t>３丁目４－１</t>
    <phoneticPr fontId="8"/>
  </si>
  <si>
    <t>札幌市北区屯田７条</t>
    <phoneticPr fontId="8"/>
  </si>
  <si>
    <t>６丁目２－２</t>
    <phoneticPr fontId="8"/>
  </si>
  <si>
    <t>札幌市北区屯田６条</t>
    <phoneticPr fontId="8"/>
  </si>
  <si>
    <t>１０丁目３番１号</t>
    <phoneticPr fontId="8"/>
  </si>
  <si>
    <t>札幌市北区屯田５条</t>
    <phoneticPr fontId="8"/>
  </si>
  <si>
    <t>４丁目６－１</t>
    <phoneticPr fontId="8"/>
  </si>
  <si>
    <t>札幌市北区東茨戸１条</t>
    <phoneticPr fontId="8"/>
  </si>
  <si>
    <t>２丁目２－１</t>
    <phoneticPr fontId="8"/>
  </si>
  <si>
    <t>札幌市北区太平１条</t>
    <phoneticPr fontId="8"/>
  </si>
  <si>
    <t>１丁目２－１</t>
    <phoneticPr fontId="8"/>
  </si>
  <si>
    <t>札幌市北区新川５条</t>
    <phoneticPr fontId="8"/>
  </si>
  <si>
    <t>１５丁目１－１</t>
    <phoneticPr fontId="8"/>
  </si>
  <si>
    <t>札幌市北区新川３条</t>
    <phoneticPr fontId="8"/>
  </si>
  <si>
    <t>３丁目２番１号</t>
    <phoneticPr fontId="8"/>
  </si>
  <si>
    <t>札幌市北区新琴似７条</t>
    <phoneticPr fontId="8"/>
  </si>
  <si>
    <t>３丁目２－１</t>
    <phoneticPr fontId="8"/>
  </si>
  <si>
    <t>札幌市北区新琴似５条</t>
    <phoneticPr fontId="8"/>
  </si>
  <si>
    <t>１１丁目４番１号</t>
    <phoneticPr fontId="8"/>
  </si>
  <si>
    <t>札幌市北区新琴似１条</t>
    <phoneticPr fontId="8"/>
  </si>
  <si>
    <t>３丁目１－１</t>
    <phoneticPr fontId="8"/>
  </si>
  <si>
    <t>１２丁目１番１号</t>
    <phoneticPr fontId="8"/>
  </si>
  <si>
    <t>札幌市北区新琴似１１条</t>
    <phoneticPr fontId="8"/>
  </si>
  <si>
    <t>６丁目１－１</t>
    <phoneticPr fontId="8"/>
  </si>
  <si>
    <t>札幌市北区新琴似１１条</t>
    <phoneticPr fontId="8"/>
  </si>
  <si>
    <t>１５丁目１番５号</t>
    <phoneticPr fontId="8"/>
  </si>
  <si>
    <t>札幌市北区新琴似１０条</t>
    <phoneticPr fontId="8"/>
  </si>
  <si>
    <t>１１丁目５－１</t>
    <phoneticPr fontId="8"/>
  </si>
  <si>
    <t>札幌市北区篠路５条</t>
    <phoneticPr fontId="8"/>
  </si>
  <si>
    <t>２丁目２番</t>
    <phoneticPr fontId="8"/>
  </si>
  <si>
    <t>札幌市北区篠路４条</t>
    <phoneticPr fontId="8"/>
  </si>
  <si>
    <t>９丁目３番１</t>
    <phoneticPr fontId="8"/>
  </si>
  <si>
    <t>札幌市北区篠路１条</t>
    <phoneticPr fontId="8"/>
  </si>
  <si>
    <t>２丁目６－２０</t>
    <phoneticPr fontId="8"/>
  </si>
  <si>
    <t>札幌市北区あいの里５条</t>
    <phoneticPr fontId="8"/>
  </si>
  <si>
    <t>３丁目１番１０号</t>
    <phoneticPr fontId="8"/>
  </si>
  <si>
    <t>札幌市北区あいの里３条</t>
    <phoneticPr fontId="72"/>
  </si>
  <si>
    <t>７丁目１１番１号</t>
    <phoneticPr fontId="8"/>
  </si>
  <si>
    <t>札幌市北区あいの里３条</t>
    <phoneticPr fontId="8"/>
  </si>
  <si>
    <t>６丁目２－１</t>
    <phoneticPr fontId="8"/>
  </si>
  <si>
    <t>札幌市北区あいの里２条</t>
    <phoneticPr fontId="72"/>
  </si>
  <si>
    <t>３丁目９－１</t>
    <phoneticPr fontId="8"/>
  </si>
  <si>
    <t>札幌市北区あいの里２条</t>
    <phoneticPr fontId="8"/>
  </si>
  <si>
    <t>１丁目２４－１</t>
    <phoneticPr fontId="8"/>
  </si>
  <si>
    <t>札幌市豊平区月寒西２条</t>
    <phoneticPr fontId="8"/>
  </si>
  <si>
    <t>札幌市豊平区月寒西４条</t>
    <phoneticPr fontId="72"/>
  </si>
  <si>
    <t>８丁目２－１</t>
    <phoneticPr fontId="8"/>
  </si>
  <si>
    <t>札幌市豊平区月寒東１条</t>
    <phoneticPr fontId="8"/>
  </si>
  <si>
    <t>１１丁目７－３２</t>
    <phoneticPr fontId="8"/>
  </si>
  <si>
    <t>１６丁目３－１</t>
    <phoneticPr fontId="8"/>
  </si>
  <si>
    <t>札幌市豊平区月寒東３条</t>
    <phoneticPr fontId="8"/>
  </si>
  <si>
    <t>１０丁目１－１</t>
    <phoneticPr fontId="8"/>
  </si>
  <si>
    <t>札幌市豊平区月寒東４条</t>
    <phoneticPr fontId="8"/>
  </si>
  <si>
    <t>１８丁目１０－４３</t>
    <phoneticPr fontId="8"/>
  </si>
  <si>
    <t>札幌市豊平区水車町</t>
    <phoneticPr fontId="8"/>
  </si>
  <si>
    <t>３丁目１－２２</t>
    <phoneticPr fontId="8"/>
  </si>
  <si>
    <t>札幌市豊平区西岡２条</t>
    <phoneticPr fontId="8"/>
  </si>
  <si>
    <t>９丁目１－１</t>
    <phoneticPr fontId="8"/>
  </si>
  <si>
    <t>札幌市豊平区西岡３条</t>
    <phoneticPr fontId="8"/>
  </si>
  <si>
    <t>６丁目７番２０号</t>
    <phoneticPr fontId="8"/>
  </si>
  <si>
    <t>札幌市豊平区西岡４条</t>
    <phoneticPr fontId="8"/>
  </si>
  <si>
    <t>１２丁目７－１</t>
    <phoneticPr fontId="8"/>
  </si>
  <si>
    <t>札幌市豊平区中の島２条</t>
    <phoneticPr fontId="8"/>
  </si>
  <si>
    <t>１丁目１番２２号</t>
    <phoneticPr fontId="8"/>
  </si>
  <si>
    <t>札幌市豊平区美園１条</t>
    <phoneticPr fontId="8"/>
  </si>
  <si>
    <t>４丁目１－１</t>
    <phoneticPr fontId="8"/>
  </si>
  <si>
    <t>札幌市豊平区美園５条</t>
    <phoneticPr fontId="8"/>
  </si>
  <si>
    <t>札幌市豊平区福住３条</t>
    <phoneticPr fontId="8"/>
  </si>
  <si>
    <t>５丁目１番１号</t>
    <phoneticPr fontId="8"/>
  </si>
  <si>
    <t>札幌市豊平区平岸１条</t>
    <phoneticPr fontId="8"/>
  </si>
  <si>
    <t>１５丁目２番</t>
    <phoneticPr fontId="8"/>
  </si>
  <si>
    <t>札幌市豊平区平岸２条</t>
    <phoneticPr fontId="8"/>
  </si>
  <si>
    <t>１４丁目１－２８</t>
    <phoneticPr fontId="8"/>
  </si>
  <si>
    <t>札幌市豊平区平岸４条</t>
    <phoneticPr fontId="8"/>
  </si>
  <si>
    <t>１１丁目６－１</t>
    <phoneticPr fontId="8"/>
  </si>
  <si>
    <t>札幌市豊平区平岸５条</t>
    <phoneticPr fontId="8"/>
  </si>
  <si>
    <t>１８丁目１－１</t>
    <phoneticPr fontId="8"/>
  </si>
  <si>
    <t>７丁目２番２１号</t>
    <phoneticPr fontId="8"/>
  </si>
  <si>
    <t>札幌市豊平区豊平１条</t>
    <phoneticPr fontId="8"/>
  </si>
  <si>
    <t>１２丁目１－１</t>
    <phoneticPr fontId="8"/>
  </si>
  <si>
    <t>札幌市豊平区豊平５条</t>
    <phoneticPr fontId="8"/>
  </si>
  <si>
    <t>札幌市白石区菊水６条</t>
    <phoneticPr fontId="8"/>
  </si>
  <si>
    <t>３丁目２－６５</t>
    <phoneticPr fontId="8"/>
  </si>
  <si>
    <t>札幌市白石区菊水８条</t>
    <phoneticPr fontId="8"/>
  </si>
  <si>
    <t>１丁目３－２５</t>
    <phoneticPr fontId="8"/>
  </si>
  <si>
    <t>札幌市白石区菊水元町２条</t>
    <phoneticPr fontId="8"/>
  </si>
  <si>
    <t>３丁目２番１４号</t>
    <phoneticPr fontId="8"/>
  </si>
  <si>
    <t>札幌市白石区菊水上町１条</t>
    <phoneticPr fontId="8"/>
  </si>
  <si>
    <t>３丁目５２</t>
    <phoneticPr fontId="8"/>
  </si>
  <si>
    <t>札幌市白石区川下４条</t>
    <phoneticPr fontId="8"/>
  </si>
  <si>
    <t>３丁目１番１号</t>
    <phoneticPr fontId="8"/>
  </si>
  <si>
    <t>札幌市白石区川北４条</t>
    <phoneticPr fontId="8"/>
  </si>
  <si>
    <t>札幌市白石区中央３条</t>
    <phoneticPr fontId="8"/>
  </si>
  <si>
    <t>５丁目２番２２号</t>
    <phoneticPr fontId="8"/>
  </si>
  <si>
    <t>札幌市白石区東札幌４条</t>
    <phoneticPr fontId="8"/>
  </si>
  <si>
    <t>５丁目４－２０</t>
    <phoneticPr fontId="8"/>
  </si>
  <si>
    <t>札幌市白石区南郷通</t>
    <phoneticPr fontId="8"/>
  </si>
  <si>
    <t>１０丁目南３－１</t>
    <phoneticPr fontId="8"/>
  </si>
  <si>
    <t>札幌市白石区南郷通</t>
    <phoneticPr fontId="8"/>
  </si>
  <si>
    <t>２丁目南６－３５</t>
    <phoneticPr fontId="8"/>
  </si>
  <si>
    <t>札幌市白石区平和通</t>
    <phoneticPr fontId="8"/>
  </si>
  <si>
    <t>９丁目南１－１</t>
    <phoneticPr fontId="8"/>
  </si>
  <si>
    <t>札幌市白石区米里１条</t>
    <phoneticPr fontId="8"/>
  </si>
  <si>
    <t>３丁目８－１</t>
    <phoneticPr fontId="8"/>
  </si>
  <si>
    <t>札幌市白石区北郷３条</t>
    <phoneticPr fontId="8"/>
  </si>
  <si>
    <t>１１丁目７－１</t>
    <phoneticPr fontId="8"/>
  </si>
  <si>
    <t>札幌市白石区北郷４条</t>
    <phoneticPr fontId="8"/>
  </si>
  <si>
    <t>５丁目１－１</t>
    <phoneticPr fontId="8"/>
  </si>
  <si>
    <t>札幌市白石区北郷６条</t>
    <phoneticPr fontId="8"/>
  </si>
  <si>
    <t>３丁目５番２号</t>
    <phoneticPr fontId="8"/>
  </si>
  <si>
    <t>札幌市白石区本郷通</t>
    <phoneticPr fontId="8"/>
  </si>
  <si>
    <t>４丁目南３－１</t>
    <phoneticPr fontId="8"/>
  </si>
  <si>
    <t>札幌市白石区本通</t>
    <phoneticPr fontId="8"/>
  </si>
  <si>
    <t>１４丁目南６番１号</t>
    <phoneticPr fontId="8"/>
  </si>
  <si>
    <t>札幌市白石区本通</t>
    <phoneticPr fontId="8"/>
  </si>
  <si>
    <t>１５丁目北３－１</t>
    <phoneticPr fontId="8"/>
  </si>
  <si>
    <t>１８丁目南１－１</t>
    <phoneticPr fontId="8"/>
  </si>
  <si>
    <t>札幌市白石区本通</t>
    <phoneticPr fontId="8"/>
  </si>
  <si>
    <t>１丁目北４番１号</t>
    <phoneticPr fontId="8"/>
  </si>
  <si>
    <t>札幌市南区簾舞１条</t>
    <phoneticPr fontId="8"/>
  </si>
  <si>
    <t>４丁目２番１号</t>
    <phoneticPr fontId="8"/>
  </si>
  <si>
    <t>札幌市南区北ノ沢</t>
    <phoneticPr fontId="8"/>
  </si>
  <si>
    <t>１７２７番地５</t>
    <phoneticPr fontId="8"/>
  </si>
  <si>
    <t>札幌市南区南沢３条</t>
    <phoneticPr fontId="8"/>
  </si>
  <si>
    <t>２丁目１８－１</t>
    <phoneticPr fontId="8"/>
  </si>
  <si>
    <t>札幌市南区南３１条西</t>
    <phoneticPr fontId="8"/>
  </si>
  <si>
    <t>９丁目２－１</t>
    <phoneticPr fontId="8"/>
  </si>
  <si>
    <t>札幌市南区南３０条西</t>
    <phoneticPr fontId="8"/>
  </si>
  <si>
    <t>８丁目１－５０</t>
    <phoneticPr fontId="8"/>
  </si>
  <si>
    <t>札幌市南区藤野４条</t>
    <phoneticPr fontId="8"/>
  </si>
  <si>
    <t>６丁目２６－１</t>
    <phoneticPr fontId="8"/>
  </si>
  <si>
    <t>札幌市南区藤野２条</t>
    <phoneticPr fontId="8"/>
  </si>
  <si>
    <t>７丁目７－１</t>
    <phoneticPr fontId="8"/>
  </si>
  <si>
    <t>札幌市南区定山渓温泉東</t>
    <phoneticPr fontId="8"/>
  </si>
  <si>
    <t>４丁目３０８番地</t>
    <phoneticPr fontId="8"/>
  </si>
  <si>
    <t>札幌市南区川沿７条</t>
    <phoneticPr fontId="8"/>
  </si>
  <si>
    <t>２丁目３－１</t>
    <phoneticPr fontId="8"/>
  </si>
  <si>
    <t>札幌市南区川沿２条</t>
    <phoneticPr fontId="8"/>
  </si>
  <si>
    <t>札幌市南区川沿１８条</t>
    <phoneticPr fontId="8"/>
  </si>
  <si>
    <t>２丁目１番１５号</t>
    <phoneticPr fontId="8"/>
  </si>
  <si>
    <t>札幌市南区石山東</t>
    <phoneticPr fontId="72"/>
  </si>
  <si>
    <t>５丁目６－１</t>
    <phoneticPr fontId="8"/>
  </si>
  <si>
    <t>札幌市南区石山</t>
    <phoneticPr fontId="8"/>
  </si>
  <si>
    <t>５２８番地</t>
    <phoneticPr fontId="8"/>
  </si>
  <si>
    <t>札幌市南区澄川５条</t>
    <phoneticPr fontId="8"/>
  </si>
  <si>
    <t>４丁目１－１</t>
    <phoneticPr fontId="8"/>
  </si>
  <si>
    <t>札幌市南区澄川５条</t>
    <phoneticPr fontId="8"/>
  </si>
  <si>
    <t>１３丁目７－１</t>
    <phoneticPr fontId="8"/>
  </si>
  <si>
    <t>札幌市南区澄川２条</t>
    <phoneticPr fontId="8"/>
  </si>
  <si>
    <t>５丁目７－２</t>
    <phoneticPr fontId="8"/>
  </si>
  <si>
    <t>札幌市南区真駒内泉町</t>
    <phoneticPr fontId="8"/>
  </si>
  <si>
    <t>３丁目１３－１</t>
    <phoneticPr fontId="8"/>
  </si>
  <si>
    <t>札幌市南区真駒内曙町</t>
    <phoneticPr fontId="8"/>
  </si>
  <si>
    <t>２丁目１－１</t>
    <phoneticPr fontId="8"/>
  </si>
  <si>
    <t>札幌市南区真駒内</t>
    <phoneticPr fontId="8"/>
  </si>
  <si>
    <t>１４３番地</t>
    <phoneticPr fontId="8"/>
  </si>
  <si>
    <t>札幌市南区常盤６条</t>
    <phoneticPr fontId="8"/>
  </si>
  <si>
    <t>２丁目１０７番地</t>
    <phoneticPr fontId="8"/>
  </si>
  <si>
    <t>札幌市清田区北野３条</t>
    <phoneticPr fontId="8"/>
  </si>
  <si>
    <t>２丁目１０－１</t>
    <phoneticPr fontId="8"/>
  </si>
  <si>
    <t>札幌市清田区北野４条</t>
    <phoneticPr fontId="8"/>
  </si>
  <si>
    <t>５丁目４番８０号</t>
    <phoneticPr fontId="8"/>
  </si>
  <si>
    <t>札幌市清田区有明</t>
    <phoneticPr fontId="72"/>
  </si>
  <si>
    <t>１４１－２</t>
    <phoneticPr fontId="8"/>
  </si>
  <si>
    <t>札幌市清田区里塚２条</t>
    <phoneticPr fontId="8"/>
  </si>
  <si>
    <t>６丁目７番１号</t>
    <phoneticPr fontId="8"/>
  </si>
  <si>
    <t>札幌市手稲区金山３条</t>
    <rPh sb="5" eb="6">
      <t>ク</t>
    </rPh>
    <phoneticPr fontId="72"/>
  </si>
  <si>
    <t>２丁目８－６０</t>
  </si>
  <si>
    <t>札幌市手稲区稲穂４条</t>
    <phoneticPr fontId="72"/>
  </si>
  <si>
    <t>５丁目１２－５</t>
    <phoneticPr fontId="8"/>
  </si>
  <si>
    <t>札幌市手稲区手稲山口</t>
    <phoneticPr fontId="8"/>
  </si>
  <si>
    <t>６５３-２</t>
    <phoneticPr fontId="8"/>
  </si>
  <si>
    <t>札幌市手稲区手稲前田２条</t>
    <phoneticPr fontId="8"/>
  </si>
  <si>
    <t>１２丁目１番２号</t>
    <phoneticPr fontId="8"/>
  </si>
  <si>
    <t>札幌市手稲区手稲本町３条</t>
    <phoneticPr fontId="8"/>
  </si>
  <si>
    <t>２丁目６番１号</t>
    <phoneticPr fontId="8"/>
  </si>
  <si>
    <t>札幌市手稲区曙１１条</t>
    <phoneticPr fontId="8"/>
  </si>
  <si>
    <t>２丁目７番１号</t>
    <phoneticPr fontId="8"/>
  </si>
  <si>
    <t>札幌市手稲区新発寒２条</t>
    <phoneticPr fontId="8"/>
  </si>
  <si>
    <t>２丁目１１１５番地３０７</t>
    <phoneticPr fontId="8"/>
  </si>
  <si>
    <t>札幌市手稲区新発寒５条</t>
    <phoneticPr fontId="8"/>
  </si>
  <si>
    <t>４丁目２番１号</t>
    <phoneticPr fontId="8"/>
  </si>
  <si>
    <t>札幌市手稲区新発寒６条</t>
    <phoneticPr fontId="8"/>
  </si>
  <si>
    <t>６丁目３番１号</t>
    <phoneticPr fontId="8"/>
  </si>
  <si>
    <t>札幌市手稲区星置２条</t>
    <phoneticPr fontId="8"/>
  </si>
  <si>
    <t>１丁目６－１</t>
    <phoneticPr fontId="8"/>
  </si>
  <si>
    <t>札幌市手稲区西宮の沢２条</t>
    <phoneticPr fontId="8"/>
  </si>
  <si>
    <t>４丁目１５番１号</t>
    <phoneticPr fontId="8"/>
  </si>
  <si>
    <t>札幌市手稲区前田１０条</t>
    <phoneticPr fontId="8"/>
  </si>
  <si>
    <t>１８丁目４－１</t>
  </si>
  <si>
    <t>札幌市手稲区前田５条</t>
    <phoneticPr fontId="72"/>
  </si>
  <si>
    <t>札幌市手稲区前田６条</t>
    <phoneticPr fontId="8"/>
  </si>
  <si>
    <t>１１丁目３－１</t>
    <phoneticPr fontId="8"/>
  </si>
  <si>
    <t>札幌市手稲区前田８条</t>
    <phoneticPr fontId="8"/>
  </si>
  <si>
    <t>１２丁目２－１</t>
    <phoneticPr fontId="8"/>
  </si>
  <si>
    <t>札幌市手稲区富丘１条</t>
    <phoneticPr fontId="8"/>
  </si>
  <si>
    <t>６丁目４番１号</t>
    <phoneticPr fontId="8"/>
  </si>
  <si>
    <t>札幌市東区本町２条</t>
    <phoneticPr fontId="8"/>
  </si>
  <si>
    <t>１丁目２番３２号</t>
    <phoneticPr fontId="8"/>
  </si>
  <si>
    <t>札幌市東区北９条東</t>
    <phoneticPr fontId="8"/>
  </si>
  <si>
    <t>１３丁目１番１号</t>
    <phoneticPr fontId="8"/>
  </si>
  <si>
    <t>札幌市東区北５１条東</t>
    <phoneticPr fontId="8"/>
  </si>
  <si>
    <t>１０丁目１番１号</t>
    <phoneticPr fontId="8"/>
  </si>
  <si>
    <t>札幌市東区北４７条東</t>
    <phoneticPr fontId="8"/>
  </si>
  <si>
    <t>札幌市東区北４６条東</t>
    <phoneticPr fontId="8"/>
  </si>
  <si>
    <t>１３丁目</t>
    <phoneticPr fontId="8"/>
  </si>
  <si>
    <t>札幌市東区北４２条東</t>
    <phoneticPr fontId="8"/>
  </si>
  <si>
    <t>１０丁目２番３号</t>
    <phoneticPr fontId="8"/>
  </si>
  <si>
    <t>札幌市東区北３９条東</t>
    <phoneticPr fontId="8"/>
  </si>
  <si>
    <t>札幌市東区北３７条東</t>
    <phoneticPr fontId="8"/>
  </si>
  <si>
    <t>２０丁目３番１号</t>
    <phoneticPr fontId="8"/>
  </si>
  <si>
    <t>札幌市東区北３６条東</t>
    <phoneticPr fontId="8"/>
  </si>
  <si>
    <t>１３丁目３－１</t>
  </si>
  <si>
    <t>札幌市東区北３３条東</t>
    <phoneticPr fontId="8"/>
  </si>
  <si>
    <t>札幌市東区北３１条東</t>
    <phoneticPr fontId="8"/>
  </si>
  <si>
    <t>１４丁目１－１</t>
    <phoneticPr fontId="8"/>
  </si>
  <si>
    <t>札幌市東区北２５条東</t>
    <phoneticPr fontId="8"/>
  </si>
  <si>
    <t>４丁目３－１</t>
    <phoneticPr fontId="8"/>
  </si>
  <si>
    <t>１７丁目１－１</t>
    <phoneticPr fontId="8"/>
  </si>
  <si>
    <t>札幌市東区北２１条東</t>
    <phoneticPr fontId="8"/>
  </si>
  <si>
    <t>２１丁目３番１号</t>
    <phoneticPr fontId="8"/>
  </si>
  <si>
    <t>札幌市東区北１９条東</t>
    <phoneticPr fontId="8"/>
  </si>
  <si>
    <t>１４丁目１番１号</t>
    <phoneticPr fontId="8"/>
  </si>
  <si>
    <t>札幌市東区北１８条東</t>
    <phoneticPr fontId="8"/>
  </si>
  <si>
    <t>６丁目１番１０号</t>
    <phoneticPr fontId="8"/>
  </si>
  <si>
    <t>札幌市東区北１２条東</t>
    <phoneticPr fontId="8"/>
  </si>
  <si>
    <t>６丁目１－１</t>
    <phoneticPr fontId="8"/>
  </si>
  <si>
    <t>札幌市東区伏古８条</t>
    <phoneticPr fontId="8"/>
  </si>
  <si>
    <t>５丁目２番１号</t>
    <phoneticPr fontId="8"/>
  </si>
  <si>
    <t>札幌市東区伏古１条</t>
    <phoneticPr fontId="8"/>
  </si>
  <si>
    <t>２丁目１－３１</t>
    <phoneticPr fontId="8"/>
  </si>
  <si>
    <t>札幌市東区伏古１１条</t>
    <phoneticPr fontId="8"/>
  </si>
  <si>
    <t>１丁目２－１０</t>
    <phoneticPr fontId="8"/>
  </si>
  <si>
    <t>札幌市東区東苗穂９条</t>
    <phoneticPr fontId="8"/>
  </si>
  <si>
    <t>３丁目２番３号</t>
    <phoneticPr fontId="8"/>
  </si>
  <si>
    <t>札幌市東区東苗穂７条</t>
    <phoneticPr fontId="8"/>
  </si>
  <si>
    <t>２丁目３番１号</t>
    <phoneticPr fontId="8"/>
  </si>
  <si>
    <t>札幌市東区東苗穂５条</t>
    <phoneticPr fontId="8"/>
  </si>
  <si>
    <t>２丁目３－１</t>
    <phoneticPr fontId="8"/>
  </si>
  <si>
    <t>札幌市東区東苗穂１３条</t>
    <phoneticPr fontId="8"/>
  </si>
  <si>
    <t>４丁目９－３０</t>
    <phoneticPr fontId="8"/>
  </si>
  <si>
    <t>札幌市東区中沼町</t>
    <phoneticPr fontId="8"/>
  </si>
  <si>
    <t>７３番地１０</t>
    <phoneticPr fontId="8"/>
  </si>
  <si>
    <t>札幌市東区中沼町</t>
    <phoneticPr fontId="8"/>
  </si>
  <si>
    <t>２４０番地</t>
    <phoneticPr fontId="8"/>
  </si>
  <si>
    <t>札幌市東区丘珠町</t>
    <phoneticPr fontId="8"/>
  </si>
  <si>
    <t>５９８番地</t>
    <phoneticPr fontId="8"/>
  </si>
  <si>
    <t>札幌市厚別区もみじ台西</t>
    <phoneticPr fontId="72"/>
  </si>
  <si>
    <t>３丁目４番１号</t>
    <phoneticPr fontId="8"/>
  </si>
  <si>
    <t>札幌市厚別区もみじ台東</t>
    <phoneticPr fontId="8"/>
  </si>
  <si>
    <t>４丁目５－１</t>
    <phoneticPr fontId="8"/>
  </si>
  <si>
    <t>札幌市厚別区厚別西３条</t>
    <phoneticPr fontId="8"/>
  </si>
  <si>
    <t>１丁目３－１</t>
    <phoneticPr fontId="8"/>
  </si>
  <si>
    <t>札幌市厚別区厚別西４条</t>
    <phoneticPr fontId="8"/>
  </si>
  <si>
    <t>３丁目１０番３０号</t>
    <phoneticPr fontId="8"/>
  </si>
  <si>
    <t>札幌市厚別区厚別中央２条</t>
    <phoneticPr fontId="8"/>
  </si>
  <si>
    <t>４丁目３番１号</t>
    <phoneticPr fontId="8"/>
  </si>
  <si>
    <t>札幌市厚別区厚別中央４条</t>
    <phoneticPr fontId="8"/>
  </si>
  <si>
    <t>３丁目６－１</t>
    <phoneticPr fontId="8"/>
  </si>
  <si>
    <t>札幌市厚別区厚別東２条</t>
    <phoneticPr fontId="8"/>
  </si>
  <si>
    <t>４丁目５番１号</t>
    <phoneticPr fontId="8"/>
  </si>
  <si>
    <t>札幌市厚別区厚別東４条</t>
    <phoneticPr fontId="8"/>
  </si>
  <si>
    <t>８丁目１番１号</t>
    <phoneticPr fontId="8"/>
  </si>
  <si>
    <t>札幌市厚別区厚別南</t>
    <phoneticPr fontId="8"/>
  </si>
  <si>
    <t>２丁目２１－２２</t>
    <phoneticPr fontId="8"/>
  </si>
  <si>
    <t>札幌市厚別区厚別北２条</t>
    <phoneticPr fontId="8"/>
  </si>
  <si>
    <t>３丁目３－１</t>
    <phoneticPr fontId="8"/>
  </si>
  <si>
    <t>札幌市厚別区大谷地東</t>
    <phoneticPr fontId="8"/>
  </si>
  <si>
    <t>５丁目８－１</t>
    <phoneticPr fontId="8"/>
  </si>
  <si>
    <t>南郷通</t>
    <phoneticPr fontId="8"/>
  </si>
  <si>
    <t>南郷通</t>
    <phoneticPr fontId="8"/>
  </si>
  <si>
    <t>平和通</t>
    <phoneticPr fontId="8"/>
  </si>
  <si>
    <t>平和通</t>
    <phoneticPr fontId="8"/>
  </si>
  <si>
    <t>本郷通</t>
    <phoneticPr fontId="8"/>
  </si>
  <si>
    <t>本郷通</t>
    <phoneticPr fontId="8"/>
  </si>
  <si>
    <t>本通</t>
    <phoneticPr fontId="8"/>
  </si>
  <si>
    <t>本通</t>
    <phoneticPr fontId="8"/>
  </si>
  <si>
    <t>南三十条西８丁目</t>
    <phoneticPr fontId="8"/>
  </si>
  <si>
    <t>011-644-3984</t>
    <phoneticPr fontId="8"/>
  </si>
  <si>
    <t>011-615-6936</t>
    <phoneticPr fontId="8"/>
  </si>
  <si>
    <t>011-261-5723</t>
    <phoneticPr fontId="8"/>
  </si>
  <si>
    <t>011-531-5295</t>
    <phoneticPr fontId="8"/>
  </si>
  <si>
    <t>011-551-6213</t>
    <phoneticPr fontId="8"/>
  </si>
  <si>
    <t xml:space="preserve">011-615-6579  </t>
    <phoneticPr fontId="8"/>
  </si>
  <si>
    <t>011-531-6754</t>
    <phoneticPr fontId="8"/>
  </si>
  <si>
    <t>011-615-6593</t>
    <phoneticPr fontId="8"/>
  </si>
  <si>
    <t>011-261-5762</t>
    <phoneticPr fontId="8"/>
  </si>
  <si>
    <t>011-615-6792</t>
    <phoneticPr fontId="8"/>
  </si>
  <si>
    <t>011-551-6178</t>
    <phoneticPr fontId="8"/>
  </si>
  <si>
    <t>011-615-7134</t>
    <phoneticPr fontId="8"/>
  </si>
  <si>
    <t>011-643-1133</t>
    <phoneticPr fontId="8"/>
  </si>
  <si>
    <t>011-631-6356</t>
    <phoneticPr fontId="8"/>
  </si>
  <si>
    <t>011-615-6895</t>
    <phoneticPr fontId="8"/>
  </si>
  <si>
    <t>011-551-2771</t>
    <phoneticPr fontId="8"/>
  </si>
  <si>
    <t>011-551-6265</t>
    <phoneticPr fontId="8"/>
  </si>
  <si>
    <t>011-532-8340</t>
    <phoneticPr fontId="8"/>
  </si>
  <si>
    <t xml:space="preserve">011-532-8341 </t>
    <phoneticPr fontId="8"/>
  </si>
  <si>
    <t xml:space="preserve">011-204-9811  </t>
    <phoneticPr fontId="8"/>
  </si>
  <si>
    <t>011-204-9815</t>
    <phoneticPr fontId="8"/>
  </si>
  <si>
    <t>011-681-3038</t>
  </si>
  <si>
    <t>011-681-7149</t>
  </si>
  <si>
    <t>011-681-2853</t>
  </si>
  <si>
    <t>011-681-7279</t>
  </si>
  <si>
    <t>011-681-4182</t>
  </si>
  <si>
    <t>011-681-7359</t>
  </si>
  <si>
    <t>011-681-2287</t>
  </si>
  <si>
    <t>011-681-7394</t>
  </si>
  <si>
    <t>011-682-8167</t>
  </si>
  <si>
    <t>011-682-2503</t>
  </si>
  <si>
    <t>011-683-3791</t>
  </si>
  <si>
    <t>011-683-4974</t>
  </si>
  <si>
    <t>011-683-3749</t>
  </si>
  <si>
    <t>011-683-6946</t>
  </si>
  <si>
    <t>011-684-0123</t>
  </si>
  <si>
    <t>011-684-3497</t>
  </si>
  <si>
    <t>011-682-8412</t>
  </si>
  <si>
    <t>011-682-8430</t>
  </si>
  <si>
    <t>011-694-4781</t>
  </si>
  <si>
    <t>011-694-0619</t>
  </si>
  <si>
    <t>011-681-4811</t>
  </si>
  <si>
    <t>011-681-7403</t>
  </si>
  <si>
    <t>011-685-3871</t>
  </si>
  <si>
    <t>011-685-2841</t>
  </si>
  <si>
    <t>011-662-7820</t>
  </si>
  <si>
    <t>011-661-9546</t>
  </si>
  <si>
    <t>011-694-4291</t>
  </si>
  <si>
    <t>011-694-0815</t>
  </si>
  <si>
    <t>011-684-3498</t>
  </si>
  <si>
    <t>011-684-5561</t>
    <phoneticPr fontId="8"/>
  </si>
  <si>
    <t>011-694-7580</t>
  </si>
  <si>
    <t>011-694-0651</t>
  </si>
  <si>
    <t>011-631-6306</t>
  </si>
  <si>
    <t>011-615-7296</t>
  </si>
  <si>
    <t>011-661-2521</t>
  </si>
  <si>
    <t>011-661-9457</t>
  </si>
  <si>
    <t>011-621-0439</t>
  </si>
  <si>
    <t>011-613-1957</t>
  </si>
  <si>
    <t>011-661-1516</t>
  </si>
  <si>
    <t>011-661-9467</t>
  </si>
  <si>
    <t>011-661-0397</t>
  </si>
  <si>
    <t>011-661-9504</t>
  </si>
  <si>
    <t>011-642-0155</t>
  </si>
  <si>
    <t>011-642-4946</t>
  </si>
  <si>
    <t>011-642-2855</t>
  </si>
  <si>
    <t>011-642-2869</t>
  </si>
  <si>
    <t>011-662-2012</t>
  </si>
  <si>
    <t>011-661-3130</t>
  </si>
  <si>
    <t>011-662-5227</t>
  </si>
  <si>
    <t>011-662-5240</t>
  </si>
  <si>
    <t>011-662-5811</t>
  </si>
  <si>
    <t>011-661-9242</t>
  </si>
  <si>
    <t>011-663-4088</t>
  </si>
  <si>
    <t>011-661-9247</t>
  </si>
  <si>
    <t>011-664-0152</t>
  </si>
  <si>
    <t>011-661-9249</t>
  </si>
  <si>
    <t>011-643-4352</t>
  </si>
  <si>
    <t>011-643-0849</t>
  </si>
  <si>
    <t>011-664-5551</t>
  </si>
  <si>
    <t>011-661-9471</t>
  </si>
  <si>
    <t>011-621-6771</t>
  </si>
  <si>
    <t>011-613-0149</t>
  </si>
  <si>
    <t>011-665-3031</t>
  </si>
  <si>
    <t>011-661-9497</t>
  </si>
  <si>
    <t>011-642-8603</t>
  </si>
  <si>
    <t>011-642-8414</t>
  </si>
  <si>
    <t>011-663-4384</t>
  </si>
  <si>
    <t>011-661-9498</t>
  </si>
  <si>
    <t>011-571-6011</t>
  </si>
  <si>
    <t>011-571-3831</t>
  </si>
  <si>
    <t>011-581-0188</t>
  </si>
  <si>
    <t>011-583-6002</t>
  </si>
  <si>
    <t>011-598-2604</t>
  </si>
  <si>
    <t>011-598-2504</t>
  </si>
  <si>
    <t>011-596-2852</t>
  </si>
  <si>
    <t>011-596-5795</t>
  </si>
  <si>
    <t>011-591-8880</t>
  </si>
  <si>
    <t>011-591-6704</t>
  </si>
  <si>
    <t>011-591-8158</t>
  </si>
  <si>
    <t>011-591-4937</t>
  </si>
  <si>
    <t>011-584-6533</t>
  </si>
  <si>
    <t>011-581-5942</t>
  </si>
  <si>
    <t>011-821-1141</t>
  </si>
  <si>
    <t>011-821-1142</t>
  </si>
  <si>
    <t>011-571-3511</t>
  </si>
  <si>
    <t>011-571-1629</t>
  </si>
  <si>
    <t>011-811-7785</t>
  </si>
  <si>
    <t>011-811-0326</t>
  </si>
  <si>
    <t>011-591-4110</t>
  </si>
  <si>
    <t>011-591-4909</t>
  </si>
  <si>
    <t>011-571-1096</t>
  </si>
  <si>
    <t>011-571-2769</t>
  </si>
  <si>
    <t>011-571-9620</t>
  </si>
  <si>
    <t>011-571-3937</t>
  </si>
  <si>
    <t>011-572-2101</t>
  </si>
  <si>
    <t>011-572-4049</t>
  </si>
  <si>
    <t>011-584-2115</t>
  </si>
  <si>
    <t>011-581-7804</t>
  </si>
  <si>
    <t>011-591-3495</t>
  </si>
  <si>
    <t>011-591-4942</t>
  </si>
  <si>
    <t>011-592-2120</t>
  </si>
  <si>
    <t>011-592-7349</t>
  </si>
  <si>
    <t>011-581-5291</t>
  </si>
  <si>
    <t>011-581-6984</t>
  </si>
  <si>
    <t>011-581-0221</t>
  </si>
  <si>
    <t>011-581-6927</t>
  </si>
  <si>
    <t>札幌市立石山緑小学校</t>
    <rPh sb="0" eb="3">
      <t>サッポロシ</t>
    </rPh>
    <rPh sb="3" eb="4">
      <t>リツ</t>
    </rPh>
    <rPh sb="4" eb="6">
      <t>イシヤマ</t>
    </rPh>
    <rPh sb="6" eb="7">
      <t>ミドリ</t>
    </rPh>
    <rPh sb="7" eb="10">
      <t>ショウガッコウ</t>
    </rPh>
    <phoneticPr fontId="8"/>
  </si>
  <si>
    <t>さっぽろしりついしやまみどりしょうがっこう</t>
    <phoneticPr fontId="8"/>
  </si>
  <si>
    <t>011-596-7505</t>
  </si>
  <si>
    <t>011-594-2210</t>
  </si>
  <si>
    <t>札幌市南区石山1条</t>
    <rPh sb="0" eb="3">
      <t>サッポロシ</t>
    </rPh>
    <rPh sb="3" eb="5">
      <t>ミナミク</t>
    </rPh>
    <phoneticPr fontId="8"/>
  </si>
  <si>
    <t>４丁目１−１</t>
    <phoneticPr fontId="8"/>
  </si>
  <si>
    <t>011-583-7810</t>
  </si>
  <si>
    <t>011-583-7774</t>
    <phoneticPr fontId="8"/>
  </si>
  <si>
    <t>011-881-2852</t>
  </si>
  <si>
    <t>011-881-6596</t>
  </si>
  <si>
    <t>011-881-2949</t>
  </si>
  <si>
    <t>011-881-9074</t>
  </si>
  <si>
    <t>011-881-2437</t>
  </si>
  <si>
    <t>011-881-3760</t>
  </si>
  <si>
    <t>011-881-8521</t>
  </si>
  <si>
    <t>011-881-9674</t>
  </si>
  <si>
    <t>011-881-1975</t>
  </si>
  <si>
    <t>011-881-9759</t>
  </si>
  <si>
    <t>011-882-5281</t>
  </si>
  <si>
    <t>011-882-2792</t>
  </si>
  <si>
    <t>011-881-8191</t>
  </si>
  <si>
    <t>011-881-4957</t>
  </si>
  <si>
    <t>011-883-3303</t>
  </si>
  <si>
    <t>011-883-0974</t>
  </si>
  <si>
    <t>011-883-7801</t>
  </si>
  <si>
    <t>011-883-9419</t>
  </si>
  <si>
    <t>011-882-7925</t>
  </si>
  <si>
    <t>011-882-2849</t>
  </si>
  <si>
    <t>011-884-1561</t>
  </si>
  <si>
    <t>011-884-0269</t>
  </si>
  <si>
    <t>011-884-6541</t>
  </si>
  <si>
    <t>011-884-0493</t>
  </si>
  <si>
    <t>011-884-9860</t>
  </si>
  <si>
    <t>011-884-0498</t>
  </si>
  <si>
    <t>011-885-9414</t>
  </si>
  <si>
    <t>011-885-9042</t>
  </si>
  <si>
    <t>011-886-5511</t>
  </si>
  <si>
    <t>011-886-5515</t>
  </si>
  <si>
    <t>011-891-2124</t>
  </si>
  <si>
    <t>011-891-0349</t>
  </si>
  <si>
    <t>011-898-0552</t>
  </si>
  <si>
    <t>011-898-2749</t>
  </si>
  <si>
    <t>011-891-4602</t>
  </si>
  <si>
    <t>011-891-0493</t>
  </si>
  <si>
    <t>011-892-4802</t>
  </si>
  <si>
    <t>011-892-4497</t>
  </si>
  <si>
    <t>011-892-5757</t>
  </si>
  <si>
    <t>011-892-5916</t>
  </si>
  <si>
    <t>011-894-3011</t>
  </si>
  <si>
    <t>011-894-1491</t>
  </si>
  <si>
    <t>011-894-7211</t>
  </si>
  <si>
    <t>011-894-1494</t>
  </si>
  <si>
    <t>011-892-7555</t>
  </si>
  <si>
    <t>011-892-7449</t>
  </si>
  <si>
    <t>011-898-4650</t>
  </si>
  <si>
    <t>011-898-6203</t>
  </si>
  <si>
    <t>011-805-1605</t>
  </si>
  <si>
    <t>011-897-0044</t>
  </si>
  <si>
    <t>011-803-7810</t>
  </si>
  <si>
    <t>011-898-3344</t>
  </si>
  <si>
    <t>011-893-5055</t>
  </si>
  <si>
    <t>011-893-3537</t>
  </si>
  <si>
    <t>011-891-2103</t>
  </si>
  <si>
    <t>011-891-0489</t>
  </si>
  <si>
    <t>ノホロの丘小学校</t>
    <rPh sb="4" eb="8">
      <t>オカショウガッコウ</t>
    </rPh>
    <phoneticPr fontId="8"/>
  </si>
  <si>
    <t>のほろのおかしょうがっこう</t>
    <phoneticPr fontId="8"/>
  </si>
  <si>
    <t>４丁目５−１</t>
    <phoneticPr fontId="8"/>
  </si>
  <si>
    <t>札幌市厚別区上野幌２条</t>
    <phoneticPr fontId="8"/>
  </si>
  <si>
    <t>004-0022</t>
    <phoneticPr fontId="8"/>
  </si>
  <si>
    <t>新札幌わかば小学校</t>
    <rPh sb="0" eb="3">
      <t>シンサッポロ</t>
    </rPh>
    <rPh sb="6" eb="9">
      <t>ショウガッコウ</t>
    </rPh>
    <phoneticPr fontId="8"/>
  </si>
  <si>
    <t>しんさっぽろわかばしょうがっこう</t>
    <phoneticPr fontId="8"/>
  </si>
  <si>
    <t>札幌市厚別区厚別南</t>
    <phoneticPr fontId="8"/>
  </si>
  <si>
    <t>７丁目９番１号</t>
    <phoneticPr fontId="8"/>
  </si>
  <si>
    <t>011-811-1218</t>
  </si>
  <si>
    <t>011-811-8138</t>
  </si>
  <si>
    <t>011-811-1330</t>
  </si>
  <si>
    <t>011-811-4148</t>
  </si>
  <si>
    <t>011-811-1382</t>
  </si>
  <si>
    <t>011-851-9348</t>
  </si>
  <si>
    <t>011-851-2358</t>
  </si>
  <si>
    <t>011-811-8128</t>
  </si>
  <si>
    <t>011-811-1521</t>
  </si>
  <si>
    <t>011-811-9558</t>
  </si>
  <si>
    <t>011-811-1534</t>
  </si>
  <si>
    <t>011-811-9485</t>
  </si>
  <si>
    <t>011-811-1557</t>
  </si>
  <si>
    <t>011-851-9673</t>
  </si>
  <si>
    <t>011-851-2564</t>
  </si>
  <si>
    <t>011-841-1561</t>
  </si>
  <si>
    <t>011-841-3479</t>
  </si>
  <si>
    <t>011-851-7924</t>
  </si>
  <si>
    <t>011-851-1619</t>
  </si>
  <si>
    <t>011-851-9353</t>
  </si>
  <si>
    <t>011-851-2723</t>
  </si>
  <si>
    <t>011-831-6530</t>
  </si>
  <si>
    <t>011-831-4803</t>
  </si>
  <si>
    <t>011-821-7971</t>
  </si>
  <si>
    <t>011-821-9937</t>
  </si>
  <si>
    <t>011-852-4090</t>
  </si>
  <si>
    <t>011-852-2379</t>
  </si>
  <si>
    <t>011-853-9314</t>
  </si>
  <si>
    <t>011-853-1378</t>
  </si>
  <si>
    <t>011-812-8164</t>
  </si>
  <si>
    <t>011-812-2165</t>
  </si>
  <si>
    <t>011-854-1318</t>
  </si>
  <si>
    <t>011-854-1428</t>
  </si>
  <si>
    <t>011-582-6350</t>
  </si>
  <si>
    <t>011-582-1590</t>
  </si>
  <si>
    <t>011-813-7751</t>
  </si>
  <si>
    <t>011-813-6205</t>
  </si>
  <si>
    <t>011-855-3406</t>
  </si>
  <si>
    <t>011-855-2319</t>
  </si>
  <si>
    <t>011-855-5456</t>
  </si>
  <si>
    <t>011-855-2357</t>
  </si>
  <si>
    <t>011-811-9588</t>
    <phoneticPr fontId="8"/>
  </si>
  <si>
    <t>011-811-8878</t>
  </si>
  <si>
    <t>011-811-1305</t>
  </si>
  <si>
    <t>011-861-9265</t>
  </si>
  <si>
    <t>011-861-2309</t>
  </si>
  <si>
    <t>011-811-2118</t>
  </si>
  <si>
    <t>011-811-2189</t>
  </si>
  <si>
    <t>011-863-5790</t>
  </si>
  <si>
    <t>011-863-0254</t>
  </si>
  <si>
    <t>011-861-4128</t>
  </si>
  <si>
    <t>011-861-2359</t>
  </si>
  <si>
    <t>011-861-9305</t>
  </si>
  <si>
    <t>011-861-9527</t>
  </si>
  <si>
    <t>011-861-8196</t>
  </si>
  <si>
    <t>011-861-8197</t>
  </si>
  <si>
    <t>011-821-6333</t>
  </si>
  <si>
    <t>011-821-6173</t>
  </si>
  <si>
    <t>011-872-6467</t>
  </si>
  <si>
    <t>011-872-4783</t>
  </si>
  <si>
    <t>011-864-0480</t>
  </si>
  <si>
    <t>011-864-5723</t>
  </si>
  <si>
    <t>011-871-1524</t>
  </si>
  <si>
    <t>011-871-3276</t>
  </si>
  <si>
    <t>011-864-2302</t>
  </si>
  <si>
    <t>011-864-5695</t>
  </si>
  <si>
    <t>011-874-3014</t>
  </si>
  <si>
    <t>011-874-4676</t>
  </si>
  <si>
    <t>011-812-2350</t>
  </si>
  <si>
    <t>011-812-2385</t>
  </si>
  <si>
    <t>011-863-0235</t>
  </si>
  <si>
    <t>011-863-0265</t>
  </si>
  <si>
    <t>011-863-0701</t>
  </si>
  <si>
    <t>011-863-0347</t>
  </si>
  <si>
    <t>011-872-3084</t>
  </si>
  <si>
    <t>011-872-4589</t>
  </si>
  <si>
    <t>011-872-5422</t>
  </si>
  <si>
    <t>011-872-4706</t>
  </si>
  <si>
    <t>011-875-7531</t>
  </si>
  <si>
    <t>011-875-4749</t>
  </si>
  <si>
    <t>011-874-8661</t>
  </si>
  <si>
    <t>011-874-4659</t>
  </si>
  <si>
    <t>011-721-5105</t>
  </si>
  <si>
    <t>011-721-5107</t>
  </si>
  <si>
    <t>011-721-0377</t>
  </si>
  <si>
    <t>011-742-7146</t>
  </si>
  <si>
    <t>011-721-5235</t>
  </si>
  <si>
    <t>011-742-6895</t>
  </si>
  <si>
    <t>011-781-5258</t>
  </si>
  <si>
    <t>011-783-8022</t>
  </si>
  <si>
    <t>011-781-7753</t>
  </si>
  <si>
    <t>011-783-8250</t>
  </si>
  <si>
    <t>011-781-2731</t>
  </si>
  <si>
    <t>011-783-8063</t>
  </si>
  <si>
    <t>011-731-2464</t>
  </si>
  <si>
    <t>011-742-7253</t>
  </si>
  <si>
    <t>011-791-4212</t>
  </si>
  <si>
    <t>011-791-8307</t>
  </si>
  <si>
    <t>011-791-0031</t>
  </si>
  <si>
    <t>011-791-8315</t>
  </si>
  <si>
    <t>011-721-5245</t>
  </si>
  <si>
    <t>011-721-5927</t>
  </si>
  <si>
    <t>011-781-8111</t>
  </si>
  <si>
    <t>011-783-8101</t>
  </si>
  <si>
    <t>011-731-8381</t>
  </si>
  <si>
    <t>011-742-7572</t>
  </si>
  <si>
    <t>011-742-6521</t>
  </si>
  <si>
    <t>011-742-9312</t>
  </si>
  <si>
    <t>011-781-8290</t>
  </si>
  <si>
    <t>011-783-5941</t>
  </si>
  <si>
    <t>011-751-1852</t>
  </si>
  <si>
    <t>011-751-0049</t>
  </si>
  <si>
    <t>011-752-7876</t>
  </si>
  <si>
    <t>011-752-0289</t>
  </si>
  <si>
    <t>011-752-5902</t>
  </si>
  <si>
    <t>011-752-0509</t>
  </si>
  <si>
    <t>011-753-2670</t>
  </si>
  <si>
    <t>011-751-0269</t>
  </si>
  <si>
    <t>011-791-3831</t>
  </si>
  <si>
    <t>011-791-8163</t>
  </si>
  <si>
    <t>011-782-8097</t>
  </si>
  <si>
    <t>011-783-5947</t>
  </si>
  <si>
    <t>011-781-1257</t>
  </si>
  <si>
    <t>011-783-5964</t>
  </si>
  <si>
    <t>011-783-5656</t>
  </si>
  <si>
    <t>011-783-8271</t>
  </si>
  <si>
    <t>011-783-4492</t>
  </si>
  <si>
    <t>011-783-5984</t>
  </si>
  <si>
    <t>011-752-4130</t>
  </si>
  <si>
    <t>011-752-0527</t>
  </si>
  <si>
    <t>011-753-5733</t>
  </si>
  <si>
    <t>011-751-0468</t>
  </si>
  <si>
    <t>011-781-9191</t>
  </si>
  <si>
    <t>011-783-7594</t>
  </si>
  <si>
    <t>011-784-3322</t>
  </si>
  <si>
    <t>011-784-2694</t>
  </si>
  <si>
    <t>011-792-2480</t>
  </si>
  <si>
    <t>011-792-4179</t>
  </si>
  <si>
    <t>北九条</t>
  </si>
  <si>
    <t>北9条西1丁目</t>
  </si>
  <si>
    <t>011-736-2564</t>
  </si>
  <si>
    <t>011-736-2565</t>
  </si>
  <si>
    <t>紺野高裕</t>
  </si>
  <si>
    <t>佐野浩志</t>
  </si>
  <si>
    <t>幌北</t>
  </si>
  <si>
    <t>北19条西2丁目</t>
  </si>
  <si>
    <t>011-726-2461</t>
  </si>
  <si>
    <t>011-716-0944</t>
  </si>
  <si>
    <t>永田明宏</t>
  </si>
  <si>
    <t>大山健一</t>
  </si>
  <si>
    <t>白楊</t>
  </si>
  <si>
    <t>北24条西7丁目</t>
  </si>
  <si>
    <t>011-726-4158</t>
  </si>
  <si>
    <t>011-716-4139</t>
  </si>
  <si>
    <t>礒島紀代恵</t>
  </si>
  <si>
    <t>照井志暢</t>
  </si>
  <si>
    <t>新琴似</t>
  </si>
  <si>
    <t>新琴似7条3丁目</t>
  </si>
  <si>
    <t>011-761-3178</t>
  </si>
  <si>
    <t>011-761-9716</t>
  </si>
  <si>
    <t>宮越政利</t>
  </si>
  <si>
    <t>鈴木秀和</t>
  </si>
  <si>
    <t>屯田</t>
  </si>
  <si>
    <t>屯田7条6丁目</t>
  </si>
  <si>
    <t>011-771-3151</t>
  </si>
  <si>
    <t>011-771-1275</t>
  </si>
  <si>
    <t>池崎恭俊</t>
  </si>
  <si>
    <t>小川央</t>
  </si>
  <si>
    <t>新川5条15丁目</t>
  </si>
  <si>
    <t>011-762-1737</t>
  </si>
  <si>
    <t>011-762-1795</t>
  </si>
  <si>
    <t>奥野晃弘</t>
  </si>
  <si>
    <t>岩清水剛志</t>
  </si>
  <si>
    <t>篠路</t>
  </si>
  <si>
    <t>篠路4条9丁目</t>
  </si>
  <si>
    <t>011-771-2221</t>
  </si>
  <si>
    <t>011-771-1290</t>
  </si>
  <si>
    <t>神谷敦</t>
  </si>
  <si>
    <t>加藤勝宏</t>
  </si>
  <si>
    <t>茨戸</t>
  </si>
  <si>
    <t>東茨戸1条2丁目</t>
  </si>
  <si>
    <t>011-771-2410</t>
  </si>
  <si>
    <t>011-771-1356</t>
  </si>
  <si>
    <t>菅野英之</t>
  </si>
  <si>
    <t>西宏</t>
  </si>
  <si>
    <t>鴻城</t>
  </si>
  <si>
    <t>あいの里3条6丁目</t>
  </si>
  <si>
    <t>011-770-5151</t>
  </si>
  <si>
    <t>011-778-3295</t>
  </si>
  <si>
    <t>石野清隆</t>
  </si>
  <si>
    <t>安友才勝</t>
  </si>
  <si>
    <t>和光</t>
  </si>
  <si>
    <t>北34条西7丁目</t>
  </si>
  <si>
    <t>011-736-7351</t>
  </si>
  <si>
    <t>011-736-7353</t>
  </si>
  <si>
    <t>高橋直之</t>
  </si>
  <si>
    <t>山口朱美</t>
  </si>
  <si>
    <t>光陽</t>
  </si>
  <si>
    <t>新琴似5条11丁目</t>
  </si>
  <si>
    <t>011-761-2521</t>
  </si>
  <si>
    <t>011-761-9612</t>
  </si>
  <si>
    <t>相内安津志</t>
  </si>
  <si>
    <t>八田博之</t>
  </si>
  <si>
    <t>新陽</t>
  </si>
  <si>
    <t>北27条西14丁目</t>
  </si>
  <si>
    <t>011-756-1538</t>
  </si>
  <si>
    <t>011-716-4357</t>
  </si>
  <si>
    <t>宮崎俊仁</t>
  </si>
  <si>
    <t>打矢伸介</t>
  </si>
  <si>
    <t>新琴似北</t>
  </si>
  <si>
    <t>新琴似11条6丁目</t>
  </si>
  <si>
    <t>011-762-1736</t>
  </si>
  <si>
    <t>011-762-1975</t>
  </si>
  <si>
    <t>久保幸範</t>
  </si>
  <si>
    <t>渡邉雅子</t>
  </si>
  <si>
    <t>新川中央</t>
  </si>
  <si>
    <t>新川3条3丁目</t>
  </si>
  <si>
    <t>011-761-1511</t>
  </si>
  <si>
    <t>011-761-9607</t>
  </si>
  <si>
    <t>三戸奉幸</t>
  </si>
  <si>
    <t>鳥丸俊郎</t>
  </si>
  <si>
    <t>新琴似西</t>
  </si>
  <si>
    <t>新琴似11条15丁目</t>
  </si>
  <si>
    <t>011-762-1127</t>
  </si>
  <si>
    <t>011-762-2975</t>
  </si>
  <si>
    <t>伊藤聡美</t>
  </si>
  <si>
    <t>小松雅征</t>
  </si>
  <si>
    <t>太平</t>
  </si>
  <si>
    <t>篠路1条2丁目</t>
  </si>
  <si>
    <t>011-771-1131</t>
  </si>
  <si>
    <t>011-771-1673</t>
  </si>
  <si>
    <t>永井智子</t>
  </si>
  <si>
    <t>大畑秀樹</t>
  </si>
  <si>
    <t>新琴似南</t>
  </si>
  <si>
    <t>新琴似1条3丁目</t>
  </si>
  <si>
    <t>011-762-3274</t>
  </si>
  <si>
    <t>011-762-1472</t>
  </si>
  <si>
    <t>川北俊哉</t>
  </si>
  <si>
    <t>星野孝英</t>
  </si>
  <si>
    <t>篠路西</t>
  </si>
  <si>
    <t>篠路5条2丁目</t>
  </si>
  <si>
    <t>011-772-0275</t>
  </si>
  <si>
    <t>011-772-5971</t>
  </si>
  <si>
    <t>高畑均</t>
  </si>
  <si>
    <t>中西研</t>
  </si>
  <si>
    <t>新光</t>
  </si>
  <si>
    <t>新琴似1条12丁目</t>
  </si>
  <si>
    <t>011-762-7990</t>
  </si>
  <si>
    <t>011-762-2619</t>
  </si>
  <si>
    <t>山本祐司</t>
  </si>
  <si>
    <t>松本昌也</t>
  </si>
  <si>
    <t>拓北</t>
  </si>
  <si>
    <t>あいの里2条1丁目</t>
  </si>
  <si>
    <t>011-772-7035</t>
  </si>
  <si>
    <t>011-772-5846</t>
  </si>
  <si>
    <t>島貫静</t>
  </si>
  <si>
    <t>南條徳一</t>
  </si>
  <si>
    <t>屯田南</t>
  </si>
  <si>
    <t>屯田5条4丁目</t>
  </si>
  <si>
    <t>011-772-0671</t>
  </si>
  <si>
    <t>011-772-5849</t>
  </si>
  <si>
    <t>中村義則</t>
  </si>
  <si>
    <t>高橋美保</t>
  </si>
  <si>
    <t>北陽</t>
  </si>
  <si>
    <t>北31条西9丁目</t>
  </si>
  <si>
    <t>011-716-1657</t>
  </si>
  <si>
    <t>011-716-4168</t>
  </si>
  <si>
    <t>松田諭知</t>
  </si>
  <si>
    <t>小野正二</t>
  </si>
  <si>
    <t>新琴似緑</t>
  </si>
  <si>
    <t>新琴似10条11丁目</t>
  </si>
  <si>
    <t>011-764-4452</t>
  </si>
  <si>
    <t>011-764-1732</t>
  </si>
  <si>
    <t>北浦亮子</t>
  </si>
  <si>
    <t>濱教文</t>
  </si>
  <si>
    <t>太平南</t>
  </si>
  <si>
    <t>太平1条1丁目</t>
  </si>
  <si>
    <t>011-772-0641</t>
  </si>
  <si>
    <t>011-772-5891</t>
  </si>
  <si>
    <t>石川篤司</t>
  </si>
  <si>
    <t>岡田光紀</t>
  </si>
  <si>
    <t>あいの里西</t>
  </si>
  <si>
    <t>あいの里2条3丁目</t>
  </si>
  <si>
    <t>011-778-2130</t>
  </si>
  <si>
    <t>011-778-3249</t>
  </si>
  <si>
    <t>冨波修</t>
  </si>
  <si>
    <t>須藤晶子</t>
  </si>
  <si>
    <t>屯田西</t>
  </si>
  <si>
    <t>屯田6条10丁目</t>
  </si>
  <si>
    <t>011-773-6105</t>
  </si>
  <si>
    <t>011-773-6149</t>
  </si>
  <si>
    <t>影山晃</t>
  </si>
  <si>
    <t>高橋新</t>
  </si>
  <si>
    <t>あいの里東</t>
  </si>
  <si>
    <t>あいの里3条7丁目</t>
  </si>
  <si>
    <t>011-778-2311</t>
  </si>
  <si>
    <t>011-778-2314</t>
  </si>
  <si>
    <t>椛澤裕子</t>
  </si>
  <si>
    <t>佐々木修治</t>
  </si>
  <si>
    <t>百合が原6丁目</t>
  </si>
  <si>
    <t>011-775-7680</t>
  </si>
  <si>
    <t>011-775-7682</t>
  </si>
  <si>
    <t>砂田宏幸</t>
  </si>
  <si>
    <t>渡邊要</t>
  </si>
  <si>
    <t>屯田北</t>
  </si>
  <si>
    <t>屯田9条3丁目</t>
  </si>
  <si>
    <t>011-776-3631</t>
  </si>
  <si>
    <t>011-776-3638</t>
  </si>
  <si>
    <t>永井敬仁</t>
  </si>
  <si>
    <t>坂野宏明</t>
  </si>
  <si>
    <t>ひまわり分校</t>
  </si>
  <si>
    <t>北14条西5丁目</t>
  </si>
  <si>
    <t>北大病院内</t>
  </si>
  <si>
    <t>011-716-5633</t>
  </si>
  <si>
    <t>011-716-5636</t>
  </si>
  <si>
    <t>島田貴弘</t>
  </si>
  <si>
    <t>011-778-0471</t>
    <phoneticPr fontId="8"/>
  </si>
  <si>
    <t>011-778-0640</t>
    <phoneticPr fontId="8"/>
  </si>
  <si>
    <t>号の規定に</t>
    <phoneticPr fontId="29"/>
  </si>
  <si>
    <t>【準】-1号　　準要保護の在籍児童生徒　※要保護は対象外</t>
    <rPh sb="1" eb="2">
      <t>ジュン</t>
    </rPh>
    <rPh sb="5" eb="6">
      <t>ゴウ</t>
    </rPh>
    <phoneticPr fontId="3"/>
  </si>
  <si>
    <t>【特】-2号　　特別支援学校・学級の在籍児童生徒</t>
    <rPh sb="1" eb="2">
      <t>トク</t>
    </rPh>
    <rPh sb="5" eb="6">
      <t>ゴウ</t>
    </rPh>
    <phoneticPr fontId="3"/>
  </si>
  <si>
    <t>【身】-3号　　身体障害者手帳所持の在籍児童生徒</t>
    <rPh sb="1" eb="2">
      <t>ミ</t>
    </rPh>
    <rPh sb="5" eb="6">
      <t>ゴウ</t>
    </rPh>
    <phoneticPr fontId="3"/>
  </si>
  <si>
    <t>【療】-4号　　療育手帳所持の在籍児童生徒</t>
    <rPh sb="1" eb="2">
      <t>リョウ</t>
    </rPh>
    <rPh sb="5" eb="6">
      <t>ゴウ</t>
    </rPh>
    <phoneticPr fontId="3"/>
  </si>
  <si>
    <t>【精】-5号　　精神障害者福祉手帳所持の在籍児童生徒</t>
    <rPh sb="1" eb="2">
      <t>セイ</t>
    </rPh>
    <rPh sb="5" eb="6">
      <t>ゴウ</t>
    </rPh>
    <phoneticPr fontId="3"/>
  </si>
  <si>
    <t>【介添】-7号　各種手帳所持者を引率する介護・介添引率者</t>
    <rPh sb="1" eb="3">
      <t>カイゾ</t>
    </rPh>
    <rPh sb="6" eb="7">
      <t>ゴウ</t>
    </rPh>
    <phoneticPr fontId="29"/>
  </si>
  <si>
    <t>準</t>
    <rPh sb="0" eb="1">
      <t>ジュン</t>
    </rPh>
    <phoneticPr fontId="29"/>
  </si>
  <si>
    <t>特</t>
    <rPh sb="0" eb="1">
      <t>トク</t>
    </rPh>
    <phoneticPr fontId="29"/>
  </si>
  <si>
    <t>身</t>
    <rPh sb="0" eb="1">
      <t>ミ</t>
    </rPh>
    <phoneticPr fontId="29"/>
  </si>
  <si>
    <t>療</t>
    <rPh sb="0" eb="1">
      <t>リョウ</t>
    </rPh>
    <phoneticPr fontId="29"/>
  </si>
  <si>
    <t>精</t>
    <rPh sb="0" eb="1">
      <t>セイ</t>
    </rPh>
    <phoneticPr fontId="29"/>
  </si>
  <si>
    <t>介添</t>
    <rPh sb="0" eb="2">
      <t>カイゾエ</t>
    </rPh>
    <phoneticPr fontId="29"/>
  </si>
  <si>
    <t>札幌市南区滝野</t>
    <rPh sb="0" eb="3">
      <t>サッポロシ</t>
    </rPh>
    <rPh sb="3" eb="5">
      <t>ミナミク</t>
    </rPh>
    <rPh sb="5" eb="7">
      <t>タキノ</t>
    </rPh>
    <phoneticPr fontId="8"/>
  </si>
  <si>
    <t>011-591-0303</t>
    <phoneticPr fontId="8"/>
  </si>
  <si>
    <t>011-591-0394</t>
    <phoneticPr fontId="8"/>
  </si>
  <si>
    <t>12</t>
    <phoneticPr fontId="3"/>
  </si>
  <si>
    <t>13</t>
    <phoneticPr fontId="3"/>
  </si>
  <si>
    <t>13</t>
    <phoneticPr fontId="3"/>
  </si>
  <si>
    <t>月</t>
    <rPh sb="0" eb="1">
      <t>ゲツ</t>
    </rPh>
    <phoneticPr fontId="3"/>
  </si>
  <si>
    <t>火</t>
    <rPh sb="0" eb="1">
      <t>ヒ</t>
    </rPh>
    <phoneticPr fontId="3"/>
  </si>
  <si>
    <t>通常食</t>
    <rPh sb="0" eb="2">
      <t>ツウジョウ</t>
    </rPh>
    <rPh sb="2" eb="3">
      <t>ショク</t>
    </rPh>
    <phoneticPr fontId="28"/>
  </si>
  <si>
    <t>朝　食</t>
    <rPh sb="0" eb="1">
      <t>アサ</t>
    </rPh>
    <rPh sb="2" eb="3">
      <t>ショク</t>
    </rPh>
    <phoneticPr fontId="28"/>
  </si>
  <si>
    <t>食堂</t>
    <rPh sb="0" eb="2">
      <t>ショクドウ</t>
    </rPh>
    <phoneticPr fontId="28"/>
  </si>
  <si>
    <t>携帯食</t>
    <rPh sb="0" eb="3">
      <t>ケイタイショク</t>
    </rPh>
    <phoneticPr fontId="28"/>
  </si>
  <si>
    <t>●</t>
    <phoneticPr fontId="28"/>
  </si>
  <si>
    <t>1名減</t>
    <rPh sb="1" eb="2">
      <t>メイ</t>
    </rPh>
    <rPh sb="2" eb="3">
      <t>ゲン</t>
    </rPh>
    <phoneticPr fontId="28"/>
  </si>
  <si>
    <t>1名増</t>
    <rPh sb="1" eb="2">
      <t>メイ</t>
    </rPh>
    <rPh sb="2" eb="3">
      <t>ゾウ</t>
    </rPh>
    <phoneticPr fontId="28"/>
  </si>
  <si>
    <t>南区　二朗</t>
    <rPh sb="0" eb="2">
      <t>ミナミク</t>
    </rPh>
    <rPh sb="3" eb="5">
      <t>ジロウ</t>
    </rPh>
    <phoneticPr fontId="3"/>
  </si>
  <si>
    <t>12</t>
    <phoneticPr fontId="3"/>
  </si>
  <si>
    <t>札幌市立青少年山の家小学校（教員）</t>
    <rPh sb="0" eb="4">
      <t>サッポロシリツ</t>
    </rPh>
    <rPh sb="4" eb="7">
      <t>セイショウネン</t>
    </rPh>
    <rPh sb="7" eb="8">
      <t>ヤマ</t>
    </rPh>
    <rPh sb="9" eb="10">
      <t>イエ</t>
    </rPh>
    <rPh sb="10" eb="13">
      <t>ショウガッコウ</t>
    </rPh>
    <rPh sb="14" eb="16">
      <t>キョウイン</t>
    </rPh>
    <phoneticPr fontId="3"/>
  </si>
  <si>
    <t>札幌市立青少年山の家小学校（児童）</t>
    <rPh sb="0" eb="4">
      <t>サッポロシリツ</t>
    </rPh>
    <rPh sb="4" eb="7">
      <t>セイショウネン</t>
    </rPh>
    <rPh sb="7" eb="8">
      <t>ヤマ</t>
    </rPh>
    <rPh sb="9" eb="10">
      <t>イエ</t>
    </rPh>
    <rPh sb="10" eb="13">
      <t>ショウガッコウ</t>
    </rPh>
    <rPh sb="14" eb="16">
      <t>ジドウ</t>
    </rPh>
    <phoneticPr fontId="3"/>
  </si>
  <si>
    <t>学校資金前渡職員　青少年山の家小学校長　山の家太郎</t>
    <phoneticPr fontId="3"/>
  </si>
  <si>
    <t>保護者（野牛　沢子）</t>
    <rPh sb="0" eb="3">
      <t>ホゴシャ</t>
    </rPh>
    <rPh sb="4" eb="6">
      <t>ヤギュウ</t>
    </rPh>
    <rPh sb="7" eb="8">
      <t>サワ</t>
    </rPh>
    <rPh sb="8" eb="9">
      <t>コ</t>
    </rPh>
    <phoneticPr fontId="3"/>
  </si>
  <si>
    <t>引泊/介添</t>
    <rPh sb="0" eb="1">
      <t>イン</t>
    </rPh>
    <rPh sb="1" eb="2">
      <t>ハク</t>
    </rPh>
    <rPh sb="3" eb="5">
      <t>カイゾ</t>
    </rPh>
    <phoneticPr fontId="8"/>
  </si>
  <si>
    <t>滝野くまげら写真館　（カメラマン）　</t>
    <rPh sb="0" eb="2">
      <t>タキノ</t>
    </rPh>
    <rPh sb="6" eb="9">
      <t>シャシンカン</t>
    </rPh>
    <phoneticPr fontId="3"/>
  </si>
  <si>
    <t>小泊/準</t>
    <rPh sb="0" eb="1">
      <t>ショウ</t>
    </rPh>
    <rPh sb="1" eb="2">
      <t>ハク</t>
    </rPh>
    <rPh sb="3" eb="4">
      <t>ジュン</t>
    </rPh>
    <phoneticPr fontId="8"/>
  </si>
  <si>
    <t>※「欠席等による人数・食数の変更」は、必ず【05　利用者名簿】から修正してください</t>
    <rPh sb="2" eb="4">
      <t>ケッセキ</t>
    </rPh>
    <rPh sb="4" eb="5">
      <t>トウ</t>
    </rPh>
    <rPh sb="8" eb="10">
      <t>ニンズウ</t>
    </rPh>
    <rPh sb="11" eb="13">
      <t>ショクスウ</t>
    </rPh>
    <rPh sb="14" eb="16">
      <t>ヘンコウ</t>
    </rPh>
    <rPh sb="19" eb="20">
      <t>カナラ</t>
    </rPh>
    <rPh sb="25" eb="28">
      <t>リヨウシャ</t>
    </rPh>
    <rPh sb="28" eb="30">
      <t>メイボ</t>
    </rPh>
    <rPh sb="33" eb="35">
      <t>シュウセイ</t>
    </rPh>
    <phoneticPr fontId="3"/>
  </si>
  <si>
    <t>昼</t>
    <rPh sb="0" eb="1">
      <t>ヒル</t>
    </rPh>
    <phoneticPr fontId="3"/>
  </si>
  <si>
    <t>夕】通常食（小学生）</t>
    <rPh sb="0" eb="1">
      <t>ユウ</t>
    </rPh>
    <rPh sb="2" eb="4">
      <t>ツウジョウ</t>
    </rPh>
    <rPh sb="4" eb="5">
      <t>ショク</t>
    </rPh>
    <rPh sb="6" eb="9">
      <t>ショウガクセイ</t>
    </rPh>
    <phoneticPr fontId="3"/>
  </si>
  <si>
    <t>夕】通常食（中学生以上）</t>
    <rPh sb="0" eb="1">
      <t>ユウ</t>
    </rPh>
    <rPh sb="2" eb="4">
      <t>ツウジョウ</t>
    </rPh>
    <rPh sb="4" eb="5">
      <t>ショク</t>
    </rPh>
    <rPh sb="6" eb="9">
      <t>チュウガクセイ</t>
    </rPh>
    <rPh sb="9" eb="11">
      <t>イジョウ</t>
    </rPh>
    <phoneticPr fontId="3"/>
  </si>
  <si>
    <t>夕</t>
    <rPh sb="0" eb="1">
      <t>ユウ</t>
    </rPh>
    <phoneticPr fontId="3"/>
  </si>
  <si>
    <t>朝</t>
    <rPh sb="0" eb="1">
      <t>アサ</t>
    </rPh>
    <phoneticPr fontId="3"/>
  </si>
  <si>
    <t>朝】通常食（小学生）</t>
    <rPh sb="0" eb="1">
      <t>アサ</t>
    </rPh>
    <rPh sb="2" eb="4">
      <t>ツウジョウ</t>
    </rPh>
    <rPh sb="4" eb="5">
      <t>ショク</t>
    </rPh>
    <rPh sb="6" eb="9">
      <t>ショウガクセイ</t>
    </rPh>
    <phoneticPr fontId="3"/>
  </si>
  <si>
    <t>朝】通常食（中学生以上）</t>
    <rPh sb="0" eb="1">
      <t>アサ</t>
    </rPh>
    <rPh sb="2" eb="5">
      <t>ツウジョウショク</t>
    </rPh>
    <rPh sb="6" eb="11">
      <t>チュウガクセイイジョウ</t>
    </rPh>
    <phoneticPr fontId="3"/>
  </si>
  <si>
    <t>●</t>
    <phoneticPr fontId="29"/>
  </si>
  <si>
    <t>●</t>
    <phoneticPr fontId="29"/>
  </si>
  <si>
    <t>9</t>
    <phoneticPr fontId="3"/>
  </si>
  <si>
    <t>使　用　期　間</t>
    <rPh sb="0" eb="1">
      <t>シ</t>
    </rPh>
    <rPh sb="2" eb="3">
      <t>ヨウ</t>
    </rPh>
    <rPh sb="4" eb="5">
      <t>キ</t>
    </rPh>
    <rPh sb="6" eb="7">
      <t>アイダ</t>
    </rPh>
    <phoneticPr fontId="3"/>
  </si>
  <si>
    <t>使　用　目　的</t>
    <rPh sb="0" eb="1">
      <t>シ</t>
    </rPh>
    <rPh sb="2" eb="3">
      <t>ヨウ</t>
    </rPh>
    <rPh sb="4" eb="5">
      <t>メ</t>
    </rPh>
    <rPh sb="6" eb="7">
      <t>マト</t>
    </rPh>
    <phoneticPr fontId="3"/>
  </si>
  <si>
    <t>減 免 申 請 人 数</t>
    <rPh sb="0" eb="1">
      <t>ゲン</t>
    </rPh>
    <rPh sb="2" eb="3">
      <t>メン</t>
    </rPh>
    <rPh sb="4" eb="5">
      <t>サル</t>
    </rPh>
    <rPh sb="6" eb="7">
      <t>ショウ</t>
    </rPh>
    <rPh sb="8" eb="9">
      <t>ヒト</t>
    </rPh>
    <rPh sb="10" eb="11">
      <t>スウ</t>
    </rPh>
    <phoneticPr fontId="3"/>
  </si>
  <si>
    <t>減 免 申 請 理 由</t>
    <rPh sb="0" eb="1">
      <t>ゲン</t>
    </rPh>
    <rPh sb="2" eb="3">
      <t>メン</t>
    </rPh>
    <rPh sb="4" eb="5">
      <t>サル</t>
    </rPh>
    <rPh sb="6" eb="7">
      <t>ショウ</t>
    </rPh>
    <rPh sb="8" eb="9">
      <t>リ</t>
    </rPh>
    <rPh sb="10" eb="11">
      <t>ヨシ</t>
    </rPh>
    <phoneticPr fontId="3"/>
  </si>
  <si>
    <t>011-591-0303</t>
    <phoneticPr fontId="3"/>
  </si>
  <si>
    <t>小泊/準</t>
    <rPh sb="0" eb="1">
      <t>ショウ</t>
    </rPh>
    <rPh sb="1" eb="2">
      <t>ハク</t>
    </rPh>
    <rPh sb="3" eb="4">
      <t>ジュン</t>
    </rPh>
    <phoneticPr fontId="29"/>
  </si>
  <si>
    <t>小泊/準・特・療</t>
    <phoneticPr fontId="29"/>
  </si>
  <si>
    <t>引泊/介添</t>
    <rPh sb="0" eb="1">
      <t>イン</t>
    </rPh>
    <rPh sb="1" eb="2">
      <t>ハク</t>
    </rPh>
    <rPh sb="3" eb="5">
      <t>カイゾエ</t>
    </rPh>
    <phoneticPr fontId="29"/>
  </si>
  <si>
    <t>　　上記の申請について、札幌市青少年山の家使用料減免取扱要領　第2条　第　　</t>
    <rPh sb="2" eb="4">
      <t>ジョウキ</t>
    </rPh>
    <rPh sb="5" eb="7">
      <t>シンセイ</t>
    </rPh>
    <rPh sb="12" eb="19">
      <t>サッポロシセイショウネンヤマ</t>
    </rPh>
    <rPh sb="20" eb="21">
      <t>イエ</t>
    </rPh>
    <rPh sb="21" eb="24">
      <t>シヨウリョウ</t>
    </rPh>
    <rPh sb="24" eb="26">
      <t>ゲンメン</t>
    </rPh>
    <rPh sb="26" eb="28">
      <t>トリアツカイ</t>
    </rPh>
    <rPh sb="28" eb="30">
      <t>ヨウリョウ</t>
    </rPh>
    <rPh sb="31" eb="32">
      <t>ダイ</t>
    </rPh>
    <rPh sb="33" eb="34">
      <t>ジョウ</t>
    </rPh>
    <rPh sb="35" eb="36">
      <t>ダイ</t>
    </rPh>
    <phoneticPr fontId="3"/>
  </si>
  <si>
    <t>8</t>
    <phoneticPr fontId="3"/>
  </si>
  <si>
    <t>※　補助的指導者のうちの１名を代表者としてください。　　　　　　　　　　　　
代表者も使用者名簿に氏名をご記入ください。</t>
    <rPh sb="39" eb="42">
      <t>ダイヒョウシャ</t>
    </rPh>
    <rPh sb="43" eb="46">
      <t>シヨウシャ</t>
    </rPh>
    <rPh sb="46" eb="48">
      <t>メイボ</t>
    </rPh>
    <rPh sb="49" eb="51">
      <t>シメイ</t>
    </rPh>
    <rPh sb="53" eb="55">
      <t>キニュウ</t>
    </rPh>
    <phoneticPr fontId="3"/>
  </si>
  <si>
    <t>火野　神様</t>
    <rPh sb="0" eb="2">
      <t>ヒノ</t>
    </rPh>
    <rPh sb="3" eb="5">
      <t>カミサマ</t>
    </rPh>
    <phoneticPr fontId="3"/>
  </si>
  <si>
    <t>月</t>
    <rPh sb="0" eb="1">
      <t>ゲツ</t>
    </rPh>
    <phoneticPr fontId="8"/>
  </si>
  <si>
    <t>火</t>
    <rPh sb="0" eb="1">
      <t>ヒ</t>
    </rPh>
    <phoneticPr fontId="8"/>
  </si>
  <si>
    <t>12</t>
    <phoneticPr fontId="8"/>
  </si>
  <si>
    <t>011-591-0303</t>
    <phoneticPr fontId="3"/>
  </si>
  <si>
    <t>13</t>
    <phoneticPr fontId="3"/>
  </si>
  <si>
    <t>炊き出し</t>
    <rPh sb="0" eb="1">
      <t>タ</t>
    </rPh>
    <rPh sb="2" eb="3">
      <t>ダ</t>
    </rPh>
    <phoneticPr fontId="3"/>
  </si>
  <si>
    <t>　　について、下記のとおり報告します。</t>
    <rPh sb="7" eb="9">
      <t>カキ</t>
    </rPh>
    <rPh sb="13" eb="15">
      <t>ホウコク</t>
    </rPh>
    <phoneticPr fontId="3"/>
  </si>
  <si>
    <t>　利用日変更</t>
    <rPh sb="1" eb="4">
      <t>リヨウビ</t>
    </rPh>
    <rPh sb="4" eb="6">
      <t>ヘンコウ</t>
    </rPh>
    <phoneticPr fontId="3"/>
  </si>
  <si>
    <t>防災炊事</t>
    <rPh sb="0" eb="4">
      <t>ボウサイスイジ</t>
    </rPh>
    <phoneticPr fontId="28"/>
  </si>
  <si>
    <t>（PET500ml）
健康ミネラル麦茶</t>
    <rPh sb="11" eb="13">
      <t>ケンコウ</t>
    </rPh>
    <rPh sb="17" eb="19">
      <t>ムギチャ</t>
    </rPh>
    <phoneticPr fontId="28"/>
  </si>
  <si>
    <t>（PET500ml）
アクエリアス</t>
    <phoneticPr fontId="28"/>
  </si>
  <si>
    <t>（PET500ml）
いろはす</t>
    <phoneticPr fontId="28"/>
  </si>
  <si>
    <t>（紙パック200ml）
健康ミネラル麦茶</t>
    <rPh sb="1" eb="2">
      <t>カミ</t>
    </rPh>
    <rPh sb="12" eb="14">
      <t>ケンコウ</t>
    </rPh>
    <rPh sb="18" eb="20">
      <t>ムギチャ</t>
    </rPh>
    <phoneticPr fontId="28"/>
  </si>
  <si>
    <t>（紙パック200ml）
りんごmix100％</t>
    <rPh sb="1" eb="2">
      <t>カミ</t>
    </rPh>
    <phoneticPr fontId="28"/>
  </si>
  <si>
    <t>（紙パック200ml）
オレンジmix100％</t>
    <rPh sb="1" eb="2">
      <t>カミ</t>
    </rPh>
    <phoneticPr fontId="28"/>
  </si>
  <si>
    <t>昼　食キッズ幼児</t>
    <rPh sb="0" eb="1">
      <t>ヒル</t>
    </rPh>
    <rPh sb="2" eb="3">
      <t>ショク</t>
    </rPh>
    <rPh sb="6" eb="8">
      <t>ヨウジ</t>
    </rPh>
    <phoneticPr fontId="28"/>
  </si>
  <si>
    <t>昼　食キッズ小学生</t>
    <rPh sb="0" eb="1">
      <t>ヒル</t>
    </rPh>
    <rPh sb="2" eb="3">
      <t>ショク</t>
    </rPh>
    <rPh sb="6" eb="9">
      <t>ショウガクセイ</t>
    </rPh>
    <phoneticPr fontId="28"/>
  </si>
  <si>
    <t>夕　食キッズ幼児</t>
    <phoneticPr fontId="28"/>
  </si>
  <si>
    <t>昼　食キッズ中学生以上</t>
    <rPh sb="0" eb="1">
      <t>ヒル</t>
    </rPh>
    <rPh sb="2" eb="3">
      <t>ショク</t>
    </rPh>
    <rPh sb="6" eb="9">
      <t>チュウガクセイ</t>
    </rPh>
    <rPh sb="9" eb="11">
      <t>イジョウ</t>
    </rPh>
    <phoneticPr fontId="28"/>
  </si>
  <si>
    <t>夕　食キッズ小学生</t>
    <phoneticPr fontId="28"/>
  </si>
  <si>
    <t>夕　食キッズ中学生以上</t>
    <rPh sb="0" eb="1">
      <t>ユウ</t>
    </rPh>
    <rPh sb="2" eb="3">
      <t>ショク</t>
    </rPh>
    <rPh sb="6" eb="9">
      <t>チュウガクセイ</t>
    </rPh>
    <rPh sb="9" eb="11">
      <t>イジョウ</t>
    </rPh>
    <phoneticPr fontId="28"/>
  </si>
  <si>
    <t>朝　食キッズ幼児</t>
    <rPh sb="0" eb="1">
      <t>アサ</t>
    </rPh>
    <rPh sb="2" eb="3">
      <t>ショク</t>
    </rPh>
    <rPh sb="6" eb="8">
      <t>ヨウジ</t>
    </rPh>
    <phoneticPr fontId="28"/>
  </si>
  <si>
    <t>朝　食キッズ小学生</t>
    <rPh sb="0" eb="1">
      <t>アサ</t>
    </rPh>
    <rPh sb="2" eb="3">
      <t>ショク</t>
    </rPh>
    <rPh sb="6" eb="9">
      <t>ショウガクセイ</t>
    </rPh>
    <phoneticPr fontId="28"/>
  </si>
  <si>
    <t>朝　食キッズ中学生以上</t>
    <rPh sb="0" eb="1">
      <t>アサ</t>
    </rPh>
    <rPh sb="2" eb="3">
      <t>ショク</t>
    </rPh>
    <rPh sb="6" eb="9">
      <t>チュウガクセイ</t>
    </rPh>
    <rPh sb="9" eb="11">
      <t>イジョウ</t>
    </rPh>
    <phoneticPr fontId="28"/>
  </si>
  <si>
    <t>　昼】キッズ(幼児)</t>
    <rPh sb="1" eb="2">
      <t>ヒル</t>
    </rPh>
    <rPh sb="7" eb="9">
      <t>ヨウジ</t>
    </rPh>
    <phoneticPr fontId="3"/>
  </si>
  <si>
    <t>　昼】キッズ(小学生)</t>
    <rPh sb="1" eb="2">
      <t>ヒル</t>
    </rPh>
    <rPh sb="7" eb="10">
      <t>ショウガクセイ</t>
    </rPh>
    <phoneticPr fontId="3"/>
  </si>
  <si>
    <t>　昼】キッズ(中学生以上)</t>
    <rPh sb="1" eb="2">
      <t>ヒル</t>
    </rPh>
    <rPh sb="7" eb="10">
      <t>チュウガクセイ</t>
    </rPh>
    <rPh sb="10" eb="12">
      <t>イジョウ</t>
    </rPh>
    <phoneticPr fontId="3"/>
  </si>
  <si>
    <t>　夕】キッズ(幼児)</t>
    <rPh sb="1" eb="2">
      <t>ユウ</t>
    </rPh>
    <rPh sb="7" eb="9">
      <t>ヨウジ</t>
    </rPh>
    <phoneticPr fontId="3"/>
  </si>
  <si>
    <t>　夕】キッズ(小学生)</t>
    <rPh sb="1" eb="2">
      <t>ユウ</t>
    </rPh>
    <rPh sb="7" eb="10">
      <t>ショウガクセイ</t>
    </rPh>
    <phoneticPr fontId="3"/>
  </si>
  <si>
    <t>　夕】キッズ(中学生以上)</t>
    <rPh sb="1" eb="2">
      <t>ユウ</t>
    </rPh>
    <rPh sb="7" eb="10">
      <t>チュウガクセイ</t>
    </rPh>
    <rPh sb="10" eb="12">
      <t>イジョウ</t>
    </rPh>
    <phoneticPr fontId="3"/>
  </si>
  <si>
    <t>　朝】キッズ(幼児)</t>
    <rPh sb="1" eb="2">
      <t>アサ</t>
    </rPh>
    <rPh sb="7" eb="9">
      <t>ヨウジ</t>
    </rPh>
    <phoneticPr fontId="3"/>
  </si>
  <si>
    <t>　朝】キッズ(小学生)</t>
    <rPh sb="1" eb="2">
      <t>アサ</t>
    </rPh>
    <rPh sb="7" eb="10">
      <t>ショウガクセイ</t>
    </rPh>
    <phoneticPr fontId="3"/>
  </si>
  <si>
    <t>　朝】キッズ(中学生以上)</t>
    <rPh sb="1" eb="2">
      <t>アサ</t>
    </rPh>
    <rPh sb="7" eb="10">
      <t>チュウガクセイ</t>
    </rPh>
    <rPh sb="10" eb="12">
      <t>イジョウ</t>
    </rPh>
    <phoneticPr fontId="3"/>
  </si>
  <si>
    <t>　（紙パック200ml）
健康ミネラル麦茶</t>
    <rPh sb="2" eb="3">
      <t>カミ</t>
    </rPh>
    <rPh sb="13" eb="15">
      <t>ケンコウ</t>
    </rPh>
    <rPh sb="19" eb="21">
      <t>ムギチャ</t>
    </rPh>
    <phoneticPr fontId="3"/>
  </si>
  <si>
    <t>（紙パック200ml）
健康ミネラル麦茶</t>
    <phoneticPr fontId="28"/>
  </si>
  <si>
    <t>（紙パック200ml）
りんごmix100％</t>
    <phoneticPr fontId="28"/>
  </si>
  <si>
    <t>　（紙パック200ml）
りんごmix100％</t>
    <phoneticPr fontId="3"/>
  </si>
  <si>
    <t>　（紙パック200ml）
オレンジmix100％</t>
    <phoneticPr fontId="3"/>
  </si>
  <si>
    <t>　（PET500ml）
健康ミネラル麦茶</t>
    <phoneticPr fontId="3"/>
  </si>
  <si>
    <t>　（PET500ml）
アクエリアス</t>
    <phoneticPr fontId="3"/>
  </si>
  <si>
    <t>（PET500ml）
健康ミネラル麦茶</t>
    <phoneticPr fontId="28"/>
  </si>
  <si>
    <t>（紙パック200ml）
オレンジmix100％</t>
    <phoneticPr fontId="28"/>
  </si>
  <si>
    <t>（PET500ml）
いろはす</t>
    <phoneticPr fontId="3"/>
  </si>
  <si>
    <t>　防災炊事</t>
    <rPh sb="1" eb="5">
      <t>ボウサイスイジ</t>
    </rPh>
    <phoneticPr fontId="28"/>
  </si>
  <si>
    <t>　防災炊事</t>
    <rPh sb="1" eb="5">
      <t>ボウサイスイジ</t>
    </rPh>
    <phoneticPr fontId="3"/>
  </si>
  <si>
    <t>　昼】キッズ(中学生以上)</t>
    <rPh sb="1" eb="2">
      <t>ヒル</t>
    </rPh>
    <rPh sb="6" eb="9">
      <t>チュウガクセイ</t>
    </rPh>
    <rPh sb="9" eb="11">
      <t>イジョウ</t>
    </rPh>
    <phoneticPr fontId="3"/>
  </si>
  <si>
    <t>携帯弁当（鮭・梅）</t>
    <rPh sb="0" eb="2">
      <t>ケイタイ</t>
    </rPh>
    <rPh sb="2" eb="4">
      <t>ベントウ</t>
    </rPh>
    <rPh sb="5" eb="6">
      <t>サケ</t>
    </rPh>
    <rPh sb="7" eb="8">
      <t>ウメ</t>
    </rPh>
    <phoneticPr fontId="28"/>
  </si>
  <si>
    <t>携帯弁当（塩・塩）</t>
    <rPh sb="0" eb="4">
      <t>ケイタイベントウ</t>
    </rPh>
    <rPh sb="5" eb="6">
      <t>シオ</t>
    </rPh>
    <rPh sb="7" eb="8">
      <t>シオ</t>
    </rPh>
    <phoneticPr fontId="28"/>
  </si>
  <si>
    <t>（PET500ｍｌ）
アクエリアス</t>
    <phoneticPr fontId="28"/>
  </si>
  <si>
    <t>（PET500ｍｌ）
健康ミネラル麦茶</t>
    <rPh sb="11" eb="13">
      <t>ケンコウ</t>
    </rPh>
    <rPh sb="17" eb="19">
      <t>ムギチャ</t>
    </rPh>
    <phoneticPr fontId="28"/>
  </si>
  <si>
    <t>令和３</t>
    <rPh sb="0" eb="2">
      <t>レイワ</t>
    </rPh>
    <phoneticPr fontId="3"/>
  </si>
  <si>
    <t>　注意④：総食数が２０食に満たない場合は個別食となります。</t>
    <rPh sb="1" eb="3">
      <t>チュウイ</t>
    </rPh>
    <phoneticPr fontId="3"/>
  </si>
  <si>
    <t>　注意⑥：キッズメニューと通常食の同時注文はできません。</t>
    <rPh sb="1" eb="3">
      <t>チュウイ</t>
    </rPh>
    <rPh sb="13" eb="15">
      <t>ツウジョウ</t>
    </rPh>
    <rPh sb="15" eb="16">
      <t>ショク</t>
    </rPh>
    <rPh sb="17" eb="19">
      <t>ドウジ</t>
    </rPh>
    <rPh sb="19" eb="21">
      <t>チュウモン</t>
    </rPh>
    <phoneticPr fontId="3"/>
  </si>
  <si>
    <r>
      <t>　注意②：食数は、すべてのメニューにおいて、</t>
    </r>
    <r>
      <rPr>
        <b/>
        <u/>
        <sz val="11"/>
        <rFont val="HG丸ｺﾞｼｯｸM-PRO"/>
        <family val="3"/>
        <charset val="128"/>
      </rPr>
      <t>５食以上から</t>
    </r>
    <r>
      <rPr>
        <sz val="11"/>
        <rFont val="HG丸ｺﾞｼｯｸM-PRO"/>
        <family val="3"/>
        <charset val="128"/>
      </rPr>
      <t>の提供となります。</t>
    </r>
    <rPh sb="1" eb="3">
      <t>チュウイ</t>
    </rPh>
    <rPh sb="5" eb="6">
      <t>ショク</t>
    </rPh>
    <rPh sb="6" eb="7">
      <t>スウ</t>
    </rPh>
    <rPh sb="23" eb="24">
      <t>ショク</t>
    </rPh>
    <rPh sb="24" eb="26">
      <t>イジョウ</t>
    </rPh>
    <rPh sb="29" eb="31">
      <t>テイキョウ</t>
    </rPh>
    <phoneticPr fontId="3"/>
  </si>
  <si>
    <r>
      <t>　注意①：</t>
    </r>
    <r>
      <rPr>
        <b/>
        <u/>
        <sz val="11"/>
        <rFont val="HG丸ｺﾞｼｯｸM-PRO"/>
        <family val="3"/>
        <charset val="128"/>
      </rPr>
      <t>食事・食材・飲料を食堂内に持ち込むことは原則禁止</t>
    </r>
    <r>
      <rPr>
        <sz val="11"/>
        <rFont val="HG丸ｺﾞｼｯｸM-PRO"/>
        <family val="3"/>
        <charset val="128"/>
      </rPr>
      <t>です。アレルギー・信条等の理由による持ち
　　　　　込みについては上記②の欄にチェックを入れて本書提出ののち、必ず当館へご相談ください</t>
    </r>
    <rPh sb="1" eb="3">
      <t>チュウイ</t>
    </rPh>
    <rPh sb="5" eb="7">
      <t>ショクジ</t>
    </rPh>
    <rPh sb="8" eb="10">
      <t>ショクザイ</t>
    </rPh>
    <rPh sb="11" eb="13">
      <t>インリョウ</t>
    </rPh>
    <rPh sb="14" eb="17">
      <t>ショクドウナイ</t>
    </rPh>
    <rPh sb="18" eb="19">
      <t>モ</t>
    </rPh>
    <rPh sb="20" eb="21">
      <t>コ</t>
    </rPh>
    <rPh sb="25" eb="27">
      <t>ゲンソク</t>
    </rPh>
    <rPh sb="27" eb="29">
      <t>キンシ</t>
    </rPh>
    <rPh sb="38" eb="40">
      <t>シンジョウ</t>
    </rPh>
    <rPh sb="40" eb="41">
      <t>トウ</t>
    </rPh>
    <rPh sb="42" eb="44">
      <t>リユウ</t>
    </rPh>
    <rPh sb="47" eb="48">
      <t>モ</t>
    </rPh>
    <rPh sb="55" eb="56">
      <t>コ</t>
    </rPh>
    <rPh sb="62" eb="64">
      <t>ジョウキ</t>
    </rPh>
    <rPh sb="66" eb="67">
      <t>ラン</t>
    </rPh>
    <rPh sb="73" eb="74">
      <t>イ</t>
    </rPh>
    <rPh sb="76" eb="80">
      <t>ホンショテイシュツ</t>
    </rPh>
    <rPh sb="84" eb="85">
      <t>カナラ</t>
    </rPh>
    <rPh sb="86" eb="88">
      <t>トウカン</t>
    </rPh>
    <rPh sb="90" eb="92">
      <t>ソウダン</t>
    </rPh>
    <phoneticPr fontId="3"/>
  </si>
  <si>
    <r>
      <t>③　食数　（</t>
    </r>
    <r>
      <rPr>
        <b/>
        <sz val="12"/>
        <color indexed="8"/>
        <rFont val="BIZ UDPゴシック"/>
        <family val="3"/>
        <charset val="128"/>
      </rPr>
      <t>太枠内のみ記入）</t>
    </r>
    <rPh sb="2" eb="3">
      <t>ショク</t>
    </rPh>
    <rPh sb="3" eb="4">
      <t>スウ</t>
    </rPh>
    <rPh sb="6" eb="9">
      <t>フトワクナイ</t>
    </rPh>
    <rPh sb="11" eb="13">
      <t>キニュウ</t>
    </rPh>
    <phoneticPr fontId="3"/>
  </si>
  <si>
    <r>
      <t>②　特別事情による持込食の有無　（</t>
    </r>
    <r>
      <rPr>
        <b/>
        <sz val="12"/>
        <color indexed="8"/>
        <rFont val="BIZ UDPゴシック"/>
        <family val="3"/>
        <charset val="128"/>
      </rPr>
      <t>太枠内のみ記入）</t>
    </r>
    <rPh sb="2" eb="4">
      <t>トクベツ</t>
    </rPh>
    <rPh sb="4" eb="6">
      <t>ジジョウ</t>
    </rPh>
    <rPh sb="9" eb="11">
      <t>モチコミ</t>
    </rPh>
    <rPh sb="11" eb="12">
      <t>ショク</t>
    </rPh>
    <rPh sb="13" eb="15">
      <t>ウム</t>
    </rPh>
    <rPh sb="17" eb="20">
      <t>フトワクナイ</t>
    </rPh>
    <rPh sb="22" eb="24">
      <t>キニュウ</t>
    </rPh>
    <phoneticPr fontId="3"/>
  </si>
  <si>
    <r>
      <rPr>
        <b/>
        <sz val="12"/>
        <color indexed="8"/>
        <rFont val="BIZ UDPゴシック"/>
        <family val="3"/>
        <charset val="128"/>
      </rPr>
      <t>①</t>
    </r>
    <r>
      <rPr>
        <sz val="11"/>
        <color theme="1"/>
        <rFont val="BIZ UDPゴシック"/>
        <family val="3"/>
        <charset val="128"/>
      </rPr>
      <t>　</t>
    </r>
    <r>
      <rPr>
        <b/>
        <sz val="12"/>
        <color indexed="8"/>
        <rFont val="BIZ UDPゴシック"/>
        <family val="3"/>
        <charset val="128"/>
      </rPr>
      <t>７大アレルゲン対象者の有無　（太枠内のみ記入）</t>
    </r>
    <rPh sb="3" eb="4">
      <t>ダイ</t>
    </rPh>
    <rPh sb="9" eb="11">
      <t>タイショウ</t>
    </rPh>
    <rPh sb="11" eb="12">
      <t>シャ</t>
    </rPh>
    <rPh sb="13" eb="15">
      <t>ウム</t>
    </rPh>
    <rPh sb="17" eb="20">
      <t>フトワクナイ</t>
    </rPh>
    <rPh sb="22" eb="24">
      <t>キニュウ</t>
    </rPh>
    <phoneticPr fontId="3"/>
  </si>
  <si>
    <r>
      <t>　注意③：</t>
    </r>
    <r>
      <rPr>
        <b/>
        <u/>
        <sz val="11"/>
        <rFont val="HG丸ｺﾞｼｯｸM-PRO"/>
        <family val="3"/>
        <charset val="128"/>
      </rPr>
      <t>食数変更は入館日前日正午まで</t>
    </r>
    <r>
      <rPr>
        <sz val="11"/>
        <rFont val="HG丸ｺﾞｼｯｸM-PRO"/>
        <family val="3"/>
        <charset val="128"/>
      </rPr>
      <t>、</t>
    </r>
    <r>
      <rPr>
        <b/>
        <u/>
        <sz val="11"/>
        <rFont val="HG丸ｺﾞｼｯｸM-PRO"/>
        <family val="3"/>
        <charset val="128"/>
      </rPr>
      <t>メニュー変更は入館日２週間前まで</t>
    </r>
    <r>
      <rPr>
        <sz val="11"/>
        <rFont val="HG丸ｺﾞｼｯｸM-PRO"/>
        <family val="3"/>
        <charset val="128"/>
      </rPr>
      <t>です。
　　　　　変更の際は、変更したい食事の「変更」欄をチェックして本書を再提出ください。</t>
    </r>
    <rPh sb="1" eb="3">
      <t>チュウイ</t>
    </rPh>
    <rPh sb="5" eb="7">
      <t>ショクスウ</t>
    </rPh>
    <rPh sb="7" eb="9">
      <t>ヘンコウ</t>
    </rPh>
    <rPh sb="10" eb="12">
      <t>ニュウカン</t>
    </rPh>
    <rPh sb="12" eb="13">
      <t>ビ</t>
    </rPh>
    <rPh sb="13" eb="15">
      <t>ゼンジツ</t>
    </rPh>
    <rPh sb="15" eb="17">
      <t>ショウゴ</t>
    </rPh>
    <rPh sb="24" eb="26">
      <t>ヘンコウ</t>
    </rPh>
    <rPh sb="27" eb="29">
      <t>ニュウカン</t>
    </rPh>
    <rPh sb="29" eb="30">
      <t>ビ</t>
    </rPh>
    <rPh sb="31" eb="33">
      <t>シュウカン</t>
    </rPh>
    <rPh sb="33" eb="34">
      <t>マエ</t>
    </rPh>
    <rPh sb="71" eb="73">
      <t>ホンショ</t>
    </rPh>
    <rPh sb="74" eb="77">
      <t>サイテイシュツ</t>
    </rPh>
    <phoneticPr fontId="3"/>
  </si>
  <si>
    <t>　注意⑤：キッズメニューは、幼児を主体とする団体を対象とする個別食です。
　　　　　引率者等の大人の分は同内容で増量したものを提供します。</t>
    <rPh sb="1" eb="3">
      <t>チュウイ</t>
    </rPh>
    <rPh sb="14" eb="16">
      <t>ヨウジ</t>
    </rPh>
    <rPh sb="42" eb="46">
      <t>インソツシャトウ</t>
    </rPh>
    <rPh sb="47" eb="49">
      <t>オトナ</t>
    </rPh>
    <rPh sb="50" eb="51">
      <t>ブン</t>
    </rPh>
    <rPh sb="52" eb="55">
      <t>ドウナイヨウ</t>
    </rPh>
    <rPh sb="56" eb="58">
      <t>ゾウリョウ</t>
    </rPh>
    <rPh sb="63" eb="65">
      <t>テイキョウ</t>
    </rPh>
    <phoneticPr fontId="3"/>
  </si>
  <si>
    <t>（</t>
    <phoneticPr fontId="28"/>
  </si>
  <si>
    <t>変更</t>
    <rPh sb="0" eb="2">
      <t>ヘンコウ</t>
    </rPh>
    <phoneticPr fontId="3"/>
  </si>
  <si>
    <t>新規</t>
    <rPh sb="0" eb="2">
      <t>シンキ</t>
    </rPh>
    <phoneticPr fontId="3"/>
  </si>
  <si>
    <r>
      <t>※メニュー表及び原材料・成分表等を十分にご確認の上、必要に応じて</t>
    </r>
    <r>
      <rPr>
        <b/>
        <u/>
        <sz val="11"/>
        <color indexed="8"/>
        <rFont val="BIZ UDPゴシック"/>
        <family val="3"/>
        <charset val="128"/>
      </rPr>
      <t>太枠内のみ</t>
    </r>
    <r>
      <rPr>
        <sz val="11"/>
        <color indexed="8"/>
        <rFont val="BIZ UDPゴシック"/>
        <family val="3"/>
        <charset val="128"/>
      </rPr>
      <t>を記入してください。</t>
    </r>
    <rPh sb="5" eb="6">
      <t>ヒョウ</t>
    </rPh>
    <rPh sb="6" eb="7">
      <t>オヨ</t>
    </rPh>
    <rPh sb="8" eb="11">
      <t>ゲンザイリョウ</t>
    </rPh>
    <rPh sb="12" eb="14">
      <t>セイブン</t>
    </rPh>
    <rPh sb="14" eb="15">
      <t>ヒョウ</t>
    </rPh>
    <rPh sb="15" eb="16">
      <t>トウ</t>
    </rPh>
    <rPh sb="17" eb="19">
      <t>ジュウブン</t>
    </rPh>
    <rPh sb="21" eb="23">
      <t>カクニン</t>
    </rPh>
    <rPh sb="24" eb="25">
      <t>ウエ</t>
    </rPh>
    <rPh sb="26" eb="28">
      <t>ヒツヨウ</t>
    </rPh>
    <rPh sb="29" eb="30">
      <t>オウ</t>
    </rPh>
    <rPh sb="32" eb="35">
      <t>フトワクナイ</t>
    </rPh>
    <rPh sb="38" eb="40">
      <t>キニュウ</t>
    </rPh>
    <phoneticPr fontId="3"/>
  </si>
  <si>
    <t>携帯弁当（梅・梅）</t>
    <rPh sb="0" eb="4">
      <t>ケイタイベントウ</t>
    </rPh>
    <rPh sb="5" eb="6">
      <t>ウメ</t>
    </rPh>
    <rPh sb="7" eb="8">
      <t>ウメ</t>
    </rPh>
    <phoneticPr fontId="8"/>
  </si>
  <si>
    <t>携帯弁当（塩・塩）</t>
    <rPh sb="0" eb="4">
      <t>ケイタイベントウ</t>
    </rPh>
    <rPh sb="5" eb="6">
      <t>シオ</t>
    </rPh>
    <rPh sb="7" eb="8">
      <t>シオ</t>
    </rPh>
    <phoneticPr fontId="8"/>
  </si>
  <si>
    <t>11</t>
    <phoneticPr fontId="3"/>
  </si>
  <si>
    <t>携帯弁当（鮭・梅）</t>
    <rPh sb="0" eb="4">
      <t>ケイタイベントウ</t>
    </rPh>
    <rPh sb="5" eb="6">
      <t>サケ</t>
    </rPh>
    <rPh sb="7" eb="8">
      <t>ウメ</t>
    </rPh>
    <phoneticPr fontId="3"/>
  </si>
  <si>
    <r>
      <t xml:space="preserve">一般利用者
</t>
    </r>
    <r>
      <rPr>
        <sz val="8"/>
        <color indexed="8"/>
        <rFont val="BIZ UDPゴシック"/>
        <family val="3"/>
        <charset val="128"/>
      </rPr>
      <t>カメラマン
保護者等</t>
    </r>
    <rPh sb="0" eb="2">
      <t>イッパン</t>
    </rPh>
    <rPh sb="2" eb="5">
      <t>リヨウシャ</t>
    </rPh>
    <rPh sb="12" eb="15">
      <t>ホゴシャ</t>
    </rPh>
    <rPh sb="15" eb="16">
      <t>トウ</t>
    </rPh>
    <phoneticPr fontId="3"/>
  </si>
  <si>
    <r>
      <rPr>
        <b/>
        <u/>
        <sz val="10"/>
        <color indexed="8"/>
        <rFont val="BIZ UDPゴシック"/>
        <family val="3"/>
        <charset val="128"/>
      </rPr>
      <t>準要保護</t>
    </r>
    <r>
      <rPr>
        <sz val="10"/>
        <color indexed="8"/>
        <rFont val="BIZ UDPゴシック"/>
        <family val="3"/>
        <charset val="128"/>
      </rPr>
      <t>の在籍児童生徒
※要保護は対
　 象外</t>
    </r>
    <rPh sb="0" eb="1">
      <t>ジュン</t>
    </rPh>
    <rPh sb="1" eb="4">
      <t>ヨウホゴ</t>
    </rPh>
    <rPh sb="5" eb="7">
      <t>ザイセキ</t>
    </rPh>
    <rPh sb="7" eb="8">
      <t>コ</t>
    </rPh>
    <rPh sb="8" eb="9">
      <t>ワラベ</t>
    </rPh>
    <rPh sb="9" eb="11">
      <t>セイト</t>
    </rPh>
    <rPh sb="13" eb="16">
      <t>ヨウホゴ</t>
    </rPh>
    <rPh sb="17" eb="18">
      <t>タイ</t>
    </rPh>
    <rPh sb="21" eb="22">
      <t>ゾウ</t>
    </rPh>
    <rPh sb="22" eb="23">
      <t>ガイ</t>
    </rPh>
    <phoneticPr fontId="3"/>
  </si>
  <si>
    <r>
      <rPr>
        <b/>
        <u/>
        <sz val="10"/>
        <color indexed="8"/>
        <rFont val="BIZ UDPゴシック"/>
        <family val="3"/>
        <charset val="128"/>
      </rPr>
      <t>特別支援学校・学級</t>
    </r>
    <r>
      <rPr>
        <sz val="10"/>
        <color indexed="8"/>
        <rFont val="BIZ UDPゴシック"/>
        <family val="3"/>
        <charset val="128"/>
      </rPr>
      <t>の在籍児童生徒</t>
    </r>
    <rPh sb="0" eb="1">
      <t>トク</t>
    </rPh>
    <rPh sb="1" eb="2">
      <t>ワカレル</t>
    </rPh>
    <rPh sb="2" eb="3">
      <t>シ</t>
    </rPh>
    <rPh sb="3" eb="4">
      <t>オン</t>
    </rPh>
    <rPh sb="4" eb="6">
      <t>ガッコウ</t>
    </rPh>
    <rPh sb="7" eb="9">
      <t>ガッキュウ</t>
    </rPh>
    <rPh sb="10" eb="12">
      <t>ザイセキ</t>
    </rPh>
    <rPh sb="12" eb="14">
      <t>ジドウ</t>
    </rPh>
    <rPh sb="14" eb="15">
      <t>ショウ</t>
    </rPh>
    <rPh sb="15" eb="16">
      <t>ト</t>
    </rPh>
    <phoneticPr fontId="3"/>
  </si>
  <si>
    <r>
      <t>身体障害者手
帳所持</t>
    </r>
    <r>
      <rPr>
        <sz val="10"/>
        <color indexed="8"/>
        <rFont val="BIZ UDPゴシック"/>
        <family val="3"/>
        <charset val="128"/>
      </rPr>
      <t>の在籍児童生徒</t>
    </r>
    <rPh sb="0" eb="2">
      <t>シンタイ</t>
    </rPh>
    <rPh sb="2" eb="5">
      <t>ショウガイシャ</t>
    </rPh>
    <rPh sb="5" eb="6">
      <t>テ</t>
    </rPh>
    <rPh sb="7" eb="8">
      <t>チョウ</t>
    </rPh>
    <rPh sb="8" eb="10">
      <t>ショジ</t>
    </rPh>
    <rPh sb="11" eb="13">
      <t>ザイセキ</t>
    </rPh>
    <rPh sb="13" eb="15">
      <t>ジドウ</t>
    </rPh>
    <rPh sb="15" eb="17">
      <t>セイト</t>
    </rPh>
    <phoneticPr fontId="3"/>
  </si>
  <si>
    <r>
      <t xml:space="preserve">療育手帳所持
</t>
    </r>
    <r>
      <rPr>
        <sz val="10"/>
        <color indexed="8"/>
        <rFont val="BIZ UDPゴシック"/>
        <family val="3"/>
        <charset val="128"/>
      </rPr>
      <t>の在籍児童生徒</t>
    </r>
    <rPh sb="0" eb="2">
      <t>リョウイク</t>
    </rPh>
    <rPh sb="2" eb="3">
      <t>テ</t>
    </rPh>
    <rPh sb="3" eb="4">
      <t>チョウ</t>
    </rPh>
    <rPh sb="4" eb="6">
      <t>ショジ</t>
    </rPh>
    <rPh sb="8" eb="10">
      <t>ザイセキ</t>
    </rPh>
    <rPh sb="10" eb="12">
      <t>ジドウ</t>
    </rPh>
    <rPh sb="12" eb="14">
      <t>セイト</t>
    </rPh>
    <phoneticPr fontId="3"/>
  </si>
  <si>
    <r>
      <rPr>
        <b/>
        <u/>
        <sz val="10"/>
        <color indexed="8"/>
        <rFont val="BIZ UDPゴシック"/>
        <family val="3"/>
        <charset val="128"/>
      </rPr>
      <t>精神障害者福
祉手帳所持</t>
    </r>
    <r>
      <rPr>
        <sz val="10"/>
        <color indexed="8"/>
        <rFont val="BIZ UDPゴシック"/>
        <family val="3"/>
        <charset val="128"/>
      </rPr>
      <t xml:space="preserve">の在籍児童生徒
</t>
    </r>
    <rPh sb="0" eb="2">
      <t>セイシン</t>
    </rPh>
    <rPh sb="2" eb="5">
      <t>ショウガイシャ</t>
    </rPh>
    <rPh sb="5" eb="6">
      <t>フク</t>
    </rPh>
    <rPh sb="7" eb="8">
      <t>シ</t>
    </rPh>
    <rPh sb="8" eb="10">
      <t>テチョウ</t>
    </rPh>
    <rPh sb="10" eb="12">
      <t>ショジ</t>
    </rPh>
    <rPh sb="13" eb="19">
      <t>ザイセキジドウセイト</t>
    </rPh>
    <phoneticPr fontId="3"/>
  </si>
  <si>
    <r>
      <t>各種手帳所持者を引率する</t>
    </r>
    <r>
      <rPr>
        <b/>
        <u/>
        <sz val="10"/>
        <color indexed="8"/>
        <rFont val="BIZ UDPゴシック"/>
        <family val="3"/>
        <charset val="128"/>
      </rPr>
      <t>介護・介添引率者</t>
    </r>
    <rPh sb="0" eb="2">
      <t>カクシュ</t>
    </rPh>
    <rPh sb="2" eb="4">
      <t>テチョウ</t>
    </rPh>
    <rPh sb="4" eb="7">
      <t>ショジシャ</t>
    </rPh>
    <rPh sb="8" eb="10">
      <t>インソツ</t>
    </rPh>
    <rPh sb="12" eb="14">
      <t>カイゴ</t>
    </rPh>
    <rPh sb="15" eb="17">
      <t>カイゾエ</t>
    </rPh>
    <rPh sb="17" eb="19">
      <t>インソツ</t>
    </rPh>
    <rPh sb="19" eb="20">
      <t>シャ</t>
    </rPh>
    <phoneticPr fontId="3"/>
  </si>
  <si>
    <r>
      <rPr>
        <b/>
        <sz val="12"/>
        <color rgb="FF000000"/>
        <rFont val="BIZ UDPゴシック"/>
        <family val="3"/>
        <charset val="128"/>
      </rPr>
      <t>注意２：</t>
    </r>
    <r>
      <rPr>
        <b/>
        <u/>
        <sz val="12"/>
        <color indexed="8"/>
        <rFont val="BIZ UDPゴシック"/>
        <family val="3"/>
        <charset val="128"/>
      </rPr>
      <t>カメラマン、児童の保護者は「一般」の料金区分</t>
    </r>
    <r>
      <rPr>
        <sz val="12"/>
        <color indexed="8"/>
        <rFont val="BIZ UDPゴシック"/>
        <family val="3"/>
        <charset val="128"/>
      </rPr>
      <t>となります。</t>
    </r>
    <rPh sb="0" eb="2">
      <t>チュウイ</t>
    </rPh>
    <rPh sb="10" eb="12">
      <t>ジドウ</t>
    </rPh>
    <rPh sb="13" eb="16">
      <t>ホゴシャ</t>
    </rPh>
    <rPh sb="18" eb="20">
      <t>イッパン</t>
    </rPh>
    <rPh sb="22" eb="24">
      <t>リョウキン</t>
    </rPh>
    <rPh sb="24" eb="26">
      <t>クブン</t>
    </rPh>
    <phoneticPr fontId="3"/>
  </si>
  <si>
    <r>
      <rPr>
        <b/>
        <sz val="12"/>
        <color theme="1"/>
        <rFont val="BIZ UDPゴシック"/>
        <family val="3"/>
        <charset val="128"/>
      </rPr>
      <t>注意１：</t>
    </r>
    <r>
      <rPr>
        <sz val="12"/>
        <color theme="1"/>
        <rFont val="BIZ UDPゴシック"/>
        <family val="3"/>
        <charset val="128"/>
      </rPr>
      <t>利用延べ日数欄には延べ数を記入・選択してください。（例：日帰り２日→日帰り欄に「２」と記入）</t>
    </r>
    <rPh sb="0" eb="2">
      <t>チュウイ</t>
    </rPh>
    <rPh sb="4" eb="6">
      <t>リヨウ</t>
    </rPh>
    <rPh sb="6" eb="7">
      <t>ノ</t>
    </rPh>
    <rPh sb="8" eb="10">
      <t>ニッスウ</t>
    </rPh>
    <rPh sb="10" eb="11">
      <t>ラン</t>
    </rPh>
    <rPh sb="13" eb="14">
      <t>ノ</t>
    </rPh>
    <rPh sb="15" eb="16">
      <t>スウ</t>
    </rPh>
    <rPh sb="17" eb="19">
      <t>キニュウ</t>
    </rPh>
    <rPh sb="20" eb="22">
      <t>センタク</t>
    </rPh>
    <rPh sb="30" eb="31">
      <t>レイ</t>
    </rPh>
    <rPh sb="32" eb="34">
      <t>ヒガエ</t>
    </rPh>
    <rPh sb="36" eb="37">
      <t>ニチ</t>
    </rPh>
    <rPh sb="38" eb="40">
      <t>ヒガエ</t>
    </rPh>
    <rPh sb="41" eb="42">
      <t>ラン</t>
    </rPh>
    <rPh sb="47" eb="49">
      <t>キニュウ</t>
    </rPh>
    <phoneticPr fontId="3"/>
  </si>
  <si>
    <r>
      <t>　■　</t>
    </r>
    <r>
      <rPr>
        <u/>
        <sz val="16"/>
        <rFont val="BIZ UDPゴシック"/>
        <family val="3"/>
        <charset val="128"/>
      </rPr>
      <t>太枠内を記入し、</t>
    </r>
    <r>
      <rPr>
        <b/>
        <u/>
        <sz val="16"/>
        <rFont val="BIZ UDPゴシック"/>
        <family val="3"/>
        <charset val="128"/>
      </rPr>
      <t>提出期限（入館２週間前）</t>
    </r>
    <r>
      <rPr>
        <u/>
        <sz val="16"/>
        <rFont val="BIZ UDPゴシック"/>
        <family val="3"/>
        <charset val="128"/>
      </rPr>
      <t>までに、Ｅ－ＭＡＩＬで送信してください。</t>
    </r>
    <r>
      <rPr>
        <sz val="16"/>
        <rFont val="BIZ UDPゴシック"/>
        <family val="3"/>
        <charset val="128"/>
      </rPr>
      <t xml:space="preserve">
　■　領収書又は請求書は、当日会計手続き時にお渡しいたします。。
　　 　なお、</t>
    </r>
    <r>
      <rPr>
        <b/>
        <u/>
        <sz val="16"/>
        <rFont val="BIZ UDPゴシック"/>
        <family val="3"/>
        <charset val="128"/>
      </rPr>
      <t>領収書及び請求書は再発行できません</t>
    </r>
    <r>
      <rPr>
        <sz val="16"/>
        <rFont val="BIZ UDPゴシック"/>
        <family val="3"/>
        <charset val="128"/>
      </rPr>
      <t>ので、記入内容を十分に確認してください。
　■　利用者名簿の人数と本紙は関連付けされております。
　　　　</t>
    </r>
    <r>
      <rPr>
        <b/>
        <u/>
        <sz val="16"/>
        <rFont val="BIZ UDPゴシック"/>
        <family val="3"/>
        <charset val="128"/>
      </rPr>
      <t>人数の変更があった場合は、必ず【利用者名簿】の修正から</t>
    </r>
    <r>
      <rPr>
        <sz val="16"/>
        <rFont val="BIZ UDPゴシック"/>
        <family val="3"/>
        <charset val="128"/>
      </rPr>
      <t>おこなってください。</t>
    </r>
    <rPh sb="16" eb="18">
      <t>ニュウカン</t>
    </rPh>
    <rPh sb="19" eb="21">
      <t>シュウカン</t>
    </rPh>
    <rPh sb="21" eb="22">
      <t>マエ</t>
    </rPh>
    <rPh sb="47" eb="50">
      <t>リョウシュウショ</t>
    </rPh>
    <rPh sb="50" eb="51">
      <t>マタ</t>
    </rPh>
    <rPh sb="52" eb="55">
      <t>セイキュウショ</t>
    </rPh>
    <rPh sb="57" eb="59">
      <t>トウジツ</t>
    </rPh>
    <rPh sb="59" eb="61">
      <t>カイケイ</t>
    </rPh>
    <rPh sb="61" eb="63">
      <t>テツヅ</t>
    </rPh>
    <rPh sb="64" eb="65">
      <t>ジ</t>
    </rPh>
    <rPh sb="67" eb="68">
      <t>ワタ</t>
    </rPh>
    <rPh sb="86" eb="87">
      <t>ショ</t>
    </rPh>
    <rPh sb="87" eb="88">
      <t>オヨ</t>
    </rPh>
    <rPh sb="109" eb="111">
      <t>ジュウブン</t>
    </rPh>
    <rPh sb="112" eb="114">
      <t>カクニン</t>
    </rPh>
    <rPh sb="125" eb="128">
      <t>リヨウシャ</t>
    </rPh>
    <rPh sb="128" eb="130">
      <t>メイボ</t>
    </rPh>
    <rPh sb="131" eb="133">
      <t>ニンズウ</t>
    </rPh>
    <rPh sb="134" eb="136">
      <t>ホンシ</t>
    </rPh>
    <rPh sb="137" eb="139">
      <t>カンレン</t>
    </rPh>
    <rPh sb="139" eb="140">
      <t>ヅ</t>
    </rPh>
    <rPh sb="154" eb="156">
      <t>ニンズウ</t>
    </rPh>
    <rPh sb="157" eb="159">
      <t>ヘンコウ</t>
    </rPh>
    <rPh sb="163" eb="165">
      <t>バアイ</t>
    </rPh>
    <rPh sb="167" eb="168">
      <t>カナラ</t>
    </rPh>
    <rPh sb="170" eb="173">
      <t>リヨウシャ</t>
    </rPh>
    <rPh sb="173" eb="175">
      <t>メイボ</t>
    </rPh>
    <rPh sb="177" eb="179">
      <t>シュウセイ</t>
    </rPh>
    <phoneticPr fontId="3"/>
  </si>
  <si>
    <r>
      <t>指定駐車場：</t>
    </r>
    <r>
      <rPr>
        <sz val="72"/>
        <rFont val="BIZ UDPゴシック"/>
        <family val="3"/>
        <charset val="128"/>
      </rPr>
      <t>南第２駐車場</t>
    </r>
    <rPh sb="0" eb="2">
      <t>シテイ</t>
    </rPh>
    <rPh sb="2" eb="5">
      <t>チュウシャジョウ</t>
    </rPh>
    <rPh sb="6" eb="7">
      <t>ミナミ</t>
    </rPh>
    <rPh sb="7" eb="8">
      <t>ダイ</t>
    </rPh>
    <rPh sb="9" eb="12">
      <t>チュウシャジョウ</t>
    </rPh>
    <phoneticPr fontId="3"/>
  </si>
  <si>
    <t>☑</t>
    <phoneticPr fontId="8"/>
  </si>
  <si>
    <t>□</t>
    <phoneticPr fontId="8"/>
  </si>
  <si>
    <t>令和５</t>
    <rPh sb="0" eb="2">
      <t>レイワ</t>
    </rPh>
    <phoneticPr fontId="8"/>
  </si>
  <si>
    <t>令和４</t>
    <rPh sb="0" eb="2">
      <t>レイワ</t>
    </rPh>
    <phoneticPr fontId="8"/>
  </si>
  <si>
    <t>月</t>
    <rPh sb="0" eb="1">
      <t>ゲツ</t>
    </rPh>
    <phoneticPr fontId="8"/>
  </si>
  <si>
    <t>火</t>
    <rPh sb="0" eb="1">
      <t>ヒ</t>
    </rPh>
    <phoneticPr fontId="8"/>
  </si>
  <si>
    <t>水</t>
  </si>
  <si>
    <t>令和３</t>
    <rPh sb="0" eb="2">
      <t>レイワ</t>
    </rPh>
    <phoneticPr fontId="29"/>
  </si>
  <si>
    <t>　　上記の申請について、札幌市青少年山の家使用料減免取扱要領　第2条　第</t>
    <rPh sb="2" eb="4">
      <t>ジョウキ</t>
    </rPh>
    <rPh sb="5" eb="7">
      <t>シンセイ</t>
    </rPh>
    <rPh sb="12" eb="19">
      <t>サッポロシセイショウネンヤマ</t>
    </rPh>
    <rPh sb="20" eb="21">
      <t>イエ</t>
    </rPh>
    <rPh sb="21" eb="24">
      <t>シヨウリョウ</t>
    </rPh>
    <rPh sb="24" eb="26">
      <t>ゲンメン</t>
    </rPh>
    <rPh sb="26" eb="28">
      <t>トリアツカイ</t>
    </rPh>
    <rPh sb="28" eb="30">
      <t>ヨウリョウ</t>
    </rPh>
    <rPh sb="31" eb="32">
      <t>ダイ</t>
    </rPh>
    <rPh sb="33" eb="34">
      <t>ジョウ</t>
    </rPh>
    <rPh sb="35" eb="36">
      <t>ダイ</t>
    </rPh>
    <phoneticPr fontId="3"/>
  </si>
  <si>
    <t>防災炊事</t>
    <rPh sb="0" eb="4">
      <t>ボウサイスイジ</t>
    </rPh>
    <phoneticPr fontId="3"/>
  </si>
  <si>
    <t>携帯弁当（鮭・梅）</t>
    <rPh sb="0" eb="2">
      <t>ケイタイ</t>
    </rPh>
    <rPh sb="2" eb="4">
      <t>ベントウ</t>
    </rPh>
    <rPh sb="5" eb="6">
      <t>サケ</t>
    </rPh>
    <rPh sb="7" eb="8">
      <t>ウメ</t>
    </rPh>
    <phoneticPr fontId="3"/>
  </si>
  <si>
    <t>携帯弁当（塩・塩）</t>
    <rPh sb="0" eb="2">
      <t>ケイタイ</t>
    </rPh>
    <rPh sb="2" eb="4">
      <t>ベントウ</t>
    </rPh>
    <rPh sb="5" eb="6">
      <t>シオ</t>
    </rPh>
    <rPh sb="7" eb="8">
      <t>シオ</t>
    </rPh>
    <phoneticPr fontId="3"/>
  </si>
  <si>
    <r>
      <t>　注意②：食事の申し込みは</t>
    </r>
    <r>
      <rPr>
        <b/>
        <u/>
        <sz val="11"/>
        <rFont val="HG丸ｺﾞｼｯｸM-PRO"/>
        <family val="3"/>
        <charset val="128"/>
      </rPr>
      <t>原則５食以上から</t>
    </r>
    <r>
      <rPr>
        <sz val="11"/>
        <rFont val="HG丸ｺﾞｼｯｸM-PRO"/>
        <family val="3"/>
        <charset val="128"/>
      </rPr>
      <t>となります。</t>
    </r>
    <rPh sb="1" eb="3">
      <t>チュウイ</t>
    </rPh>
    <rPh sb="5" eb="7">
      <t>ショクジ</t>
    </rPh>
    <rPh sb="8" eb="9">
      <t>モウ</t>
    </rPh>
    <rPh sb="10" eb="11">
      <t>コ</t>
    </rPh>
    <rPh sb="16" eb="17">
      <t>ショク</t>
    </rPh>
    <rPh sb="17" eb="19">
      <t>イジョウ</t>
    </rPh>
    <phoneticPr fontId="3"/>
  </si>
  <si>
    <t>連絡の必要はありません</t>
    <phoneticPr fontId="28"/>
  </si>
  <si>
    <t>提出してください</t>
    <phoneticPr fontId="28"/>
  </si>
  <si>
    <t>日曜メニュー</t>
    <rPh sb="0" eb="2">
      <t>ニチヨウ</t>
    </rPh>
    <phoneticPr fontId="8"/>
  </si>
  <si>
    <t>土曜メニュー</t>
    <rPh sb="0" eb="2">
      <t>ドヨウ</t>
    </rPh>
    <phoneticPr fontId="8"/>
  </si>
  <si>
    <t xml:space="preserve"> 提供はありません。</t>
    <phoneticPr fontId="3"/>
  </si>
  <si>
    <t>青少年山の家への提出は不要
補助的指導者の運転者は
各自記入・印刷のうえ、ご持参ください</t>
    <rPh sb="0" eb="4">
      <t>セイショウネンヤマ</t>
    </rPh>
    <rPh sb="5" eb="6">
      <t>イエ</t>
    </rPh>
    <rPh sb="8" eb="10">
      <t>テイシュツ</t>
    </rPh>
    <rPh sb="11" eb="13">
      <t>フヨウ</t>
    </rPh>
    <rPh sb="14" eb="20">
      <t>ホジョテキシドウシャ</t>
    </rPh>
    <rPh sb="21" eb="24">
      <t>ウンテンシャ</t>
    </rPh>
    <rPh sb="26" eb="28">
      <t>カクジ</t>
    </rPh>
    <rPh sb="28" eb="30">
      <t>キニュウ</t>
    </rPh>
    <rPh sb="31" eb="33">
      <t>インサツ</t>
    </rPh>
    <rPh sb="38" eb="40">
      <t>ジサン</t>
    </rPh>
    <phoneticPr fontId="8"/>
  </si>
  <si>
    <r>
      <t>※</t>
    </r>
    <r>
      <rPr>
        <b/>
        <u/>
        <sz val="20"/>
        <color rgb="FFFF0000"/>
        <rFont val="BIZ UDPゴシック"/>
        <family val="3"/>
        <charset val="128"/>
      </rPr>
      <t>許可車両（駐車料金無料）は、各団体共に４台まで</t>
    </r>
    <r>
      <rPr>
        <sz val="20"/>
        <color indexed="8"/>
        <rFont val="BIZ UDPゴシック"/>
        <family val="3"/>
        <charset val="128"/>
      </rPr>
      <t>となっております。これを超過</t>
    </r>
    <rPh sb="1" eb="3">
      <t>キョカ</t>
    </rPh>
    <rPh sb="3" eb="5">
      <t>シャリョウ</t>
    </rPh>
    <rPh sb="6" eb="8">
      <t>チュウシャ</t>
    </rPh>
    <rPh sb="8" eb="10">
      <t>リョウキン</t>
    </rPh>
    <rPh sb="10" eb="12">
      <t>ムリョウ</t>
    </rPh>
    <rPh sb="15" eb="16">
      <t>カク</t>
    </rPh>
    <rPh sb="16" eb="18">
      <t>ダンタイ</t>
    </rPh>
    <rPh sb="18" eb="19">
      <t>トモ</t>
    </rPh>
    <rPh sb="21" eb="22">
      <t>ダイ</t>
    </rPh>
    <rPh sb="36" eb="38">
      <t>チョウカ</t>
    </rPh>
    <phoneticPr fontId="3"/>
  </si>
  <si>
    <t>　する場合、団体代表者は滝野の森口料金所で駐車料金（４２０円/１台）をお支払いください。</t>
    <rPh sb="3" eb="5">
      <t>バアイ</t>
    </rPh>
    <rPh sb="6" eb="8">
      <t>ダンタイ</t>
    </rPh>
    <rPh sb="8" eb="11">
      <t>ダイヒョウシャ</t>
    </rPh>
    <rPh sb="12" eb="14">
      <t>タキノ</t>
    </rPh>
    <rPh sb="15" eb="17">
      <t>モリグチ</t>
    </rPh>
    <rPh sb="17" eb="20">
      <t>リョウキンジョ</t>
    </rPh>
    <rPh sb="21" eb="23">
      <t>チュウシャ</t>
    </rPh>
    <rPh sb="23" eb="25">
      <t>リョウキン</t>
    </rPh>
    <rPh sb="29" eb="30">
      <t>エン</t>
    </rPh>
    <rPh sb="32" eb="33">
      <t>ダイ</t>
    </rPh>
    <rPh sb="36" eb="38">
      <t>シハラ</t>
    </rPh>
    <phoneticPr fontId="3"/>
  </si>
  <si>
    <r>
      <rPr>
        <sz val="28"/>
        <rFont val="BIZ UDPゴシック"/>
        <family val="3"/>
        <charset val="128"/>
      </rPr>
      <t>（１/4台)</t>
    </r>
    <r>
      <rPr>
        <sz val="36"/>
        <rFont val="BIZ UDPゴシック"/>
        <family val="3"/>
        <charset val="128"/>
      </rPr>
      <t xml:space="preserve">
</t>
    </r>
    <r>
      <rPr>
        <sz val="48"/>
        <rFont val="BIZ UDPゴシック"/>
        <family val="3"/>
        <charset val="128"/>
      </rPr>
      <t>団体名:</t>
    </r>
    <rPh sb="4" eb="5">
      <t>ダイ</t>
    </rPh>
    <rPh sb="7" eb="9">
      <t>ダンタイ</t>
    </rPh>
    <rPh sb="9" eb="10">
      <t>メイ</t>
    </rPh>
    <phoneticPr fontId="3"/>
  </si>
  <si>
    <r>
      <rPr>
        <sz val="28"/>
        <rFont val="BIZ UDPゴシック"/>
        <family val="3"/>
        <charset val="128"/>
      </rPr>
      <t>（2/4台)</t>
    </r>
    <r>
      <rPr>
        <sz val="36"/>
        <rFont val="BIZ UDPゴシック"/>
        <family val="3"/>
        <charset val="128"/>
      </rPr>
      <t xml:space="preserve">
</t>
    </r>
    <r>
      <rPr>
        <sz val="48"/>
        <rFont val="BIZ UDPゴシック"/>
        <family val="3"/>
        <charset val="128"/>
      </rPr>
      <t>団体名:</t>
    </r>
    <rPh sb="4" eb="5">
      <t>ダイ</t>
    </rPh>
    <rPh sb="7" eb="9">
      <t>ダンタイ</t>
    </rPh>
    <rPh sb="9" eb="10">
      <t>メイ</t>
    </rPh>
    <phoneticPr fontId="3"/>
  </si>
  <si>
    <r>
      <rPr>
        <sz val="28"/>
        <rFont val="BIZ UDPゴシック"/>
        <family val="3"/>
        <charset val="128"/>
      </rPr>
      <t>（3/4台)</t>
    </r>
    <r>
      <rPr>
        <sz val="36"/>
        <rFont val="BIZ UDPゴシック"/>
        <family val="3"/>
        <charset val="128"/>
      </rPr>
      <t xml:space="preserve">
</t>
    </r>
    <r>
      <rPr>
        <sz val="48"/>
        <rFont val="BIZ UDPゴシック"/>
        <family val="3"/>
        <charset val="128"/>
      </rPr>
      <t>団体名:</t>
    </r>
    <rPh sb="4" eb="5">
      <t>ダイ</t>
    </rPh>
    <rPh sb="7" eb="9">
      <t>ダンタイ</t>
    </rPh>
    <rPh sb="9" eb="10">
      <t>メイ</t>
    </rPh>
    <phoneticPr fontId="3"/>
  </si>
  <si>
    <r>
      <rPr>
        <sz val="28"/>
        <rFont val="BIZ UDPゴシック"/>
        <family val="3"/>
        <charset val="128"/>
      </rPr>
      <t>（4/4台)</t>
    </r>
    <r>
      <rPr>
        <sz val="36"/>
        <rFont val="BIZ UDPゴシック"/>
        <family val="3"/>
        <charset val="128"/>
      </rPr>
      <t xml:space="preserve">
</t>
    </r>
    <r>
      <rPr>
        <sz val="48"/>
        <rFont val="BIZ UDPゴシック"/>
        <family val="3"/>
        <charset val="128"/>
      </rPr>
      <t>団体名:</t>
    </r>
    <rPh sb="4" eb="5">
      <t>ダイ</t>
    </rPh>
    <rPh sb="7" eb="9">
      <t>ダンタイ</t>
    </rPh>
    <rPh sb="9" eb="10">
      <t>メイ</t>
    </rPh>
    <phoneticPr fontId="3"/>
  </si>
  <si>
    <t>一</t>
    <rPh sb="0" eb="1">
      <t>イチ</t>
    </rPh>
    <phoneticPr fontId="8"/>
  </si>
  <si>
    <t>料金区分</t>
    <rPh sb="0" eb="4">
      <t>リョウキンクブン</t>
    </rPh>
    <phoneticPr fontId="8"/>
  </si>
  <si>
    <t>減免区分</t>
    <rPh sb="0" eb="4">
      <t>ゲンメンクブン</t>
    </rPh>
    <phoneticPr fontId="8"/>
  </si>
  <si>
    <t>介添</t>
    <rPh sb="0" eb="2">
      <t>カイゾ</t>
    </rPh>
    <phoneticPr fontId="8"/>
  </si>
  <si>
    <t>一般日帰/２DAY</t>
    <rPh sb="0" eb="2">
      <t>イッパン</t>
    </rPh>
    <rPh sb="2" eb="4">
      <t>ヒガエ</t>
    </rPh>
    <phoneticPr fontId="8"/>
  </si>
  <si>
    <t>令和3</t>
    <rPh sb="0" eb="2">
      <t>レイワ</t>
    </rPh>
    <phoneticPr fontId="8"/>
  </si>
  <si>
    <t>令和4</t>
    <rPh sb="0" eb="2">
      <t>レイワ</t>
    </rPh>
    <phoneticPr fontId="8"/>
  </si>
  <si>
    <t>)</t>
    <phoneticPr fontId="3"/>
  </si>
  <si>
    <t>朝　食</t>
    <rPh sb="0" eb="1">
      <t>アサ</t>
    </rPh>
    <rPh sb="2" eb="3">
      <t>ショク</t>
    </rPh>
    <phoneticPr fontId="8"/>
  </si>
  <si>
    <t>夕　食</t>
    <rPh sb="0" eb="1">
      <t>ユウ</t>
    </rPh>
    <rPh sb="2" eb="3">
      <t>ショク</t>
    </rPh>
    <phoneticPr fontId="8"/>
  </si>
  <si>
    <t>昼　食</t>
    <rPh sb="0" eb="1">
      <t>ヒル</t>
    </rPh>
    <rPh sb="2" eb="3">
      <t>ショク</t>
    </rPh>
    <phoneticPr fontId="8"/>
  </si>
  <si>
    <t>令和４</t>
    <rPh sb="0" eb="2">
      <t>レイワ</t>
    </rPh>
    <phoneticPr fontId="29"/>
  </si>
  <si>
    <t>　おにぎり（鮭・梅）</t>
    <rPh sb="6" eb="7">
      <t>サケ</t>
    </rPh>
    <rPh sb="8" eb="9">
      <t>ウメ</t>
    </rPh>
    <phoneticPr fontId="3"/>
  </si>
  <si>
    <t>　おにぎり（梅・梅）</t>
    <rPh sb="6" eb="7">
      <t>ウメ</t>
    </rPh>
    <rPh sb="8" eb="9">
      <t>ウメ</t>
    </rPh>
    <phoneticPr fontId="3"/>
  </si>
  <si>
    <t>　おにぎり（塩・塩）</t>
    <rPh sb="6" eb="7">
      <t>シオ</t>
    </rPh>
    <rPh sb="8" eb="9">
      <t>シオ</t>
    </rPh>
    <phoneticPr fontId="3"/>
  </si>
  <si>
    <t>　携帯弁当（梅・梅）</t>
    <rPh sb="1" eb="3">
      <t>ケイタイ</t>
    </rPh>
    <rPh sb="3" eb="5">
      <t>ベントウ</t>
    </rPh>
    <rPh sb="6" eb="7">
      <t>ウメ</t>
    </rPh>
    <rPh sb="8" eb="9">
      <t>ウメ</t>
    </rPh>
    <phoneticPr fontId="3"/>
  </si>
  <si>
    <t>　携帯弁当（塩・塩）</t>
    <rPh sb="1" eb="3">
      <t>ケイタイ</t>
    </rPh>
    <rPh sb="3" eb="5">
      <t>ベントウ</t>
    </rPh>
    <rPh sb="6" eb="7">
      <t>シオ</t>
    </rPh>
    <rPh sb="8" eb="9">
      <t>シオ</t>
    </rPh>
    <phoneticPr fontId="3"/>
  </si>
  <si>
    <t>おにぎり（梅・梅）</t>
    <phoneticPr fontId="28"/>
  </si>
  <si>
    <t>おにぎり（塩・塩）</t>
    <rPh sb="5" eb="6">
      <t>シオ</t>
    </rPh>
    <rPh sb="7" eb="8">
      <t>シオ</t>
    </rPh>
    <phoneticPr fontId="28"/>
  </si>
  <si>
    <t>携帯弁当（梅・梅）</t>
    <rPh sb="0" eb="2">
      <t>ケイタイ</t>
    </rPh>
    <rPh sb="5" eb="6">
      <t>ウメ</t>
    </rPh>
    <rPh sb="7" eb="8">
      <t>ウメ</t>
    </rPh>
    <phoneticPr fontId="28"/>
  </si>
  <si>
    <t>携帯弁当（塩・塩）</t>
    <rPh sb="0" eb="2">
      <t>ケイタイ</t>
    </rPh>
    <rPh sb="5" eb="6">
      <t>シオ</t>
    </rPh>
    <rPh sb="7" eb="8">
      <t>シオ</t>
    </rPh>
    <phoneticPr fontId="28"/>
  </si>
  <si>
    <t>携帯弁当（梅・梅）</t>
    <rPh sb="0" eb="2">
      <t>ケイタイ</t>
    </rPh>
    <phoneticPr fontId="28"/>
  </si>
  <si>
    <t>　携帯弁当（鮭・梅）</t>
    <rPh sb="1" eb="3">
      <t>ケイタイ</t>
    </rPh>
    <rPh sb="3" eb="5">
      <t>ベントウ</t>
    </rPh>
    <rPh sb="6" eb="7">
      <t>サケ</t>
    </rPh>
    <rPh sb="8" eb="9">
      <t>ウメ</t>
    </rPh>
    <phoneticPr fontId="3"/>
  </si>
  <si>
    <t>学校長氏名</t>
    <rPh sb="0" eb="3">
      <t>ガッコウチョウ</t>
    </rPh>
    <rPh sb="3" eb="5">
      <t>シメイ</t>
    </rPh>
    <phoneticPr fontId="3"/>
  </si>
  <si>
    <t>住　　所</t>
    <rPh sb="0" eb="1">
      <t>ジュウ</t>
    </rPh>
    <rPh sb="3" eb="4">
      <t>ショ</t>
    </rPh>
    <phoneticPr fontId="8"/>
  </si>
  <si>
    <t>電   　話</t>
    <rPh sb="0" eb="1">
      <t>デン</t>
    </rPh>
    <rPh sb="5" eb="6">
      <t>ハナシ</t>
    </rPh>
    <phoneticPr fontId="3"/>
  </si>
  <si>
    <t>住　　所</t>
    <rPh sb="0" eb="1">
      <t>ジュウ</t>
    </rPh>
    <rPh sb="3" eb="4">
      <t>ショ</t>
    </rPh>
    <phoneticPr fontId="3"/>
  </si>
  <si>
    <t>電  　 話</t>
    <rPh sb="0" eb="1">
      <t>デン</t>
    </rPh>
    <rPh sb="5" eb="6">
      <t>ハナシ</t>
    </rPh>
    <phoneticPr fontId="3"/>
  </si>
  <si>
    <t>札幌市南区滝野２４７番地</t>
    <rPh sb="3" eb="5">
      <t>ミナミク</t>
    </rPh>
    <rPh sb="5" eb="7">
      <t>タキノ</t>
    </rPh>
    <rPh sb="10" eb="12">
      <t>バンチ</t>
    </rPh>
    <phoneticPr fontId="3"/>
  </si>
  <si>
    <r>
      <t>　　　　なお、具体的な記入内容は、</t>
    </r>
    <r>
      <rPr>
        <b/>
        <u/>
        <sz val="10.5"/>
        <color theme="1"/>
        <rFont val="BIZ UDPゴシック"/>
        <family val="3"/>
        <charset val="128"/>
      </rPr>
      <t>各シート内の記入例</t>
    </r>
    <r>
      <rPr>
        <sz val="10.5"/>
        <color theme="1"/>
        <rFont val="BIZ UDPゴシック"/>
        <family val="3"/>
        <charset val="128"/>
      </rPr>
      <t>をご確認ください。</t>
    </r>
    <rPh sb="7" eb="10">
      <t>グタイテキ</t>
    </rPh>
    <rPh sb="11" eb="13">
      <t>キニュウ</t>
    </rPh>
    <rPh sb="13" eb="15">
      <t>ナイヨウ</t>
    </rPh>
    <rPh sb="17" eb="18">
      <t>カク</t>
    </rPh>
    <rPh sb="21" eb="22">
      <t>ナイ</t>
    </rPh>
    <rPh sb="23" eb="25">
      <t>キニュウ</t>
    </rPh>
    <rPh sb="25" eb="26">
      <t>レイ</t>
    </rPh>
    <rPh sb="28" eb="30">
      <t>カクニン</t>
    </rPh>
    <phoneticPr fontId="5"/>
  </si>
  <si>
    <r>
      <t>　　</t>
    </r>
    <r>
      <rPr>
        <b/>
        <sz val="12"/>
        <color rgb="FFFF0000"/>
        <rFont val="BIZ UDPゴシック"/>
        <family val="3"/>
        <charset val="128"/>
      </rPr>
      <t>※重要　</t>
    </r>
    <r>
      <rPr>
        <b/>
        <sz val="10.5"/>
        <color theme="1"/>
        <rFont val="BIZ UDPゴシック"/>
        <family val="3"/>
        <charset val="128"/>
      </rPr>
      <t>　　　
　　　　【06 人数報告用紙】【07 使用料減免申請書】など、金額に関する書式については、
　　　　【03 食事申込書】【05 利用者名簿】のデータから積算しております。
　　　　</t>
    </r>
    <r>
      <rPr>
        <b/>
        <u/>
        <sz val="10.5"/>
        <color theme="1"/>
        <rFont val="BIZ UDPゴシック"/>
        <family val="3"/>
        <charset val="128"/>
      </rPr>
      <t>欠席者や宿泊から日帰りへの変更、減免区分の変更につきましては、最初に【05 利用者名簿】</t>
    </r>
    <r>
      <rPr>
        <b/>
        <sz val="10.5"/>
        <color theme="1"/>
        <rFont val="BIZ UDPゴシック"/>
        <family val="3"/>
        <charset val="128"/>
      </rPr>
      <t xml:space="preserve">
　　　　</t>
    </r>
    <r>
      <rPr>
        <b/>
        <u/>
        <sz val="10.5"/>
        <color theme="1"/>
        <rFont val="BIZ UDPゴシック"/>
        <family val="3"/>
        <charset val="128"/>
      </rPr>
      <t>を修正してください。</t>
    </r>
    <rPh sb="3" eb="5">
      <t>ジュウヨウ</t>
    </rPh>
    <rPh sb="18" eb="24">
      <t>ニンズウホウコクヨウシ</t>
    </rPh>
    <rPh sb="29" eb="31">
      <t>シヨウ</t>
    </rPh>
    <rPh sb="31" eb="32">
      <t>リョウ</t>
    </rPh>
    <rPh sb="32" eb="34">
      <t>ゲンメン</t>
    </rPh>
    <rPh sb="34" eb="37">
      <t>シンセイショ</t>
    </rPh>
    <rPh sb="41" eb="43">
      <t>キンガク</t>
    </rPh>
    <rPh sb="44" eb="45">
      <t>カン</t>
    </rPh>
    <rPh sb="47" eb="49">
      <t>ショシキ</t>
    </rPh>
    <rPh sb="64" eb="69">
      <t>ショクジモウシコミショ</t>
    </rPh>
    <rPh sb="74" eb="79">
      <t>リヨウシャメイボ</t>
    </rPh>
    <rPh sb="86" eb="88">
      <t>セキサン</t>
    </rPh>
    <rPh sb="100" eb="103">
      <t>ケッセキシャ</t>
    </rPh>
    <rPh sb="104" eb="106">
      <t>シュクハク</t>
    </rPh>
    <rPh sb="108" eb="110">
      <t>ヒガエ</t>
    </rPh>
    <rPh sb="113" eb="115">
      <t>ヘンコウ</t>
    </rPh>
    <rPh sb="116" eb="118">
      <t>ゲンメン</t>
    </rPh>
    <rPh sb="118" eb="120">
      <t>クブン</t>
    </rPh>
    <rPh sb="121" eb="123">
      <t>ヘンコウ</t>
    </rPh>
    <rPh sb="131" eb="133">
      <t>サイショ</t>
    </rPh>
    <rPh sb="150" eb="152">
      <t>シュウセイ</t>
    </rPh>
    <phoneticPr fontId="5"/>
  </si>
  <si>
    <t>札幌市青少年山の家　【 利用計画書 】Aパターン</t>
    <rPh sb="12" eb="14">
      <t>リヨウ</t>
    </rPh>
    <rPh sb="14" eb="17">
      <t>ケイカクショ</t>
    </rPh>
    <phoneticPr fontId="3"/>
  </si>
  <si>
    <t>札幌市青少年山の家　【 利用計画書 】Bパターン</t>
    <rPh sb="12" eb="14">
      <t>リヨウ</t>
    </rPh>
    <rPh sb="14" eb="17">
      <t>ケイカクショ</t>
    </rPh>
    <phoneticPr fontId="3"/>
  </si>
  <si>
    <t>入浴</t>
    <rPh sb="0" eb="2">
      <t>ニュウヨク</t>
    </rPh>
    <phoneticPr fontId="8"/>
  </si>
  <si>
    <t>朝食</t>
    <rPh sb="0" eb="2">
      <t>チョウショク</t>
    </rPh>
    <phoneticPr fontId="8"/>
  </si>
  <si>
    <t>キャンプファイヤー</t>
    <phoneticPr fontId="8"/>
  </si>
  <si>
    <r>
      <rPr>
        <b/>
        <sz val="9"/>
        <color theme="1"/>
        <rFont val="BIZ UDPゴシック"/>
        <family val="3"/>
        <charset val="128"/>
      </rPr>
      <t>注１：</t>
    </r>
    <r>
      <rPr>
        <sz val="9"/>
        <color theme="1"/>
        <rFont val="BIZ UDPゴシック"/>
        <family val="3"/>
        <charset val="128"/>
      </rPr>
      <t xml:space="preserve">入館日の1か月前から部屋割り等の調整をしますのでそれまでに申請書類を提出ください。提出が遅れた場合、先に提出した団体を優先的に調整します。
</t>
    </r>
    <r>
      <rPr>
        <b/>
        <sz val="9"/>
        <color theme="1"/>
        <rFont val="BIZ UDPゴシック"/>
        <family val="3"/>
        <charset val="128"/>
      </rPr>
      <t>注２：</t>
    </r>
    <r>
      <rPr>
        <sz val="9"/>
        <color theme="1"/>
        <rFont val="BIZ UDPゴシック"/>
        <family val="3"/>
        <charset val="128"/>
      </rPr>
      <t xml:space="preserve">入館日の2週間前までに、すべての申請書類をご提出ください。
</t>
    </r>
    <r>
      <rPr>
        <b/>
        <sz val="9"/>
        <color theme="1"/>
        <rFont val="BIZ UDPゴシック"/>
        <family val="3"/>
        <charset val="128"/>
      </rPr>
      <t>注３：</t>
    </r>
    <r>
      <rPr>
        <sz val="9"/>
        <color theme="1"/>
        <rFont val="BIZ UDPゴシック"/>
        <family val="3"/>
        <charset val="128"/>
      </rPr>
      <t xml:space="preserve">長期（夏・冬季）休業直後利用の学校団体は、次の期限までに提出してください。
 　　　夏季：8月中旬～9月中旬利用の学校団体
 　　　　　　→　7月1日（17時）が提出期限
 　　　冬季：1月中旬～2月中旬利用の学校団体
 　　　　　　→　12月1日（17時）が提出期限
</t>
    </r>
    <r>
      <rPr>
        <b/>
        <sz val="9"/>
        <color theme="1"/>
        <rFont val="BIZ UDPゴシック"/>
        <family val="3"/>
        <charset val="128"/>
      </rPr>
      <t>注４：</t>
    </r>
    <r>
      <rPr>
        <sz val="9"/>
        <color theme="1"/>
        <rFont val="BIZ UDPゴシック"/>
        <family val="3"/>
        <charset val="128"/>
      </rPr>
      <t>当施設における学校団体とは、学校教育法第1条及び認定こども園法による教育施設並びに保育所を区分とします。
この際、教育施設及び保育所全体の教育課程、事業計画等に位置づけられていない利用は、学校団体ではなく、一般団体扱いとなります。　　</t>
    </r>
    <rPh sb="0" eb="1">
      <t>チュウ</t>
    </rPh>
    <rPh sb="13" eb="16">
      <t>ヘヤワ</t>
    </rPh>
    <rPh sb="17" eb="18">
      <t>トウ</t>
    </rPh>
    <rPh sb="19" eb="21">
      <t>チョウセイ</t>
    </rPh>
    <rPh sb="44" eb="46">
      <t>テイシュツ</t>
    </rPh>
    <rPh sb="47" eb="48">
      <t>オク</t>
    </rPh>
    <rPh sb="53" eb="54">
      <t>サキ</t>
    </rPh>
    <rPh sb="55" eb="57">
      <t>テイシュツ</t>
    </rPh>
    <rPh sb="59" eb="61">
      <t>ダンタイ</t>
    </rPh>
    <rPh sb="62" eb="65">
      <t>ユウセンテキ</t>
    </rPh>
    <rPh sb="66" eb="68">
      <t>チョウセイ</t>
    </rPh>
    <rPh sb="74" eb="75">
      <t>チュウ</t>
    </rPh>
    <rPh sb="77" eb="79">
      <t>ニュウカン</t>
    </rPh>
    <rPh sb="79" eb="80">
      <t>ビ</t>
    </rPh>
    <rPh sb="93" eb="97">
      <t>シンセイショルイ</t>
    </rPh>
    <rPh sb="99" eb="101">
      <t>テイシュツ</t>
    </rPh>
    <rPh sb="108" eb="109">
      <t>チュウ</t>
    </rPh>
    <rPh sb="116" eb="118">
      <t>トウキ</t>
    </rPh>
    <rPh sb="126" eb="128">
      <t>ガッコウ</t>
    </rPh>
    <rPh sb="128" eb="130">
      <t>ダンタイ</t>
    </rPh>
    <rPh sb="153" eb="155">
      <t>カキ</t>
    </rPh>
    <rPh sb="158" eb="160">
      <t>チュウジュン</t>
    </rPh>
    <rPh sb="163" eb="165">
      <t>チュウジュン</t>
    </rPh>
    <rPh sb="168" eb="170">
      <t>ガッコウ</t>
    </rPh>
    <rPh sb="170" eb="172">
      <t>ダンタイ</t>
    </rPh>
    <rPh sb="189" eb="190">
      <t>ジ</t>
    </rPh>
    <rPh sb="201" eb="203">
      <t>トウキ</t>
    </rPh>
    <rPh sb="206" eb="208">
      <t>チュウジュン</t>
    </rPh>
    <rPh sb="211" eb="213">
      <t>チュウジュン</t>
    </rPh>
    <rPh sb="213" eb="215">
      <t>リヨウ</t>
    </rPh>
    <rPh sb="216" eb="218">
      <t>ガッコウ</t>
    </rPh>
    <rPh sb="218" eb="220">
      <t>ダンタイ</t>
    </rPh>
    <rPh sb="238" eb="239">
      <t>ジ</t>
    </rPh>
    <rPh sb="246" eb="247">
      <t>トウシセツ</t>
    </rPh>
    <rPh sb="247" eb="248">
      <t>チュウ</t>
    </rPh>
    <rPh sb="250" eb="252">
      <t>ガッコウ</t>
    </rPh>
    <rPh sb="252" eb="254">
      <t>ダンタイ</t>
    </rPh>
    <rPh sb="257" eb="259">
      <t>ガッコウ</t>
    </rPh>
    <rPh sb="265" eb="266">
      <t>ダイ</t>
    </rPh>
    <rPh sb="267" eb="269">
      <t>ニンテイ</t>
    </rPh>
    <rPh sb="272" eb="273">
      <t>エン</t>
    </rPh>
    <rPh sb="273" eb="274">
      <t>ホウ</t>
    </rPh>
    <rPh sb="277" eb="279">
      <t>キョウイク</t>
    </rPh>
    <rPh sb="279" eb="281">
      <t>シセツ</t>
    </rPh>
    <rPh sb="284" eb="285">
      <t>ナラ</t>
    </rPh>
    <rPh sb="288" eb="290">
      <t>クブン</t>
    </rPh>
    <rPh sb="302" eb="303">
      <t>サイキョウイク</t>
    </rPh>
    <rPh sb="304" eb="305">
      <t>オヨ</t>
    </rPh>
    <rPh sb="306" eb="309">
      <t>ホイクショ</t>
    </rPh>
    <rPh sb="309" eb="311">
      <t>ゼンタイ</t>
    </rPh>
    <rPh sb="312" eb="314">
      <t>キョウイク</t>
    </rPh>
    <rPh sb="320" eb="322">
      <t>ジギョウ</t>
    </rPh>
    <rPh sb="333" eb="335">
      <t>リヨウ</t>
    </rPh>
    <rPh sb="340" eb="342">
      <t>ガッコウ</t>
    </rPh>
    <rPh sb="342" eb="344">
      <t>ダンタイ</t>
    </rPh>
    <rPh sb="346" eb="348">
      <t>イッパン</t>
    </rPh>
    <rPh sb="348" eb="350">
      <t>ダンタイ</t>
    </rPh>
    <rPh sb="350" eb="351">
      <t>アツカ</t>
    </rPh>
    <phoneticPr fontId="3"/>
  </si>
  <si>
    <t>　　 メニュー
要対応
アレルゲン</t>
    <rPh sb="19" eb="20">
      <t>ヨウ</t>
    </rPh>
    <rPh sb="20" eb="22">
      <t>タイオウ</t>
    </rPh>
    <phoneticPr fontId="3"/>
  </si>
  <si>
    <t>　　 　　メニュー
要対応
アレルゲン</t>
    <rPh sb="22" eb="23">
      <t>ヨウ</t>
    </rPh>
    <rPh sb="23" eb="25">
      <t>タイオウ</t>
    </rPh>
    <phoneticPr fontId="3"/>
  </si>
  <si>
    <r>
      <rPr>
        <b/>
        <sz val="12"/>
        <color rgb="FF000000"/>
        <rFont val="BIZ UDPゴシック"/>
        <family val="3"/>
        <charset val="128"/>
      </rPr>
      <t>注意３：</t>
    </r>
    <r>
      <rPr>
        <b/>
        <u/>
        <sz val="12"/>
        <color indexed="8"/>
        <rFont val="BIZ UDPゴシック"/>
        <family val="3"/>
        <charset val="128"/>
      </rPr>
      <t>「引率者」の料金区分適用は、ご利用される「全生徒数」の20％まで</t>
    </r>
    <r>
      <rPr>
        <sz val="12"/>
        <color indexed="8"/>
        <rFont val="BIZ UDPゴシック"/>
        <family val="3"/>
        <charset val="128"/>
      </rPr>
      <t>（小数点以下切り捨て）の人数となっております。
　これを超えた人数は、教諭であったとしても、「一般」の料金区分でご記入ください。</t>
    </r>
    <rPh sb="0" eb="2">
      <t>チュウイ</t>
    </rPh>
    <phoneticPr fontId="8"/>
  </si>
  <si>
    <t>午前10：00
     ～午前9：30</t>
    <rPh sb="0" eb="2">
      <t>ゴゼン</t>
    </rPh>
    <rPh sb="14" eb="16">
      <t>ゴゼン</t>
    </rPh>
    <phoneticPr fontId="3"/>
  </si>
  <si>
    <t>午後1：00
       ～午後1：00</t>
    <rPh sb="0" eb="2">
      <t>ゴゴ</t>
    </rPh>
    <rPh sb="15" eb="17">
      <t>ゴゴ</t>
    </rPh>
    <phoneticPr fontId="3"/>
  </si>
  <si>
    <t>午前10：00
　　　～午後5：00</t>
    <rPh sb="0" eb="2">
      <t>ゴゼン</t>
    </rPh>
    <rPh sb="12" eb="14">
      <t>ゴゴ</t>
    </rPh>
    <phoneticPr fontId="3"/>
  </si>
  <si>
    <t>午後1：00
      ～午後1：00</t>
    <rPh sb="0" eb="2">
      <t>ゴゴ</t>
    </rPh>
    <rPh sb="14" eb="16">
      <t>ゴゴ</t>
    </rPh>
    <phoneticPr fontId="3"/>
  </si>
  <si>
    <t>午前10：00
      ～午後5：00</t>
    <rPh sb="0" eb="2">
      <t>ゴゼン</t>
    </rPh>
    <rPh sb="15" eb="17">
      <t>ゴゴ</t>
    </rPh>
    <phoneticPr fontId="3"/>
  </si>
  <si>
    <t>【施設利用時間の規則】
★宿泊利用時間
・午前10:00～（翌）午前9:30まで
★日帰り利用時間
・午前10:00～午後5:00まで</t>
    <rPh sb="14" eb="16">
      <t>シュクハク</t>
    </rPh>
    <rPh sb="16" eb="18">
      <t>リヨウ</t>
    </rPh>
    <rPh sb="18" eb="20">
      <t>ジカン</t>
    </rPh>
    <rPh sb="23" eb="25">
      <t>ゴゼン</t>
    </rPh>
    <rPh sb="32" eb="33">
      <t>ヨク</t>
    </rPh>
    <rPh sb="34" eb="36">
      <t>ゴゼン</t>
    </rPh>
    <rPh sb="45" eb="47">
      <t>ヒガエ</t>
    </rPh>
    <rPh sb="48" eb="50">
      <t>リヨウ</t>
    </rPh>
    <rPh sb="50" eb="52">
      <t>ジカン</t>
    </rPh>
    <rPh sb="55" eb="57">
      <t>ゴゼン</t>
    </rPh>
    <rPh sb="63" eb="65">
      <t>ゴゴ</t>
    </rPh>
    <phoneticPr fontId="8"/>
  </si>
  <si>
    <t>出会いの集い</t>
    <rPh sb="0" eb="2">
      <t>デア</t>
    </rPh>
    <rPh sb="4" eb="5">
      <t>ツド</t>
    </rPh>
    <phoneticPr fontId="8"/>
  </si>
  <si>
    <t>消灯・就寝</t>
    <rPh sb="0" eb="2">
      <t>ショウトウ</t>
    </rPh>
    <rPh sb="3" eb="5">
      <t>シュウシン</t>
    </rPh>
    <phoneticPr fontId="8"/>
  </si>
  <si>
    <t>起床・片付け</t>
    <rPh sb="0" eb="2">
      <t>キショウ</t>
    </rPh>
    <rPh sb="3" eb="5">
      <t>カタヅ</t>
    </rPh>
    <phoneticPr fontId="8"/>
  </si>
  <si>
    <t>清掃・自主チェック</t>
    <rPh sb="0" eb="2">
      <t>セイソウ</t>
    </rPh>
    <rPh sb="3" eb="5">
      <t>ジシュ</t>
    </rPh>
    <phoneticPr fontId="8"/>
  </si>
  <si>
    <t>別れの集い</t>
    <rPh sb="0" eb="1">
      <t>ワカ</t>
    </rPh>
    <rPh sb="3" eb="4">
      <t>ツド</t>
    </rPh>
    <phoneticPr fontId="8"/>
  </si>
  <si>
    <t>軟石クラフト100セット</t>
    <rPh sb="0" eb="2">
      <t>ナンセキ</t>
    </rPh>
    <phoneticPr fontId="8"/>
  </si>
  <si>
    <t>振り返り</t>
    <rPh sb="0" eb="1">
      <t>フ</t>
    </rPh>
    <rPh sb="2" eb="3">
      <t>カエ</t>
    </rPh>
    <phoneticPr fontId="8"/>
  </si>
  <si>
    <t>就寝準備</t>
    <rPh sb="0" eb="4">
      <t>シュウシンジュンビ</t>
    </rPh>
    <phoneticPr fontId="8"/>
  </si>
  <si>
    <t>振り返り
就寝準備</t>
    <rPh sb="0" eb="1">
      <t>フ</t>
    </rPh>
    <rPh sb="2" eb="3">
      <t>カエ</t>
    </rPh>
    <rPh sb="5" eb="7">
      <t>シュウシン</t>
    </rPh>
    <rPh sb="7" eb="9">
      <t>ジュンビ</t>
    </rPh>
    <phoneticPr fontId="8"/>
  </si>
  <si>
    <t>夕食</t>
    <rPh sb="0" eb="2">
      <t>ユウショク</t>
    </rPh>
    <phoneticPr fontId="8"/>
  </si>
  <si>
    <t>館内いきものさがし</t>
    <rPh sb="0" eb="2">
      <t>カンナイ</t>
    </rPh>
    <phoneticPr fontId="8"/>
  </si>
  <si>
    <t>歩くスキー（午前風のはらっぱ・午後エゾリスコース）
持参昼食（宿泊棟）</t>
    <rPh sb="0" eb="1">
      <t>アル</t>
    </rPh>
    <rPh sb="6" eb="8">
      <t>ゴゼン</t>
    </rPh>
    <rPh sb="8" eb="9">
      <t>カゼ</t>
    </rPh>
    <rPh sb="15" eb="17">
      <t>ゴゴ</t>
    </rPh>
    <rPh sb="26" eb="30">
      <t>ジサンチュウショク</t>
    </rPh>
    <rPh sb="31" eb="34">
      <t>シュクハクトウ</t>
    </rPh>
    <phoneticPr fontId="8"/>
  </si>
  <si>
    <t>持参昼食
（宿泊棟）</t>
    <rPh sb="0" eb="4">
      <t>ジサンチュウショク</t>
    </rPh>
    <rPh sb="6" eb="9">
      <t>シュクハクトウ</t>
    </rPh>
    <phoneticPr fontId="171"/>
  </si>
  <si>
    <t>例</t>
    <rPh sb="0" eb="1">
      <t>レイ</t>
    </rPh>
    <phoneticPr fontId="3"/>
  </si>
  <si>
    <t>水</t>
    <rPh sb="0" eb="1">
      <t>スイ</t>
    </rPh>
    <phoneticPr fontId="3"/>
  </si>
  <si>
    <t>木</t>
    <rPh sb="0" eb="1">
      <t>キ</t>
    </rPh>
    <phoneticPr fontId="3"/>
  </si>
  <si>
    <t>おにぎり（梅・梅）</t>
    <rPh sb="5" eb="6">
      <t>ウメ</t>
    </rPh>
    <rPh sb="7" eb="8">
      <t>ウメ</t>
    </rPh>
    <phoneticPr fontId="8"/>
  </si>
  <si>
    <t>おにぎり（塩・塩）</t>
    <rPh sb="5" eb="6">
      <t>シオ</t>
    </rPh>
    <rPh sb="7" eb="8">
      <t>シオ</t>
    </rPh>
    <phoneticPr fontId="8"/>
  </si>
  <si>
    <t>職員指導料</t>
    <rPh sb="0" eb="5">
      <t>ショクインシドウリョウ</t>
    </rPh>
    <phoneticPr fontId="3"/>
  </si>
  <si>
    <t xml:space="preserve"> 利用者名簿</t>
    <phoneticPr fontId="3"/>
  </si>
  <si>
    <r>
      <rPr>
        <b/>
        <sz val="8.5"/>
        <color theme="1"/>
        <rFont val="BIZ UDPゴシック"/>
        <family val="3"/>
        <charset val="128"/>
      </rPr>
      <t>注１：</t>
    </r>
    <r>
      <rPr>
        <sz val="8.5"/>
        <color theme="1"/>
        <rFont val="BIZ UDPゴシック"/>
        <family val="3"/>
        <charset val="128"/>
      </rPr>
      <t xml:space="preserve">入館日の1か月前から部屋割り等の調整をしますのでそれまでに申請書類を提出ください。提出が遅れた場合、先に提出した団体を優先的に調整します。
</t>
    </r>
    <r>
      <rPr>
        <b/>
        <sz val="8.5"/>
        <color theme="1"/>
        <rFont val="BIZ UDPゴシック"/>
        <family val="3"/>
        <charset val="128"/>
      </rPr>
      <t>注２：</t>
    </r>
    <r>
      <rPr>
        <sz val="8.5"/>
        <color theme="1"/>
        <rFont val="BIZ UDPゴシック"/>
        <family val="3"/>
        <charset val="128"/>
      </rPr>
      <t xml:space="preserve">入館日の2週間前までに、すべての申請書類をご提出ください。
</t>
    </r>
    <r>
      <rPr>
        <b/>
        <sz val="8.5"/>
        <color theme="1"/>
        <rFont val="BIZ UDPゴシック"/>
        <family val="3"/>
        <charset val="128"/>
      </rPr>
      <t>注３：</t>
    </r>
    <r>
      <rPr>
        <sz val="8.5"/>
        <color theme="1"/>
        <rFont val="BIZ UDPゴシック"/>
        <family val="3"/>
        <charset val="128"/>
      </rPr>
      <t xml:space="preserve">長期（夏・冬季）休業直後利用の学校団体は、次の期限までに提出してください。
 　　　夏季：8月中旬～9月中旬利用の学校団体
 　　　　　　→　7月1日（17時）が提出期限
 　　　冬季：1月中旬～2月中旬利用の学校団体
 　　　　　　→　12月1日（17時）が提出期限
</t>
    </r>
    <r>
      <rPr>
        <b/>
        <sz val="8.5"/>
        <color theme="1"/>
        <rFont val="BIZ UDPゴシック"/>
        <family val="3"/>
        <charset val="128"/>
      </rPr>
      <t>注４：</t>
    </r>
    <r>
      <rPr>
        <sz val="8.5"/>
        <color theme="1"/>
        <rFont val="BIZ UDPゴシック"/>
        <family val="3"/>
        <charset val="128"/>
      </rPr>
      <t>当施設における学校団体とは、学校教育法第1条及び認定こども園法による教育施設並びに保育所、専門学校、外国人学校等を区分とします。
この際、教育施設及び保育所全体の教育課程、事業計画等に位置づけられていない利用は、学校団体ではなく、一般団体扱いとなります。　　</t>
    </r>
    <rPh sb="0" eb="1">
      <t>チュウ</t>
    </rPh>
    <rPh sb="13" eb="16">
      <t>ヘヤワ</t>
    </rPh>
    <rPh sb="17" eb="18">
      <t>トウ</t>
    </rPh>
    <rPh sb="19" eb="21">
      <t>チョウセイ</t>
    </rPh>
    <rPh sb="44" eb="46">
      <t>テイシュツ</t>
    </rPh>
    <rPh sb="47" eb="48">
      <t>オク</t>
    </rPh>
    <rPh sb="53" eb="54">
      <t>サキ</t>
    </rPh>
    <rPh sb="55" eb="57">
      <t>テイシュツ</t>
    </rPh>
    <rPh sb="59" eb="61">
      <t>ダンタイ</t>
    </rPh>
    <rPh sb="62" eb="65">
      <t>ユウセンテキ</t>
    </rPh>
    <rPh sb="66" eb="68">
      <t>チョウセイ</t>
    </rPh>
    <rPh sb="74" eb="75">
      <t>チュウ</t>
    </rPh>
    <rPh sb="77" eb="79">
      <t>ニュウカン</t>
    </rPh>
    <rPh sb="79" eb="80">
      <t>ビ</t>
    </rPh>
    <rPh sb="93" eb="97">
      <t>シンセイショルイ</t>
    </rPh>
    <rPh sb="99" eb="101">
      <t>テイシュツ</t>
    </rPh>
    <rPh sb="108" eb="109">
      <t>チュウ</t>
    </rPh>
    <rPh sb="116" eb="118">
      <t>トウキ</t>
    </rPh>
    <rPh sb="126" eb="128">
      <t>ガッコウ</t>
    </rPh>
    <rPh sb="128" eb="130">
      <t>ダンタイ</t>
    </rPh>
    <rPh sb="153" eb="155">
      <t>カキ</t>
    </rPh>
    <rPh sb="158" eb="160">
      <t>チュウジュン</t>
    </rPh>
    <rPh sb="163" eb="165">
      <t>チュウジュン</t>
    </rPh>
    <rPh sb="168" eb="170">
      <t>ガッコウ</t>
    </rPh>
    <rPh sb="170" eb="172">
      <t>ダンタイ</t>
    </rPh>
    <rPh sb="189" eb="190">
      <t>ジ</t>
    </rPh>
    <rPh sb="201" eb="203">
      <t>トウキ</t>
    </rPh>
    <rPh sb="206" eb="208">
      <t>チュウジュン</t>
    </rPh>
    <rPh sb="211" eb="213">
      <t>チュウジュン</t>
    </rPh>
    <rPh sb="213" eb="215">
      <t>リヨウ</t>
    </rPh>
    <rPh sb="216" eb="218">
      <t>ガッコウ</t>
    </rPh>
    <rPh sb="218" eb="220">
      <t>ダンタイ</t>
    </rPh>
    <rPh sb="238" eb="239">
      <t>ジ</t>
    </rPh>
    <rPh sb="246" eb="247">
      <t>トウシセツ</t>
    </rPh>
    <rPh sb="247" eb="248">
      <t>チュウ</t>
    </rPh>
    <rPh sb="250" eb="252">
      <t>ガッコウ</t>
    </rPh>
    <rPh sb="252" eb="254">
      <t>ダンタイ</t>
    </rPh>
    <rPh sb="257" eb="259">
      <t>ガッコウ</t>
    </rPh>
    <rPh sb="265" eb="266">
      <t>ダイ</t>
    </rPh>
    <rPh sb="267" eb="269">
      <t>ニンテイ</t>
    </rPh>
    <rPh sb="272" eb="273">
      <t>エン</t>
    </rPh>
    <rPh sb="273" eb="274">
      <t>ホウ</t>
    </rPh>
    <rPh sb="277" eb="279">
      <t>キョウイク</t>
    </rPh>
    <rPh sb="279" eb="281">
      <t>シセツ</t>
    </rPh>
    <rPh sb="284" eb="285">
      <t>ナラ</t>
    </rPh>
    <rPh sb="288" eb="290">
      <t>クブン</t>
    </rPh>
    <rPh sb="295" eb="299">
      <t>センモンガッコウ</t>
    </rPh>
    <rPh sb="300" eb="306">
      <t>ガイコクジンガッコウトウ</t>
    </rPh>
    <rPh sb="314" eb="315">
      <t>サイキョウイク</t>
    </rPh>
    <rPh sb="316" eb="317">
      <t>オヨ</t>
    </rPh>
    <rPh sb="318" eb="321">
      <t>ホイクショ</t>
    </rPh>
    <rPh sb="321" eb="323">
      <t>ゼンタイ</t>
    </rPh>
    <rPh sb="324" eb="326">
      <t>キョウイク</t>
    </rPh>
    <rPh sb="332" eb="334">
      <t>ジギョウ</t>
    </rPh>
    <rPh sb="345" eb="347">
      <t>リヨウ</t>
    </rPh>
    <rPh sb="352" eb="354">
      <t>ガッコウ</t>
    </rPh>
    <rPh sb="354" eb="356">
      <t>ダンタイ</t>
    </rPh>
    <rPh sb="358" eb="360">
      <t>イッパン</t>
    </rPh>
    <rPh sb="360" eb="362">
      <t>ダンタイ</t>
    </rPh>
    <rPh sb="362" eb="363">
      <t>アツカ</t>
    </rPh>
    <phoneticPr fontId="3"/>
  </si>
  <si>
    <t>※夕方の炊事の場合は、7時までに終了する形でご計画ください。</t>
    <rPh sb="1" eb="3">
      <t>ユウガタ</t>
    </rPh>
    <rPh sb="4" eb="6">
      <t>スイジ</t>
    </rPh>
    <rPh sb="7" eb="9">
      <t>バアイ</t>
    </rPh>
    <rPh sb="12" eb="13">
      <t>ジ</t>
    </rPh>
    <rPh sb="16" eb="18">
      <t>シュウリョウ</t>
    </rPh>
    <rPh sb="20" eb="21">
      <t>カタチ</t>
    </rPh>
    <rPh sb="23" eb="25">
      <t>ケイカク</t>
    </rPh>
    <phoneticPr fontId="8"/>
  </si>
  <si>
    <t>スノークラフト</t>
    <phoneticPr fontId="171"/>
  </si>
  <si>
    <t>館内
いきものさがし</t>
    <rPh sb="0" eb="2">
      <t>カンナイ</t>
    </rPh>
    <phoneticPr fontId="171"/>
  </si>
  <si>
    <t>軟石クラフト
100セット</t>
    <rPh sb="0" eb="2">
      <t>ナンセキ</t>
    </rPh>
    <phoneticPr fontId="8"/>
  </si>
  <si>
    <t>館内
いきものさがし</t>
    <rPh sb="0" eb="2">
      <t>カンナイ</t>
    </rPh>
    <phoneticPr fontId="8"/>
  </si>
  <si>
    <t>01 使用承認申請書</t>
    <rPh sb="3" eb="5">
      <t>シヨウ</t>
    </rPh>
    <rPh sb="5" eb="7">
      <t>ショウニン</t>
    </rPh>
    <rPh sb="7" eb="10">
      <t>シンセイショ</t>
    </rPh>
    <phoneticPr fontId="3"/>
  </si>
  <si>
    <r>
      <t>ご入館日</t>
    </r>
    <r>
      <rPr>
        <b/>
        <u/>
        <sz val="10.5"/>
        <color theme="0"/>
        <rFont val="BIZ UDPゴシック"/>
        <family val="3"/>
        <charset val="128"/>
      </rPr>
      <t>1か月前まで</t>
    </r>
    <rPh sb="1" eb="3">
      <t>ニュウカン</t>
    </rPh>
    <rPh sb="3" eb="4">
      <t>ビ</t>
    </rPh>
    <rPh sb="6" eb="7">
      <t>ゲツ</t>
    </rPh>
    <rPh sb="7" eb="8">
      <t>マエ</t>
    </rPh>
    <phoneticPr fontId="3"/>
  </si>
  <si>
    <t>　ご入館日1か月前（長期休業直後利用の学校団体を除く）から利用調整を開始いたしますので、それまでにお申し込み（予約及び申請書類提出）を終えられることを推奨します。</t>
    <rPh sb="2" eb="5">
      <t>ニュウカンビ</t>
    </rPh>
    <rPh sb="7" eb="8">
      <t>ゲツ</t>
    </rPh>
    <rPh sb="8" eb="9">
      <t>マエ</t>
    </rPh>
    <rPh sb="10" eb="12">
      <t>チョウキ</t>
    </rPh>
    <rPh sb="12" eb="14">
      <t>キュウギョウ</t>
    </rPh>
    <rPh sb="14" eb="16">
      <t>チョクゴ</t>
    </rPh>
    <rPh sb="16" eb="18">
      <t>リヨウ</t>
    </rPh>
    <rPh sb="19" eb="21">
      <t>ガッコウ</t>
    </rPh>
    <rPh sb="21" eb="23">
      <t>ダンタイ</t>
    </rPh>
    <rPh sb="24" eb="25">
      <t>ノゾ</t>
    </rPh>
    <rPh sb="29" eb="31">
      <t>リヨウ</t>
    </rPh>
    <rPh sb="31" eb="33">
      <t>チョウセイ</t>
    </rPh>
    <rPh sb="34" eb="36">
      <t>カイシ</t>
    </rPh>
    <rPh sb="50" eb="51">
      <t>モウ</t>
    </rPh>
    <rPh sb="52" eb="53">
      <t>コ</t>
    </rPh>
    <rPh sb="55" eb="57">
      <t>ヨヤク</t>
    </rPh>
    <rPh sb="57" eb="58">
      <t>オヨ</t>
    </rPh>
    <rPh sb="61" eb="63">
      <t>ショルイ</t>
    </rPh>
    <rPh sb="63" eb="65">
      <t>テイシュツ</t>
    </rPh>
    <rPh sb="67" eb="68">
      <t>オ</t>
    </rPh>
    <rPh sb="75" eb="77">
      <t>スイショウ</t>
    </rPh>
    <phoneticPr fontId="3"/>
  </si>
  <si>
    <r>
      <t>ご入館日</t>
    </r>
    <r>
      <rPr>
        <b/>
        <u/>
        <sz val="10.5"/>
        <color theme="1"/>
        <rFont val="BIZ UDPゴシック"/>
        <family val="3"/>
        <charset val="128"/>
      </rPr>
      <t>２週間前まで</t>
    </r>
    <rPh sb="1" eb="3">
      <t>ニュウカン</t>
    </rPh>
    <rPh sb="3" eb="4">
      <t>ヒ</t>
    </rPh>
    <rPh sb="5" eb="7">
      <t>シュウカン</t>
    </rPh>
    <rPh sb="7" eb="8">
      <t>マエ</t>
    </rPh>
    <phoneticPr fontId="3"/>
  </si>
  <si>
    <t>03 食事申込書</t>
    <rPh sb="3" eb="5">
      <t>ショクジ</t>
    </rPh>
    <rPh sb="5" eb="8">
      <t>モウシコミショ</t>
    </rPh>
    <phoneticPr fontId="3"/>
  </si>
  <si>
    <t>04 食物アレルギー確認書</t>
    <rPh sb="3" eb="5">
      <t>ショクモツ</t>
    </rPh>
    <rPh sb="10" eb="13">
      <t>カクニンショ</t>
    </rPh>
    <phoneticPr fontId="3"/>
  </si>
  <si>
    <r>
      <t>　お申し込み（予約及び全ての申請書類提出）は、</t>
    </r>
    <r>
      <rPr>
        <b/>
        <u/>
        <sz val="10.5"/>
        <color theme="1"/>
        <rFont val="BIZ UDPゴシック"/>
        <family val="3"/>
        <charset val="128"/>
      </rPr>
      <t>ご入館日２週間前の１７時をもって締め切り</t>
    </r>
    <r>
      <rPr>
        <sz val="10.5"/>
        <color theme="1"/>
        <rFont val="BIZ UDPゴシック"/>
        <family val="3"/>
        <charset val="128"/>
      </rPr>
      <t xml:space="preserve">とさせていただきます。
　全ての書類が整わなくとも、見込みの内容でかまいませんので、ご作成可能な書類から順次ご提出いただくことをお勧めします。正確な内容につきましては後日お知らせください。
</t>
    </r>
    <rPh sb="2" eb="3">
      <t>モウ</t>
    </rPh>
    <rPh sb="4" eb="5">
      <t>コ</t>
    </rPh>
    <rPh sb="7" eb="9">
      <t>ヨヤク</t>
    </rPh>
    <rPh sb="9" eb="10">
      <t>オヨ</t>
    </rPh>
    <rPh sb="11" eb="12">
      <t>スベ</t>
    </rPh>
    <rPh sb="14" eb="16">
      <t>シンセイ</t>
    </rPh>
    <rPh sb="16" eb="18">
      <t>ショルイ</t>
    </rPh>
    <rPh sb="18" eb="20">
      <t>テイシュツ</t>
    </rPh>
    <rPh sb="24" eb="27">
      <t>ニュウカンビ</t>
    </rPh>
    <rPh sb="28" eb="30">
      <t>シュウカン</t>
    </rPh>
    <rPh sb="30" eb="31">
      <t>マエ</t>
    </rPh>
    <rPh sb="34" eb="35">
      <t>ジ</t>
    </rPh>
    <rPh sb="39" eb="40">
      <t>シ</t>
    </rPh>
    <rPh sb="41" eb="42">
      <t>キ</t>
    </rPh>
    <phoneticPr fontId="3"/>
  </si>
  <si>
    <t>0５ 利用者名簿</t>
    <rPh sb="3" eb="6">
      <t>リヨウシャ</t>
    </rPh>
    <rPh sb="6" eb="8">
      <t>メイボ</t>
    </rPh>
    <phoneticPr fontId="3"/>
  </si>
  <si>
    <r>
      <t>ご入館日</t>
    </r>
    <r>
      <rPr>
        <b/>
        <u/>
        <sz val="10.5"/>
        <color theme="1"/>
        <rFont val="BIZ UDPゴシック"/>
        <family val="3"/>
        <charset val="128"/>
      </rPr>
      <t>２週間前まで</t>
    </r>
    <r>
      <rPr>
        <sz val="11"/>
        <color theme="1"/>
        <rFont val="ＭＳ Ｐゴシック"/>
        <family val="2"/>
        <charset val="128"/>
        <scheme val="minor"/>
      </rPr>
      <t/>
    </r>
    <rPh sb="1" eb="3">
      <t>ニュウカン</t>
    </rPh>
    <rPh sb="3" eb="4">
      <t>ヒ</t>
    </rPh>
    <rPh sb="5" eb="7">
      <t>シュウカン</t>
    </rPh>
    <rPh sb="7" eb="8">
      <t>マエ</t>
    </rPh>
    <phoneticPr fontId="3"/>
  </si>
  <si>
    <t>0６ 人数報告用紙</t>
    <rPh sb="3" eb="5">
      <t>ニンズウ</t>
    </rPh>
    <rPh sb="5" eb="7">
      <t>ホウコク</t>
    </rPh>
    <rPh sb="7" eb="9">
      <t>ヨウシ</t>
    </rPh>
    <phoneticPr fontId="3"/>
  </si>
  <si>
    <t>0７ 使用料減免申請書</t>
    <rPh sb="3" eb="6">
      <t>シヨウリョウ</t>
    </rPh>
    <rPh sb="6" eb="8">
      <t>ゲンメン</t>
    </rPh>
    <rPh sb="8" eb="11">
      <t>シンセイショ</t>
    </rPh>
    <phoneticPr fontId="3"/>
  </si>
  <si>
    <t>0８-1 補助的指導者使用申込書</t>
    <rPh sb="5" eb="8">
      <t>ホジョテキ</t>
    </rPh>
    <rPh sb="8" eb="11">
      <t>シドウシャ</t>
    </rPh>
    <rPh sb="11" eb="13">
      <t>シヨウ</t>
    </rPh>
    <rPh sb="13" eb="16">
      <t>モウシコミショ</t>
    </rPh>
    <phoneticPr fontId="3"/>
  </si>
  <si>
    <t>0８-2 補助的指導者駐車カード</t>
    <rPh sb="5" eb="8">
      <t>ホジョテキ</t>
    </rPh>
    <rPh sb="8" eb="11">
      <t>シドウシャ</t>
    </rPh>
    <rPh sb="11" eb="13">
      <t>チュウシャ</t>
    </rPh>
    <phoneticPr fontId="3"/>
  </si>
  <si>
    <t>必要があれば提出</t>
    <rPh sb="0" eb="2">
      <t>ヒツヨウ</t>
    </rPh>
    <rPh sb="6" eb="8">
      <t>テイシュツ</t>
    </rPh>
    <phoneticPr fontId="3"/>
  </si>
  <si>
    <t>02-1・2 利用計画書</t>
    <rPh sb="7" eb="9">
      <t>リヨウ</t>
    </rPh>
    <rPh sb="9" eb="11">
      <t>ケイカク</t>
    </rPh>
    <rPh sb="11" eb="12">
      <t>ショ</t>
    </rPh>
    <phoneticPr fontId="3"/>
  </si>
  <si>
    <t xml:space="preserve"> 歩くスキー事前調査票（該当校のみ）</t>
    <rPh sb="1" eb="2">
      <t>アル</t>
    </rPh>
    <rPh sb="6" eb="11">
      <t>ジゼンチョウサヒョウ</t>
    </rPh>
    <rPh sb="12" eb="15">
      <t>ガイトウコウ</t>
    </rPh>
    <phoneticPr fontId="8"/>
  </si>
  <si>
    <t>）</t>
    <phoneticPr fontId="171"/>
  </si>
  <si>
    <t>（</t>
    <phoneticPr fontId="171"/>
  </si>
  <si>
    <t>備考</t>
    <rPh sb="0" eb="2">
      <t>ビコウ</t>
    </rPh>
    <phoneticPr fontId="171"/>
  </si>
  <si>
    <t>火</t>
    <rPh sb="0" eb="1">
      <t>カ</t>
    </rPh>
    <phoneticPr fontId="171"/>
  </si>
  <si>
    <t>水</t>
    <rPh sb="0" eb="1">
      <t>スイ</t>
    </rPh>
    <phoneticPr fontId="171"/>
  </si>
  <si>
    <t>持参昼食</t>
    <rPh sb="0" eb="4">
      <t>ジサンチュウショク</t>
    </rPh>
    <phoneticPr fontId="171"/>
  </si>
  <si>
    <t>館内レク</t>
    <rPh sb="0" eb="2">
      <t>カンナイ</t>
    </rPh>
    <phoneticPr fontId="171"/>
  </si>
  <si>
    <t>補助の先生は来館時に必ず
印刷してお持ちください。</t>
    <rPh sb="0" eb="2">
      <t>ホジョ</t>
    </rPh>
    <rPh sb="3" eb="5">
      <t>センセイ</t>
    </rPh>
    <rPh sb="6" eb="8">
      <t>ライカン</t>
    </rPh>
    <rPh sb="8" eb="9">
      <t>ジ</t>
    </rPh>
    <rPh sb="10" eb="11">
      <t>カナラ</t>
    </rPh>
    <rPh sb="13" eb="15">
      <t>インサツ</t>
    </rPh>
    <rPh sb="18" eb="19">
      <t>モ</t>
    </rPh>
    <phoneticPr fontId="3"/>
  </si>
  <si>
    <t>yama@syaa.jp</t>
    <phoneticPr fontId="5"/>
  </si>
  <si>
    <t>焚火でおやつセット</t>
    <rPh sb="0" eb="2">
      <t>タキビ</t>
    </rPh>
    <phoneticPr fontId="28"/>
  </si>
  <si>
    <t>　焚火でおやつセット</t>
    <rPh sb="1" eb="3">
      <t>タキビ</t>
    </rPh>
    <phoneticPr fontId="28"/>
  </si>
  <si>
    <t>　焚火でおやつセット</t>
    <phoneticPr fontId="3"/>
  </si>
  <si>
    <t>カレーライス</t>
    <phoneticPr fontId="28"/>
  </si>
  <si>
    <t>焼きそば</t>
    <rPh sb="0" eb="1">
      <t>ヤ</t>
    </rPh>
    <phoneticPr fontId="28"/>
  </si>
  <si>
    <t>緑枠</t>
    <rPh sb="0" eb="1">
      <t>ミドリ</t>
    </rPh>
    <rPh sb="1" eb="2">
      <t>ワク</t>
    </rPh>
    <phoneticPr fontId="5"/>
  </si>
  <si>
    <t>担当</t>
    <rPh sb="0" eb="2">
      <t>タントウ</t>
    </rPh>
    <phoneticPr fontId="3"/>
  </si>
  <si>
    <t>令和</t>
    <rPh sb="0" eb="2">
      <t>レイワ</t>
    </rPh>
    <phoneticPr fontId="8"/>
  </si>
  <si>
    <r>
      <t>札幌市青少年山の家　【 利用計画書 】</t>
    </r>
    <r>
      <rPr>
        <sz val="20"/>
        <color rgb="FFFF0000"/>
        <rFont val="BIZ UDPゴシック"/>
        <family val="3"/>
        <charset val="128"/>
      </rPr>
      <t>Aパターン</t>
    </r>
    <rPh sb="12" eb="14">
      <t>リヨウ</t>
    </rPh>
    <rPh sb="14" eb="17">
      <t>ケイカクショ</t>
    </rPh>
    <phoneticPr fontId="3"/>
  </si>
  <si>
    <r>
      <t>札幌市青少年山の家　【 利用計画書 】</t>
    </r>
    <r>
      <rPr>
        <sz val="20"/>
        <color rgb="FFFF0000"/>
        <rFont val="BIZ UDPゴシック"/>
        <family val="3"/>
        <charset val="128"/>
      </rPr>
      <t>Bパターン</t>
    </r>
    <rPh sb="12" eb="14">
      <t>リヨウ</t>
    </rPh>
    <rPh sb="14" eb="17">
      <t>ケイカクショ</t>
    </rPh>
    <phoneticPr fontId="3"/>
  </si>
  <si>
    <t>令和4</t>
    <rPh sb="0" eb="2">
      <t>レイワ</t>
    </rPh>
    <phoneticPr fontId="3"/>
  </si>
  <si>
    <t>滝野のいきものさがし図鑑</t>
    <phoneticPr fontId="3"/>
  </si>
  <si>
    <t>札幌市青少年山の家　【人数報告用紙①】　</t>
    <rPh sb="0" eb="3">
      <t>サッポロシ</t>
    </rPh>
    <rPh sb="3" eb="7">
      <t>セイショウネンヤマ</t>
    </rPh>
    <rPh sb="8" eb="9">
      <t>イエ</t>
    </rPh>
    <rPh sb="11" eb="15">
      <t>ニンズウホウコク</t>
    </rPh>
    <rPh sb="15" eb="17">
      <t>ヨウシ</t>
    </rPh>
    <phoneticPr fontId="21"/>
  </si>
  <si>
    <t>令和4</t>
    <rPh sb="0" eb="2">
      <t>レイワ</t>
    </rPh>
    <phoneticPr fontId="29"/>
  </si>
  <si>
    <t>夕食準備</t>
    <rPh sb="0" eb="4">
      <t>ユウショクジュンビ</t>
    </rPh>
    <phoneticPr fontId="8"/>
  </si>
  <si>
    <t>ハイキング（こどもの森コース）
持参昼食（森の教室）
図鑑〇セット</t>
    <rPh sb="10" eb="11">
      <t>モリ</t>
    </rPh>
    <rPh sb="16" eb="18">
      <t>ジサン</t>
    </rPh>
    <rPh sb="18" eb="20">
      <t>チュウショク</t>
    </rPh>
    <rPh sb="21" eb="22">
      <t>モリ</t>
    </rPh>
    <rPh sb="23" eb="25">
      <t>キョウシツ</t>
    </rPh>
    <rPh sb="27" eb="29">
      <t>ズカン</t>
    </rPh>
    <phoneticPr fontId="8"/>
  </si>
  <si>
    <t>館内レク</t>
    <rPh sb="0" eb="2">
      <t>カンナイ</t>
    </rPh>
    <phoneticPr fontId="8"/>
  </si>
  <si>
    <t>休憩・荷物移動</t>
    <rPh sb="0" eb="2">
      <t>キュウケイ</t>
    </rPh>
    <rPh sb="3" eb="7">
      <t>ニモツイドウ</t>
    </rPh>
    <phoneticPr fontId="8"/>
  </si>
  <si>
    <t>こどもの谷
※徒歩で移動します
※帰りのバスは東口で乗車します</t>
    <rPh sb="4" eb="5">
      <t>タニ</t>
    </rPh>
    <rPh sb="7" eb="9">
      <t>トホ</t>
    </rPh>
    <rPh sb="10" eb="12">
      <t>イドウ</t>
    </rPh>
    <rPh sb="17" eb="18">
      <t>カエ</t>
    </rPh>
    <rPh sb="23" eb="25">
      <t>ヒガシグチ</t>
    </rPh>
    <rPh sb="26" eb="28">
      <t>ジョウシャ</t>
    </rPh>
    <phoneticPr fontId="8"/>
  </si>
  <si>
    <t>※荒天時は南駐車場からバスに乗って帰ります。</t>
    <rPh sb="1" eb="4">
      <t>コウテンジ</t>
    </rPh>
    <rPh sb="5" eb="6">
      <t>ミナミ</t>
    </rPh>
    <rPh sb="6" eb="9">
      <t>チュウシャジョウ</t>
    </rPh>
    <rPh sb="14" eb="15">
      <t>ノ</t>
    </rPh>
    <rPh sb="17" eb="18">
      <t>カエ</t>
    </rPh>
    <phoneticPr fontId="8"/>
  </si>
  <si>
    <t>朝の集い</t>
    <rPh sb="0" eb="1">
      <t>アサ</t>
    </rPh>
    <rPh sb="2" eb="3">
      <t>ツド</t>
    </rPh>
    <phoneticPr fontId="8"/>
  </si>
  <si>
    <t>持参昼食</t>
    <rPh sb="0" eb="4">
      <t>ジサンチュウショク</t>
    </rPh>
    <phoneticPr fontId="8"/>
  </si>
  <si>
    <t>※山の家職員へプログラムの企画・指導を依頼したときに発生</t>
    <rPh sb="1" eb="2">
      <t>ヤマ</t>
    </rPh>
    <rPh sb="3" eb="4">
      <t>イエ</t>
    </rPh>
    <rPh sb="4" eb="6">
      <t>ショクイン</t>
    </rPh>
    <rPh sb="13" eb="15">
      <t>キカク</t>
    </rPh>
    <rPh sb="16" eb="18">
      <t>シドウ</t>
    </rPh>
    <rPh sb="19" eb="21">
      <t>イライ</t>
    </rPh>
    <rPh sb="26" eb="28">
      <t>ハッセイ</t>
    </rPh>
    <phoneticPr fontId="3"/>
  </si>
  <si>
    <t>軟石クラフト</t>
    <rPh sb="0" eb="2">
      <t>ナンセキ</t>
    </rPh>
    <phoneticPr fontId="3"/>
  </si>
  <si>
    <t>炊き出し</t>
    <rPh sb="0" eb="1">
      <t>タ</t>
    </rPh>
    <rPh sb="2" eb="3">
      <t>ダ</t>
    </rPh>
    <phoneticPr fontId="28"/>
  </si>
  <si>
    <t>●キャンプファイヤーは、晴天荒天に関わらず、屋内で実施します。
●車いすの児童がいますので、入浴時間等の相談をさせてください。</t>
    <rPh sb="12" eb="16">
      <t>セイテンコウテン</t>
    </rPh>
    <rPh sb="17" eb="18">
      <t>カカ</t>
    </rPh>
    <rPh sb="22" eb="24">
      <t>オクナイ</t>
    </rPh>
    <rPh sb="25" eb="27">
      <t>ジッシ</t>
    </rPh>
    <rPh sb="33" eb="34">
      <t>クルマ</t>
    </rPh>
    <rPh sb="37" eb="39">
      <t>ジドウ</t>
    </rPh>
    <rPh sb="46" eb="51">
      <t>ニュウヨクジカントウ</t>
    </rPh>
    <rPh sb="52" eb="54">
      <t>ソウダン</t>
    </rPh>
    <phoneticPr fontId="8"/>
  </si>
  <si>
    <t>防災炊事
（くわの実広場）
10班</t>
    <rPh sb="0" eb="4">
      <t>ボウサイスイジ</t>
    </rPh>
    <rPh sb="9" eb="10">
      <t>ミ</t>
    </rPh>
    <rPh sb="10" eb="12">
      <t>ヒロバ</t>
    </rPh>
    <rPh sb="16" eb="17">
      <t>ハン</t>
    </rPh>
    <phoneticPr fontId="8"/>
  </si>
  <si>
    <t>休憩・準備</t>
    <rPh sb="0" eb="2">
      <t>キュウケイ</t>
    </rPh>
    <rPh sb="3" eb="5">
      <t>ジュンビ</t>
    </rPh>
    <phoneticPr fontId="8"/>
  </si>
  <si>
    <t>丸太から薪づくり</t>
    <rPh sb="0" eb="2">
      <t>マルタ</t>
    </rPh>
    <rPh sb="4" eb="5">
      <t>マキ</t>
    </rPh>
    <phoneticPr fontId="8"/>
  </si>
  <si>
    <t>防災体験
※内容は相談させて下さい</t>
    <rPh sb="0" eb="4">
      <t>ボウサイタイケン</t>
    </rPh>
    <rPh sb="6" eb="8">
      <t>ナイヨウ</t>
    </rPh>
    <rPh sb="9" eb="11">
      <t>ソウダン</t>
    </rPh>
    <rPh sb="14" eb="15">
      <t>クダ</t>
    </rPh>
    <phoneticPr fontId="8"/>
  </si>
  <si>
    <t>荷物移動
持参昼食</t>
    <rPh sb="0" eb="4">
      <t>ニモツイドウ</t>
    </rPh>
    <rPh sb="5" eb="9">
      <t>ジサンチュウショク</t>
    </rPh>
    <phoneticPr fontId="8"/>
  </si>
  <si>
    <t>バードウォッチング
図鑑90冊
双眼鏡30個</t>
    <rPh sb="10" eb="12">
      <t>ズカン</t>
    </rPh>
    <rPh sb="14" eb="15">
      <t>サツ</t>
    </rPh>
    <rPh sb="16" eb="19">
      <t>ソウガンキョウ</t>
    </rPh>
    <rPh sb="21" eb="22">
      <t>コ</t>
    </rPh>
    <phoneticPr fontId="8"/>
  </si>
  <si>
    <t>館内生き物探し
オリエンテーリング</t>
    <rPh sb="0" eb="2">
      <t>カンナイ</t>
    </rPh>
    <rPh sb="2" eb="3">
      <t>イ</t>
    </rPh>
    <rPh sb="4" eb="6">
      <t>モノサガ</t>
    </rPh>
    <phoneticPr fontId="8"/>
  </si>
  <si>
    <r>
      <t>札幌市青少年山の家　【 利用計画書 （例）】</t>
    </r>
    <r>
      <rPr>
        <b/>
        <sz val="20"/>
        <color rgb="FFFF0000"/>
        <rFont val="BIZ UDPゴシック"/>
        <family val="3"/>
        <charset val="128"/>
      </rPr>
      <t>　野外炊事+バードウォッチング</t>
    </r>
    <rPh sb="12" eb="14">
      <t>リヨウ</t>
    </rPh>
    <rPh sb="14" eb="17">
      <t>ケイカクショ</t>
    </rPh>
    <rPh sb="19" eb="20">
      <t>レイ</t>
    </rPh>
    <rPh sb="23" eb="27">
      <t>ヤガイスイジ</t>
    </rPh>
    <phoneticPr fontId="3"/>
  </si>
  <si>
    <r>
      <t>札幌市青少年山の家　【 利用計画書 （例）】</t>
    </r>
    <r>
      <rPr>
        <b/>
        <sz val="20"/>
        <color rgb="FFFF0000"/>
        <rFont val="BIZ UDPゴシック"/>
        <family val="3"/>
        <charset val="128"/>
      </rPr>
      <t>どっぷり防災体験</t>
    </r>
    <rPh sb="12" eb="14">
      <t>リヨウ</t>
    </rPh>
    <rPh sb="14" eb="17">
      <t>ケイカクショ</t>
    </rPh>
    <rPh sb="19" eb="20">
      <t>レイ</t>
    </rPh>
    <rPh sb="26" eb="30">
      <t>ボウサイタイケン</t>
    </rPh>
    <phoneticPr fontId="3"/>
  </si>
  <si>
    <r>
      <t>札幌市青少年山の家　【 利用計画書 （例）】　</t>
    </r>
    <r>
      <rPr>
        <b/>
        <sz val="20"/>
        <color rgb="FFFF0000"/>
        <rFont val="BIZ UDPゴシック"/>
        <family val="3"/>
        <charset val="128"/>
      </rPr>
      <t>ハイキング＆焚火でおやつ体験</t>
    </r>
    <rPh sb="12" eb="14">
      <t>リヨウ</t>
    </rPh>
    <rPh sb="14" eb="17">
      <t>ケイカクショ</t>
    </rPh>
    <rPh sb="19" eb="20">
      <t>レイ</t>
    </rPh>
    <rPh sb="29" eb="31">
      <t>タキビ</t>
    </rPh>
    <rPh sb="35" eb="37">
      <t>タイケン</t>
    </rPh>
    <phoneticPr fontId="3"/>
  </si>
  <si>
    <t>休憩・荷物移動</t>
    <rPh sb="0" eb="2">
      <t>キュウケイ</t>
    </rPh>
    <rPh sb="3" eb="7">
      <t>ニモツイドウ</t>
    </rPh>
    <phoneticPr fontId="171"/>
  </si>
  <si>
    <t>防災炊事
（くわの実広場）
12班</t>
    <rPh sb="0" eb="4">
      <t>ボウサイスイジ</t>
    </rPh>
    <rPh sb="9" eb="10">
      <t>ミ</t>
    </rPh>
    <rPh sb="10" eb="12">
      <t>ヒロバ</t>
    </rPh>
    <rPh sb="16" eb="17">
      <t>ハン</t>
    </rPh>
    <phoneticPr fontId="8"/>
  </si>
  <si>
    <t>チューブ滑り
（風のはらっぱ）</t>
    <rPh sb="4" eb="5">
      <t>スベ</t>
    </rPh>
    <rPh sb="8" eb="9">
      <t>カゼ</t>
    </rPh>
    <phoneticPr fontId="171"/>
  </si>
  <si>
    <r>
      <t>札幌市青少年山の家　【 利用計画書 （例）</t>
    </r>
    <r>
      <rPr>
        <b/>
        <sz val="20"/>
        <color indexed="8"/>
        <rFont val="BIZ UDPゴシック"/>
        <family val="3"/>
        <charset val="128"/>
      </rPr>
      <t>】</t>
    </r>
    <r>
      <rPr>
        <b/>
        <sz val="20"/>
        <color rgb="FFFF0000"/>
        <rFont val="BIZ UDPゴシック"/>
        <family val="3"/>
        <charset val="128"/>
      </rPr>
      <t>炊事＆チューブ滑り</t>
    </r>
    <rPh sb="12" eb="14">
      <t>リヨウ</t>
    </rPh>
    <rPh sb="14" eb="17">
      <t>ケイカクショ</t>
    </rPh>
    <rPh sb="19" eb="20">
      <t>レイ</t>
    </rPh>
    <rPh sb="22" eb="24">
      <t>スイジ</t>
    </rPh>
    <rPh sb="29" eb="30">
      <t>スベ</t>
    </rPh>
    <phoneticPr fontId="3"/>
  </si>
  <si>
    <t>こどもの谷・チューブ滑り
※徒歩で移動します
※帰りのバスは中央口で乗車します</t>
    <rPh sb="4" eb="5">
      <t>タニ</t>
    </rPh>
    <rPh sb="10" eb="11">
      <t>スベ</t>
    </rPh>
    <rPh sb="14" eb="16">
      <t>トホ</t>
    </rPh>
    <rPh sb="17" eb="19">
      <t>イドウ</t>
    </rPh>
    <rPh sb="24" eb="25">
      <t>カエ</t>
    </rPh>
    <rPh sb="30" eb="33">
      <t>チュウオウグチ</t>
    </rPh>
    <rPh sb="34" eb="36">
      <t>ジョウシャ</t>
    </rPh>
    <phoneticPr fontId="8"/>
  </si>
  <si>
    <t>片付け・夕食準備</t>
    <rPh sb="0" eb="2">
      <t>カタヅ</t>
    </rPh>
    <rPh sb="4" eb="8">
      <t>ユウショクジュンビ</t>
    </rPh>
    <phoneticPr fontId="8"/>
  </si>
  <si>
    <r>
      <t>札幌市青少年山の家　【 利用計画書 （例）】</t>
    </r>
    <r>
      <rPr>
        <b/>
        <sz val="20"/>
        <color rgb="FFFF0000"/>
        <rFont val="BIZ UDPゴシック"/>
        <family val="3"/>
        <charset val="128"/>
      </rPr>
      <t>歩くスキー</t>
    </r>
    <rPh sb="12" eb="14">
      <t>リヨウ</t>
    </rPh>
    <rPh sb="14" eb="17">
      <t>ケイカクショ</t>
    </rPh>
    <rPh sb="19" eb="20">
      <t>レイ</t>
    </rPh>
    <rPh sb="22" eb="23">
      <t>アル</t>
    </rPh>
    <phoneticPr fontId="3"/>
  </si>
  <si>
    <t>荷物移動・片付け・休憩</t>
    <rPh sb="0" eb="4">
      <t>ニモツイドウ</t>
    </rPh>
    <rPh sb="5" eb="7">
      <t>カタヅ</t>
    </rPh>
    <rPh sb="9" eb="11">
      <t>キュウケイ</t>
    </rPh>
    <phoneticPr fontId="8"/>
  </si>
  <si>
    <t>焚火でおやつ体験
（くわのみ広場）
薪5束</t>
    <rPh sb="0" eb="2">
      <t>タキビ</t>
    </rPh>
    <rPh sb="6" eb="8">
      <t>タイケン</t>
    </rPh>
    <rPh sb="14" eb="16">
      <t>ヒロバ</t>
    </rPh>
    <rPh sb="18" eb="19">
      <t>マキ</t>
    </rPh>
    <rPh sb="20" eb="21">
      <t>タバ</t>
    </rPh>
    <phoneticPr fontId="171"/>
  </si>
  <si>
    <r>
      <t>札幌市青少年山の家　【 利用計画書 （例）】</t>
    </r>
    <r>
      <rPr>
        <b/>
        <sz val="20"/>
        <color rgb="FFFF0000"/>
        <rFont val="BIZ UDPゴシック"/>
        <family val="3"/>
        <charset val="128"/>
      </rPr>
      <t>自然体験+焚火でおやつパターン</t>
    </r>
    <rPh sb="12" eb="14">
      <t>リヨウ</t>
    </rPh>
    <rPh sb="14" eb="17">
      <t>ケイカクショ</t>
    </rPh>
    <rPh sb="19" eb="20">
      <t>レイ</t>
    </rPh>
    <rPh sb="22" eb="26">
      <t>シゼンタイケン</t>
    </rPh>
    <rPh sb="27" eb="29">
      <t>タキビ</t>
    </rPh>
    <phoneticPr fontId="3"/>
  </si>
  <si>
    <t>スノーシューハイキング
（滝野の森エリアもしくはみんなの小道エリア）</t>
    <rPh sb="13" eb="15">
      <t>タキノ</t>
    </rPh>
    <rPh sb="16" eb="17">
      <t>モリ</t>
    </rPh>
    <rPh sb="28" eb="30">
      <t>コミチ</t>
    </rPh>
    <phoneticPr fontId="8"/>
  </si>
  <si>
    <t>振込</t>
    <rPh sb="0" eb="2">
      <t>フリコミ</t>
    </rPh>
    <phoneticPr fontId="3"/>
  </si>
  <si>
    <t>振込</t>
    <phoneticPr fontId="3"/>
  </si>
  <si>
    <t>★　振込の振込手数料については【学校団体負担】となります。ご注意ください。　</t>
    <rPh sb="2" eb="4">
      <t>フリコミ</t>
    </rPh>
    <phoneticPr fontId="3"/>
  </si>
  <si>
    <t>★　振込の振込手数料については【学校団体負担】となります。ご注意ください。　</t>
    <phoneticPr fontId="3"/>
  </si>
  <si>
    <t>丸太から薪づくり</t>
    <phoneticPr fontId="3"/>
  </si>
  <si>
    <t>マイ切り式火おこし</t>
    <rPh sb="2" eb="3">
      <t>ギ</t>
    </rPh>
    <rPh sb="4" eb="5">
      <t>シキ</t>
    </rPh>
    <rPh sb="5" eb="6">
      <t>ヒ</t>
    </rPh>
    <phoneticPr fontId="3"/>
  </si>
  <si>
    <t>炊事薪割（カレーライス）</t>
    <rPh sb="0" eb="2">
      <t>スイジ</t>
    </rPh>
    <rPh sb="2" eb="3">
      <t>マキ</t>
    </rPh>
    <rPh sb="3" eb="4">
      <t>ワリ</t>
    </rPh>
    <phoneticPr fontId="3"/>
  </si>
  <si>
    <t>月</t>
    <rPh sb="0" eb="1">
      <t>ガツ</t>
    </rPh>
    <phoneticPr fontId="8"/>
  </si>
  <si>
    <t>薪割り
焚火でおやつ体験
10班</t>
    <rPh sb="0" eb="2">
      <t>マキワ</t>
    </rPh>
    <rPh sb="4" eb="6">
      <t>タキビ</t>
    </rPh>
    <rPh sb="10" eb="12">
      <t>タイケン</t>
    </rPh>
    <rPh sb="15" eb="16">
      <t>ハン</t>
    </rPh>
    <phoneticPr fontId="8"/>
  </si>
  <si>
    <t>薪割り・野外炊事
（くわの実広場）
カレーライス１２班</t>
    <rPh sb="0" eb="2">
      <t>マキワ</t>
    </rPh>
    <rPh sb="4" eb="8">
      <t>ヤガイスイジ</t>
    </rPh>
    <rPh sb="13" eb="14">
      <t>ミ</t>
    </rPh>
    <rPh sb="14" eb="16">
      <t>ヒロバ</t>
    </rPh>
    <rPh sb="26" eb="27">
      <t>ハン</t>
    </rPh>
    <phoneticPr fontId="8"/>
  </si>
  <si>
    <t>炊事薪割（防災炊事・焼きそば・おやつ）</t>
    <rPh sb="0" eb="2">
      <t>スイジ</t>
    </rPh>
    <rPh sb="2" eb="4">
      <t>マキワリ</t>
    </rPh>
    <rPh sb="5" eb="9">
      <t>ボウサイスイジ</t>
    </rPh>
    <rPh sb="10" eb="11">
      <t>ヤ</t>
    </rPh>
    <phoneticPr fontId="3"/>
  </si>
  <si>
    <t>札幌市青少年山の家　【4/20～11/10用　人数報告用紙】</t>
    <rPh sb="0" eb="3">
      <t>サッポロシ</t>
    </rPh>
    <rPh sb="3" eb="7">
      <t>セイショウネンヤマ</t>
    </rPh>
    <rPh sb="8" eb="9">
      <t>イエ</t>
    </rPh>
    <rPh sb="21" eb="22">
      <t>ヨウ</t>
    </rPh>
    <rPh sb="23" eb="27">
      <t>ニンズウホウコク</t>
    </rPh>
    <rPh sb="27" eb="29">
      <t>ヨウシ</t>
    </rPh>
    <phoneticPr fontId="21"/>
  </si>
  <si>
    <t>札幌市青少年山の家　【11/11～4/19用　人数報告用紙】</t>
    <rPh sb="0" eb="3">
      <t>サッポロシ</t>
    </rPh>
    <rPh sb="3" eb="7">
      <t>セイショウネンヤマ</t>
    </rPh>
    <rPh sb="8" eb="9">
      <t>イエ</t>
    </rPh>
    <rPh sb="21" eb="22">
      <t>ヨウ</t>
    </rPh>
    <rPh sb="23" eb="27">
      <t>ニンズウホウコク</t>
    </rPh>
    <rPh sb="27" eb="29">
      <t>ヨウシ</t>
    </rPh>
    <phoneticPr fontId="21"/>
  </si>
  <si>
    <t>※上記の対応内容で良ければ、最終確認者氏名を入力の上、返送してください。</t>
    <rPh sb="1" eb="3">
      <t>ジョウキ</t>
    </rPh>
    <rPh sb="4" eb="6">
      <t>タイオウ</t>
    </rPh>
    <rPh sb="6" eb="8">
      <t>ナイヨウ</t>
    </rPh>
    <rPh sb="9" eb="10">
      <t>ヨ</t>
    </rPh>
    <rPh sb="14" eb="16">
      <t>サイシュウ</t>
    </rPh>
    <rPh sb="16" eb="18">
      <t>カクニン</t>
    </rPh>
    <rPh sb="18" eb="19">
      <t>シャ</t>
    </rPh>
    <rPh sb="19" eb="21">
      <t>シメイ</t>
    </rPh>
    <rPh sb="22" eb="24">
      <t>ニュウリョク</t>
    </rPh>
    <rPh sb="25" eb="26">
      <t>ウエ</t>
    </rPh>
    <rPh sb="27" eb="29">
      <t>ヘンソウ</t>
    </rPh>
    <phoneticPr fontId="3"/>
  </si>
  <si>
    <t>台</t>
    <rPh sb="0" eb="1">
      <t>ダイ</t>
    </rPh>
    <phoneticPr fontId="3"/>
  </si>
  <si>
    <t>：</t>
    <phoneticPr fontId="171"/>
  </si>
  <si>
    <t>氏名・会社名・車種　等</t>
    <rPh sb="0" eb="2">
      <t>シメイ</t>
    </rPh>
    <rPh sb="3" eb="6">
      <t>カイシャメイ</t>
    </rPh>
    <rPh sb="7" eb="9">
      <t>シャシュ</t>
    </rPh>
    <rPh sb="10" eb="11">
      <t>ナド</t>
    </rPh>
    <phoneticPr fontId="171"/>
  </si>
  <si>
    <t>退園時間</t>
    <rPh sb="0" eb="4">
      <t>タイエンジカン</t>
    </rPh>
    <phoneticPr fontId="171"/>
  </si>
  <si>
    <t>入園時間</t>
    <rPh sb="0" eb="2">
      <t>ニュウエン</t>
    </rPh>
    <rPh sb="2" eb="4">
      <t>ジカン</t>
    </rPh>
    <phoneticPr fontId="171"/>
  </si>
  <si>
    <t>団体名</t>
    <rPh sb="0" eb="3">
      <t>ダンタイメイ</t>
    </rPh>
    <phoneticPr fontId="171"/>
  </si>
  <si>
    <t>利用形態</t>
    <rPh sb="0" eb="4">
      <t>リヨウケイタイ</t>
    </rPh>
    <phoneticPr fontId="171"/>
  </si>
  <si>
    <t>※　補助的指導者の車両は、学校団体のみを対象として４台を上限に駐車することができます。</t>
    <rPh sb="2" eb="5">
      <t>ホジョテキ</t>
    </rPh>
    <rPh sb="5" eb="8">
      <t>シドウシャ</t>
    </rPh>
    <rPh sb="9" eb="11">
      <t>シャリョウ</t>
    </rPh>
    <rPh sb="13" eb="15">
      <t>ガッコウ</t>
    </rPh>
    <rPh sb="15" eb="17">
      <t>ダンタイ</t>
    </rPh>
    <rPh sb="20" eb="22">
      <t>タイショウ</t>
    </rPh>
    <rPh sb="26" eb="27">
      <t>ダイ</t>
    </rPh>
    <rPh sb="28" eb="30">
      <t>ジョウゲン</t>
    </rPh>
    <rPh sb="31" eb="33">
      <t>チュウシャ</t>
    </rPh>
    <phoneticPr fontId="3"/>
  </si>
  <si>
    <t>※　入・退園及び荷物積込の際、マイクロバス以外の大型バス駐・停車場所は、南駐車場です。</t>
    <rPh sb="2" eb="3">
      <t>ニュウ</t>
    </rPh>
    <rPh sb="4" eb="6">
      <t>タイエン</t>
    </rPh>
    <rPh sb="6" eb="7">
      <t>オヨ</t>
    </rPh>
    <rPh sb="8" eb="10">
      <t>ニモツ</t>
    </rPh>
    <rPh sb="10" eb="11">
      <t>ツ</t>
    </rPh>
    <rPh sb="11" eb="12">
      <t>コ</t>
    </rPh>
    <rPh sb="13" eb="14">
      <t>サイ</t>
    </rPh>
    <rPh sb="21" eb="23">
      <t>イガイ</t>
    </rPh>
    <rPh sb="24" eb="26">
      <t>オオガタ</t>
    </rPh>
    <rPh sb="28" eb="29">
      <t>チュウ</t>
    </rPh>
    <rPh sb="30" eb="33">
      <t>テイシャジョウ</t>
    </rPh>
    <rPh sb="32" eb="34">
      <t>バショ</t>
    </rPh>
    <rPh sb="36" eb="37">
      <t>ミナミ</t>
    </rPh>
    <rPh sb="37" eb="40">
      <t>チュウシャジョウ</t>
    </rPh>
    <phoneticPr fontId="3"/>
  </si>
  <si>
    <t>※　滝野の森口（通称：森口）通行可能時間は、緊急時を除き、原則7：00～2２：00です。</t>
    <rPh sb="2" eb="4">
      <t>タキノ</t>
    </rPh>
    <rPh sb="5" eb="7">
      <t>モリグチ</t>
    </rPh>
    <rPh sb="8" eb="10">
      <t>ツウショウ</t>
    </rPh>
    <rPh sb="11" eb="13">
      <t>モリグチ</t>
    </rPh>
    <rPh sb="14" eb="16">
      <t>ツウコウ</t>
    </rPh>
    <rPh sb="16" eb="18">
      <t>カノウ</t>
    </rPh>
    <rPh sb="18" eb="20">
      <t>ジカン</t>
    </rPh>
    <rPh sb="22" eb="25">
      <t>キンキュウジ</t>
    </rPh>
    <rPh sb="26" eb="27">
      <t>ノゾ</t>
    </rPh>
    <rPh sb="29" eb="31">
      <t>ゲンソク</t>
    </rPh>
    <phoneticPr fontId="3"/>
  </si>
  <si>
    <t>※　事前報告のあった車両のみ入・退園することができます。</t>
    <rPh sb="2" eb="4">
      <t>ジゼン</t>
    </rPh>
    <rPh sb="4" eb="6">
      <t>ホウコク</t>
    </rPh>
    <rPh sb="10" eb="12">
      <t>シャリョウ</t>
    </rPh>
    <rPh sb="14" eb="15">
      <t>ニュウ</t>
    </rPh>
    <rPh sb="16" eb="18">
      <t>タイエン</t>
    </rPh>
    <phoneticPr fontId="3"/>
  </si>
  <si>
    <t>～　留　意　事　項　～</t>
    <rPh sb="2" eb="3">
      <t>トメ</t>
    </rPh>
    <rPh sb="4" eb="5">
      <t>イ</t>
    </rPh>
    <rPh sb="6" eb="7">
      <t>コト</t>
    </rPh>
    <rPh sb="8" eb="9">
      <t>コウ</t>
    </rPh>
    <phoneticPr fontId="3"/>
  </si>
  <si>
    <t>カメラマン</t>
    <phoneticPr fontId="171"/>
  </si>
  <si>
    <t>00</t>
  </si>
  <si>
    <t>日帰り</t>
    <rPh sb="0" eb="2">
      <t>ヒガエ</t>
    </rPh>
    <phoneticPr fontId="171"/>
  </si>
  <si>
    <t>大型バス</t>
    <rPh sb="0" eb="2">
      <t>オオガタ</t>
    </rPh>
    <phoneticPr fontId="171"/>
  </si>
  <si>
    <t>山の家小学校</t>
    <rPh sb="0" eb="1">
      <t>ヤマ</t>
    </rPh>
    <rPh sb="2" eb="3">
      <t>イエ</t>
    </rPh>
    <rPh sb="3" eb="6">
      <t>ショウガッコウ</t>
    </rPh>
    <phoneticPr fontId="171"/>
  </si>
  <si>
    <t>森口退園後に東口に向かいます</t>
    <rPh sb="0" eb="2">
      <t>モリグチ</t>
    </rPh>
    <rPh sb="2" eb="5">
      <t>タイエンゴ</t>
    </rPh>
    <rPh sb="6" eb="8">
      <t>ヒガシグチ</t>
    </rPh>
    <rPh sb="9" eb="10">
      <t>ム</t>
    </rPh>
    <phoneticPr fontId="171"/>
  </si>
  <si>
    <t>送迎</t>
    <rPh sb="0" eb="2">
      <t>ソウゲイ</t>
    </rPh>
    <phoneticPr fontId="171"/>
  </si>
  <si>
    <t>足の不自由な児童が１名いるため、１台のみ山の家の近くに停車希望です</t>
    <rPh sb="0" eb="1">
      <t>アシ</t>
    </rPh>
    <rPh sb="2" eb="5">
      <t>フジユウ</t>
    </rPh>
    <rPh sb="6" eb="8">
      <t>ジドウ</t>
    </rPh>
    <rPh sb="10" eb="11">
      <t>メイ</t>
    </rPh>
    <rPh sb="17" eb="18">
      <t>ダイ</t>
    </rPh>
    <rPh sb="20" eb="21">
      <t>ヤマ</t>
    </rPh>
    <rPh sb="22" eb="23">
      <t>イエ</t>
    </rPh>
    <rPh sb="24" eb="25">
      <t>チカ</t>
    </rPh>
    <rPh sb="27" eb="31">
      <t>テイシャキボウ</t>
    </rPh>
    <phoneticPr fontId="171"/>
  </si>
  <si>
    <t>乗用車</t>
    <rPh sb="0" eb="3">
      <t>ジョウヨウシャ</t>
    </rPh>
    <phoneticPr fontId="171"/>
  </si>
  <si>
    <t>東口
駐車場</t>
    <rPh sb="0" eb="2">
      <t>ヒガシグチ</t>
    </rPh>
    <rPh sb="3" eb="6">
      <t>チュウシャジョウ</t>
    </rPh>
    <phoneticPr fontId="171"/>
  </si>
  <si>
    <t>送迎車
（30分以内）</t>
    <rPh sb="0" eb="2">
      <t>ソウゲイ</t>
    </rPh>
    <rPh sb="2" eb="3">
      <t>シャ</t>
    </rPh>
    <rPh sb="7" eb="8">
      <t>フン</t>
    </rPh>
    <rPh sb="8" eb="10">
      <t>イナイ</t>
    </rPh>
    <phoneticPr fontId="171"/>
  </si>
  <si>
    <t>▼選択▼</t>
    <rPh sb="1" eb="3">
      <t>センタク</t>
    </rPh>
    <phoneticPr fontId="171"/>
  </si>
  <si>
    <t>バス</t>
  </si>
  <si>
    <t>宿泊</t>
    <rPh sb="0" eb="2">
      <t>シュクハク</t>
    </rPh>
    <phoneticPr fontId="171"/>
  </si>
  <si>
    <t>バス</t>
    <phoneticPr fontId="171"/>
  </si>
  <si>
    <t>中央口
駐車場</t>
    <rPh sb="0" eb="3">
      <t>チュウオウグチ</t>
    </rPh>
    <rPh sb="4" eb="6">
      <t>チュウシャ</t>
    </rPh>
    <rPh sb="6" eb="7">
      <t>ジョウ</t>
    </rPh>
    <phoneticPr fontId="171"/>
  </si>
  <si>
    <t>駐車</t>
    <rPh sb="0" eb="2">
      <t>チュウシャ</t>
    </rPh>
    <phoneticPr fontId="171"/>
  </si>
  <si>
    <t>南駐車場
【バス】</t>
    <rPh sb="0" eb="1">
      <t>ミナミ</t>
    </rPh>
    <rPh sb="1" eb="4">
      <t>チュウシャジョウ</t>
    </rPh>
    <phoneticPr fontId="3"/>
  </si>
  <si>
    <t>山の家
駐車場
【乗用車】</t>
    <rPh sb="0" eb="1">
      <t>ヤマ</t>
    </rPh>
    <rPh sb="2" eb="3">
      <t>イエ</t>
    </rPh>
    <rPh sb="4" eb="7">
      <t>チュウシャジョウ</t>
    </rPh>
    <rPh sb="9" eb="12">
      <t>ジョウヨウシャ</t>
    </rPh>
    <phoneticPr fontId="3"/>
  </si>
  <si>
    <t>南第２駐車場
【乗用車　超過分】
※補助的指導者のみ</t>
    <rPh sb="0" eb="1">
      <t>ミナミ</t>
    </rPh>
    <rPh sb="1" eb="2">
      <t>ダイ</t>
    </rPh>
    <rPh sb="3" eb="6">
      <t>チュウシャジョウ</t>
    </rPh>
    <rPh sb="8" eb="11">
      <t>ジョウヨウシャ</t>
    </rPh>
    <rPh sb="12" eb="15">
      <t>チョウカブン</t>
    </rPh>
    <rPh sb="18" eb="20">
      <t>ホジョ</t>
    </rPh>
    <rPh sb="20" eb="21">
      <t>テキ</t>
    </rPh>
    <rPh sb="21" eb="24">
      <t>シドウシャ</t>
    </rPh>
    <phoneticPr fontId="3"/>
  </si>
  <si>
    <t>南第２駐車場
【乗用車】
※補助的指導者のみ</t>
    <rPh sb="0" eb="1">
      <t>ミナミ</t>
    </rPh>
    <rPh sb="1" eb="2">
      <t>ダイ</t>
    </rPh>
    <rPh sb="3" eb="6">
      <t>チュウシャジョウ</t>
    </rPh>
    <rPh sb="8" eb="11">
      <t>ジョウヨウシャ</t>
    </rPh>
    <rPh sb="14" eb="16">
      <t>ホジョ</t>
    </rPh>
    <rPh sb="16" eb="17">
      <t>テキ</t>
    </rPh>
    <rPh sb="17" eb="20">
      <t>シドウシャ</t>
    </rPh>
    <phoneticPr fontId="3"/>
  </si>
  <si>
    <t>南駐車場
【乗用車】</t>
    <rPh sb="0" eb="4">
      <t>ミナミチュウシャジョウ</t>
    </rPh>
    <rPh sb="6" eb="9">
      <t>ジョウヨウシャ</t>
    </rPh>
    <phoneticPr fontId="3"/>
  </si>
  <si>
    <t>山の家
優先駐車場
【乗用車】</t>
    <rPh sb="0" eb="1">
      <t>ヤマ</t>
    </rPh>
    <rPh sb="2" eb="3">
      <t>イエ</t>
    </rPh>
    <rPh sb="4" eb="6">
      <t>ユウセン</t>
    </rPh>
    <rPh sb="6" eb="9">
      <t>チュウシャジョウ</t>
    </rPh>
    <rPh sb="11" eb="14">
      <t>ジョウヨウシャ</t>
    </rPh>
    <phoneticPr fontId="3"/>
  </si>
  <si>
    <t>NO.</t>
    <phoneticPr fontId="171"/>
  </si>
  <si>
    <t>送迎車
（３０分以内）</t>
    <rPh sb="0" eb="2">
      <t>ソウゲイ</t>
    </rPh>
    <rPh sb="2" eb="3">
      <t>シャ</t>
    </rPh>
    <rPh sb="7" eb="8">
      <t>フン</t>
    </rPh>
    <rPh sb="8" eb="10">
      <t>イナイ</t>
    </rPh>
    <phoneticPr fontId="3"/>
  </si>
  <si>
    <t>駐車</t>
    <rPh sb="0" eb="2">
      <t>チュウシャ</t>
    </rPh>
    <phoneticPr fontId="3"/>
  </si>
  <si>
    <t>日</t>
    <rPh sb="0" eb="1">
      <t>ニチ</t>
    </rPh>
    <phoneticPr fontId="171"/>
  </si>
  <si>
    <t>月</t>
    <rPh sb="0" eb="1">
      <t>ガツ</t>
    </rPh>
    <phoneticPr fontId="171"/>
  </si>
  <si>
    <t>渓流口</t>
    <rPh sb="0" eb="3">
      <t>ケイリュウグチ</t>
    </rPh>
    <phoneticPr fontId="3"/>
  </si>
  <si>
    <t>森口</t>
    <rPh sb="0" eb="2">
      <t>モリグチ</t>
    </rPh>
    <phoneticPr fontId="3"/>
  </si>
  <si>
    <t>年</t>
    <rPh sb="0" eb="1">
      <t>ネン</t>
    </rPh>
    <phoneticPr fontId="171"/>
  </si>
  <si>
    <t>様式10　車両動向報告書　（２日目分）</t>
    <rPh sb="0" eb="2">
      <t>ヨウシキ</t>
    </rPh>
    <rPh sb="5" eb="12">
      <t>シャリョウドウコウホウコクショ</t>
    </rPh>
    <rPh sb="15" eb="17">
      <t>ニチメ</t>
    </rPh>
    <rPh sb="17" eb="18">
      <t>ブン</t>
    </rPh>
    <phoneticPr fontId="171"/>
  </si>
  <si>
    <t>保護者　さいとう</t>
    <rPh sb="0" eb="3">
      <t>ホゴシャ</t>
    </rPh>
    <phoneticPr fontId="171"/>
  </si>
  <si>
    <t>日帰り児童のお迎えです</t>
    <rPh sb="0" eb="2">
      <t>ヒガエ</t>
    </rPh>
    <rPh sb="3" eb="5">
      <t>ジドウ</t>
    </rPh>
    <rPh sb="7" eb="8">
      <t>ムカ</t>
    </rPh>
    <phoneticPr fontId="171"/>
  </si>
  <si>
    <t>補助の先生</t>
    <rPh sb="0" eb="2">
      <t>ホジョ</t>
    </rPh>
    <rPh sb="3" eb="5">
      <t>センセイ</t>
    </rPh>
    <phoneticPr fontId="171"/>
  </si>
  <si>
    <t>補助</t>
    <rPh sb="0" eb="2">
      <t>ホジョ</t>
    </rPh>
    <phoneticPr fontId="171"/>
  </si>
  <si>
    <t>すずき</t>
    <phoneticPr fontId="171"/>
  </si>
  <si>
    <t>やまだ（マイクロバス）、たなか、さとう</t>
    <phoneticPr fontId="171"/>
  </si>
  <si>
    <t>マイクロ</t>
    <phoneticPr fontId="171"/>
  </si>
  <si>
    <t>00</t>
    <phoneticPr fontId="171"/>
  </si>
  <si>
    <t>令和４</t>
    <rPh sb="0" eb="2">
      <t>レイワ</t>
    </rPh>
    <phoneticPr fontId="171"/>
  </si>
  <si>
    <t>様式10　車両動向報告書　（１日目分）</t>
    <rPh sb="0" eb="2">
      <t>ヨウシキ</t>
    </rPh>
    <rPh sb="5" eb="12">
      <t>シャリョウドウコウホウコクショ</t>
    </rPh>
    <rPh sb="15" eb="17">
      <t>ニチメ</t>
    </rPh>
    <rPh sb="17" eb="18">
      <t>ブン</t>
    </rPh>
    <phoneticPr fontId="171"/>
  </si>
  <si>
    <t>9 車両動向報告書</t>
    <rPh sb="2" eb="4">
      <t>シャリョウ</t>
    </rPh>
    <rPh sb="4" eb="6">
      <t>ドウコウ</t>
    </rPh>
    <rPh sb="6" eb="9">
      <t>ホウコクショ</t>
    </rPh>
    <phoneticPr fontId="3"/>
  </si>
  <si>
    <t>10 利用日変更(取消)報告書</t>
    <rPh sb="3" eb="5">
      <t>リヨウ</t>
    </rPh>
    <rPh sb="5" eb="6">
      <t>ビ</t>
    </rPh>
    <rPh sb="6" eb="8">
      <t>ヘンコウ</t>
    </rPh>
    <rPh sb="9" eb="11">
      <t>トリケシ</t>
    </rPh>
    <rPh sb="12" eb="15">
      <t>ホウコクショ</t>
    </rPh>
    <phoneticPr fontId="3"/>
  </si>
  <si>
    <t>おにぎり（鮭・鮭）</t>
    <rPh sb="7" eb="8">
      <t>サケ</t>
    </rPh>
    <phoneticPr fontId="28"/>
  </si>
  <si>
    <t>携帯弁当（鮭・鮭）</t>
    <rPh sb="0" eb="2">
      <t>ケイタイ</t>
    </rPh>
    <rPh sb="5" eb="6">
      <t>サケ</t>
    </rPh>
    <rPh sb="7" eb="8">
      <t>サケ</t>
    </rPh>
    <phoneticPr fontId="28"/>
  </si>
  <si>
    <t>　おにぎり（鮭・鮭）</t>
    <rPh sb="6" eb="7">
      <t>サケ</t>
    </rPh>
    <rPh sb="8" eb="9">
      <t>サケ</t>
    </rPh>
    <phoneticPr fontId="3"/>
  </si>
  <si>
    <t>　携帯弁当（鮭・鮭）</t>
    <rPh sb="1" eb="3">
      <t>ケイタイ</t>
    </rPh>
    <rPh sb="3" eb="5">
      <t>ベントウ</t>
    </rPh>
    <rPh sb="6" eb="7">
      <t>サケ</t>
    </rPh>
    <rPh sb="8" eb="9">
      <t>サケ</t>
    </rPh>
    <phoneticPr fontId="3"/>
  </si>
  <si>
    <t>　携帯弁当（鮭・鮭）</t>
    <rPh sb="8" eb="9">
      <t>サケ</t>
    </rPh>
    <phoneticPr fontId="28"/>
  </si>
  <si>
    <t>携帯弁当（鮭・鮭）</t>
    <rPh sb="0" eb="4">
      <t>ケイタイベントウ</t>
    </rPh>
    <rPh sb="7" eb="8">
      <t>サケ</t>
    </rPh>
    <phoneticPr fontId="28"/>
  </si>
  <si>
    <t>この4種類の加熱、成分に支障のある方が、アレルギー対応の対象者です。なお、防災炊事、野外炊事（カレーライス）、焚火でおやつ（マシュマロ、麦茶）については7大アレルゲンが含まれないため、アレルギー対応はありません。</t>
    <rPh sb="37" eb="41">
      <t>ボウサイスイジ</t>
    </rPh>
    <rPh sb="42" eb="46">
      <t>ヤガイスイジ</t>
    </rPh>
    <rPh sb="55" eb="57">
      <t>タキビ</t>
    </rPh>
    <rPh sb="68" eb="70">
      <t>ムギチャ</t>
    </rPh>
    <rPh sb="77" eb="78">
      <t>ダイ</t>
    </rPh>
    <rPh sb="84" eb="85">
      <t>フク</t>
    </rPh>
    <rPh sb="97" eb="99">
      <t>タイオウ</t>
    </rPh>
    <phoneticPr fontId="3"/>
  </si>
  <si>
    <t>キャンプファイヤー（1セット）</t>
    <phoneticPr fontId="21"/>
  </si>
  <si>
    <t>札幌市立青少年山の家小学校（キャンプファイヤー）</t>
    <rPh sb="0" eb="4">
      <t>サッポロシリツ</t>
    </rPh>
    <rPh sb="4" eb="8">
      <t>セイショウネンヤマ</t>
    </rPh>
    <rPh sb="9" eb="10">
      <t>イエ</t>
    </rPh>
    <rPh sb="10" eb="13">
      <t>ショウガッコウ</t>
    </rPh>
    <phoneticPr fontId="3"/>
  </si>
  <si>
    <t>携帯弁当（鮭・鮭）</t>
    <rPh sb="0" eb="4">
      <t>ケイタイベントウ</t>
    </rPh>
    <rPh sb="5" eb="6">
      <t>サケ</t>
    </rPh>
    <rPh sb="7" eb="8">
      <t>サケ</t>
    </rPh>
    <phoneticPr fontId="8"/>
  </si>
  <si>
    <t>おにぎり（鮭・鮭）</t>
    <rPh sb="5" eb="6">
      <t>サケ</t>
    </rPh>
    <rPh sb="7" eb="8">
      <t>サケ</t>
    </rPh>
    <phoneticPr fontId="8"/>
  </si>
  <si>
    <t>野外炊事（焼きそば）</t>
    <rPh sb="0" eb="4">
      <t>ヤガイスイジ</t>
    </rPh>
    <rPh sb="5" eb="6">
      <t>ヤ</t>
    </rPh>
    <phoneticPr fontId="8"/>
  </si>
  <si>
    <t>野外炊事（カレーライス）</t>
    <rPh sb="0" eb="4">
      <t>ヤガイスイジ</t>
    </rPh>
    <phoneticPr fontId="8"/>
  </si>
  <si>
    <t>防災炊事</t>
    <rPh sb="0" eb="4">
      <t>ボウサイスイジ</t>
    </rPh>
    <phoneticPr fontId="8"/>
  </si>
  <si>
    <t>日</t>
    <rPh sb="0" eb="1">
      <t>ニチ</t>
    </rPh>
    <phoneticPr fontId="28"/>
  </si>
  <si>
    <t>合計</t>
    <rPh sb="0" eb="2">
      <t>ゴウケイ</t>
    </rPh>
    <phoneticPr fontId="28"/>
  </si>
  <si>
    <t>人</t>
    <rPh sb="0" eb="1">
      <t>ニン</t>
    </rPh>
    <phoneticPr fontId="28"/>
  </si>
  <si>
    <t>班</t>
    <rPh sb="0" eb="1">
      <t>ハン</t>
    </rPh>
    <phoneticPr fontId="28"/>
  </si>
  <si>
    <r>
      <t>④　炊事班編成　（</t>
    </r>
    <r>
      <rPr>
        <b/>
        <sz val="12"/>
        <color indexed="8"/>
        <rFont val="BIZ UDPゴシック"/>
        <family val="3"/>
        <charset val="128"/>
      </rPr>
      <t>太枠内のみ記入）</t>
    </r>
    <r>
      <rPr>
        <b/>
        <sz val="12"/>
        <color theme="1"/>
        <rFont val="BIZ UDPゴシック"/>
        <family val="3"/>
        <charset val="128"/>
      </rPr>
      <t>※１班あたり5～6人となります。</t>
    </r>
    <rPh sb="2" eb="5">
      <t>スイジハン</t>
    </rPh>
    <rPh sb="5" eb="7">
      <t>ヘンセイ</t>
    </rPh>
    <rPh sb="9" eb="12">
      <t>フトワクナイ</t>
    </rPh>
    <rPh sb="14" eb="16">
      <t>キニュウ</t>
    </rPh>
    <rPh sb="19" eb="20">
      <t>ハン</t>
    </rPh>
    <rPh sb="26" eb="27">
      <t>ニン</t>
    </rPh>
    <phoneticPr fontId="3"/>
  </si>
  <si>
    <t>×</t>
  </si>
  <si>
    <t>×</t>
    <phoneticPr fontId="28"/>
  </si>
  <si>
    <t>食数×班数</t>
    <rPh sb="0" eb="2">
      <t>ショクスウ</t>
    </rPh>
    <rPh sb="3" eb="4">
      <t>ハン</t>
    </rPh>
    <rPh sb="4" eb="5">
      <t>カズ</t>
    </rPh>
    <phoneticPr fontId="28"/>
  </si>
  <si>
    <t>※防災炊事、焚火でおやつは一括提供のため、記載の必要はありません。</t>
    <rPh sb="1" eb="5">
      <t>ボウサイスイジ</t>
    </rPh>
    <rPh sb="6" eb="8">
      <t>タキビ</t>
    </rPh>
    <rPh sb="13" eb="17">
      <t>イッカツテイキョウ</t>
    </rPh>
    <rPh sb="21" eb="23">
      <t>キサイ</t>
    </rPh>
    <rPh sb="24" eb="26">
      <t>ヒツヨウ</t>
    </rPh>
    <phoneticPr fontId="28"/>
  </si>
  <si>
    <t>食数×班数</t>
    <rPh sb="0" eb="2">
      <t>ショクスウ</t>
    </rPh>
    <rPh sb="3" eb="4">
      <t>ハン</t>
    </rPh>
    <rPh sb="4" eb="5">
      <t>スウ</t>
    </rPh>
    <phoneticPr fontId="3"/>
  </si>
  <si>
    <t>班</t>
    <rPh sb="0" eb="1">
      <t>ハン</t>
    </rPh>
    <phoneticPr fontId="3"/>
  </si>
  <si>
    <t>■　炊事班編成</t>
    <rPh sb="2" eb="5">
      <t>スイジハン</t>
    </rPh>
    <rPh sb="5" eb="7">
      <t>ヘンセイ</t>
    </rPh>
    <phoneticPr fontId="3"/>
  </si>
  <si>
    <t>人</t>
    <phoneticPr fontId="3"/>
  </si>
  <si>
    <t>班</t>
    <phoneticPr fontId="3"/>
  </si>
  <si>
    <t>使用者名簿
（下の表に氏名をご記入ください）</t>
    <rPh sb="0" eb="3">
      <t>シヨウシャ</t>
    </rPh>
    <rPh sb="3" eb="5">
      <t>メイボ</t>
    </rPh>
    <rPh sb="7" eb="8">
      <t>シタ</t>
    </rPh>
    <rPh sb="9" eb="10">
      <t>ヒョウ</t>
    </rPh>
    <rPh sb="11" eb="13">
      <t>シメイ</t>
    </rPh>
    <rPh sb="15" eb="17">
      <t>キニュウ</t>
    </rPh>
    <phoneticPr fontId="8"/>
  </si>
  <si>
    <t xml:space="preserve"> 炊事班名簿（様式不問）</t>
    <rPh sb="1" eb="6">
      <t>スイジハンメイボ</t>
    </rPh>
    <rPh sb="7" eb="11">
      <t>ヨウシキフモン</t>
    </rPh>
    <phoneticPr fontId="8"/>
  </si>
  <si>
    <t>11 炊事班名簿</t>
    <rPh sb="3" eb="6">
      <t>スイシ</t>
    </rPh>
    <rPh sb="6" eb="8">
      <t>メイボ</t>
    </rPh>
    <phoneticPr fontId="5"/>
  </si>
  <si>
    <t>該当校のみ、様式不問</t>
    <rPh sb="0" eb="3">
      <t>ガイトウコウ</t>
    </rPh>
    <rPh sb="6" eb="10">
      <t>ヨウシキフモン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</si>
</sst>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_ "/>
    <numFmt numFmtId="177" formatCode="0_ "/>
    <numFmt numFmtId="178" formatCode="0;0;"/>
    <numFmt numFmtId="179" formatCode="#,##0_ ;[Red]\-#,##0\ "/>
    <numFmt numFmtId="180" formatCode="#,##0_);[Red]\(#,##0\)"/>
    <numFmt numFmtId="181" formatCode="0_);[Red]\(0\)"/>
    <numFmt numFmtId="182" formatCode="#;;"/>
    <numFmt numFmtId="183" formatCode="0_);\(0\)"/>
    <numFmt numFmtId="184" formatCode="&quot;¥&quot;#,##0_);[Red]\(&quot;¥&quot;#,##0\)"/>
    <numFmt numFmtId="185" formatCode="0;\-0;0"/>
    <numFmt numFmtId="186" formatCode="000000#"/>
    <numFmt numFmtId="187" formatCode="[&lt;=999]000;[&lt;=9999]000\-00;000\-0000"/>
    <numFmt numFmtId="188" formatCode="[&lt;=99999999]####\-####;\(00\)\ ####\-####"/>
    <numFmt numFmtId="189" formatCode="#;\0;0"/>
    <numFmt numFmtId="190" formatCode="#;\0;00"/>
    <numFmt numFmtId="191" formatCode="#"/>
  </numFmts>
  <fonts count="214">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20"/>
      <color indexed="8"/>
      <name val="ＭＳ Ｐゴシック"/>
      <family val="3"/>
      <charset val="128"/>
    </font>
    <font>
      <sz val="11"/>
      <color indexed="8"/>
      <name val="ＭＳ Ｐ明朝"/>
      <family val="1"/>
      <charset val="128"/>
    </font>
    <font>
      <sz val="9"/>
      <color indexed="8"/>
      <name val="ＭＳ Ｐ明朝"/>
      <family val="1"/>
      <charset val="128"/>
    </font>
    <font>
      <b/>
      <sz val="9"/>
      <color indexed="8"/>
      <name val="ＭＳ Ｐゴシック"/>
      <family val="3"/>
      <charset val="128"/>
    </font>
    <font>
      <sz val="14"/>
      <color indexed="8"/>
      <name val="ＭＳ Ｐゴシック"/>
      <family val="3"/>
      <charset val="128"/>
    </font>
    <font>
      <sz val="11"/>
      <name val="ＭＳ Ｐ明朝"/>
      <family val="1"/>
      <charset val="128"/>
    </font>
    <font>
      <b/>
      <sz val="11"/>
      <name val="ＭＳ Ｐゴシック"/>
      <family val="3"/>
      <charset val="128"/>
    </font>
    <font>
      <sz val="9"/>
      <color indexed="8"/>
      <name val="ＭＳ Ｐゴシック"/>
      <family val="3"/>
      <charset val="128"/>
    </font>
    <font>
      <sz val="8"/>
      <color indexed="10"/>
      <name val="ＭＳ Ｐゴシック"/>
      <family val="3"/>
      <charset val="128"/>
    </font>
    <font>
      <sz val="12"/>
      <name val="HG丸ｺﾞｼｯｸM-PRO"/>
      <family val="3"/>
      <charset val="128"/>
    </font>
    <font>
      <sz val="10"/>
      <name val="HG丸ｺﾞｼｯｸM-PRO"/>
      <family val="3"/>
      <charset val="128"/>
    </font>
    <font>
      <sz val="8"/>
      <color indexed="8"/>
      <name val="ＭＳ Ｐゴシック"/>
      <family val="3"/>
      <charset val="128"/>
    </font>
    <font>
      <sz val="6"/>
      <name val="Osaka"/>
      <family val="3"/>
      <charset val="128"/>
    </font>
    <font>
      <sz val="16"/>
      <name val="ＭＳ Ｐ明朝"/>
      <family val="1"/>
      <charset val="128"/>
    </font>
    <font>
      <sz val="14"/>
      <name val="HG丸ｺﾞｼｯｸM-PRO"/>
      <family val="3"/>
      <charset val="128"/>
    </font>
    <font>
      <sz val="18"/>
      <name val="ＭＳ Ｐ明朝"/>
      <family val="1"/>
      <charset val="128"/>
    </font>
    <font>
      <sz val="11"/>
      <name val="HG丸ｺﾞｼｯｸM-PRO"/>
      <family val="3"/>
      <charset val="128"/>
    </font>
    <font>
      <sz val="6"/>
      <name val="ＭＳ Ｐゴシック"/>
      <family val="3"/>
      <charset val="128"/>
    </font>
    <font>
      <sz val="12"/>
      <color indexed="8"/>
      <name val="ＭＳ Ｐゴシック"/>
      <family val="3"/>
      <charset val="128"/>
    </font>
    <font>
      <sz val="6"/>
      <name val="ＭＳ Ｐゴシック"/>
      <family val="3"/>
      <charset val="128"/>
    </font>
    <font>
      <sz val="6"/>
      <name val="ＭＳ Ｐゴシック"/>
      <family val="3"/>
      <charset val="128"/>
    </font>
    <font>
      <sz val="9"/>
      <color indexed="81"/>
      <name val="MS P ゴシック"/>
      <family val="3"/>
      <charset val="128"/>
    </font>
    <font>
      <sz val="9"/>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2"/>
      <color theme="1"/>
      <name val="ＭＳ 明朝"/>
      <family val="1"/>
      <charset val="128"/>
    </font>
    <font>
      <b/>
      <sz val="10"/>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color theme="1"/>
      <name val="ＭＳ ゴシック"/>
      <family val="3"/>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b/>
      <sz val="11"/>
      <color theme="1"/>
      <name val="ＭＳ ゴシック"/>
      <family val="3"/>
      <charset val="128"/>
    </font>
    <font>
      <sz val="16"/>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2"/>
      <color theme="1"/>
      <name val="ＭＳ 明朝"/>
      <family val="1"/>
      <charset val="128"/>
    </font>
    <font>
      <sz val="12"/>
      <color theme="0"/>
      <name val="ＭＳ Ｐゴシック"/>
      <family val="3"/>
      <charset val="128"/>
      <scheme val="minor"/>
    </font>
    <font>
      <sz val="9"/>
      <color theme="0" tint="-0.34998626667073579"/>
      <name val="ＭＳ Ｐゴシック"/>
      <family val="3"/>
      <charset val="128"/>
    </font>
    <font>
      <sz val="11"/>
      <color theme="0" tint="-0.34998626667073579"/>
      <name val="ＭＳ Ｐゴシック"/>
      <family val="3"/>
      <charset val="128"/>
      <scheme val="minor"/>
    </font>
    <font>
      <sz val="10"/>
      <color theme="0" tint="-0.34998626667073579"/>
      <name val="HG丸ｺﾞｼｯｸM-PRO"/>
      <family val="3"/>
      <charset val="128"/>
    </font>
    <font>
      <sz val="11"/>
      <color theme="0" tint="-0.34998626667073579"/>
      <name val="ＭＳ Ｐゴシック"/>
      <family val="3"/>
      <charset val="128"/>
    </font>
    <font>
      <sz val="20"/>
      <color theme="0" tint="-0.34998626667073579"/>
      <name val="ＭＳ Ｐゴシック"/>
      <family val="3"/>
      <charset val="128"/>
    </font>
    <font>
      <i/>
      <sz val="11"/>
      <color theme="0" tint="-0.34998626667073579"/>
      <name val="ＭＳ Ｐゴシック"/>
      <family val="3"/>
      <charset val="128"/>
      <scheme val="minor"/>
    </font>
    <font>
      <sz val="14"/>
      <color theme="0" tint="-0.34998626667073579"/>
      <name val="ＭＳ Ｐゴシック"/>
      <family val="3"/>
      <charset val="128"/>
      <scheme val="minor"/>
    </font>
    <font>
      <b/>
      <sz val="11"/>
      <color theme="0" tint="-0.34998626667073579"/>
      <name val="ＭＳ Ｐゴシック"/>
      <family val="3"/>
      <charset val="128"/>
      <scheme val="minor"/>
    </font>
    <font>
      <sz val="6"/>
      <color theme="0" tint="-0.34998626667073579"/>
      <name val="ＭＳ Ｐゴシック"/>
      <family val="3"/>
      <charset val="128"/>
    </font>
    <font>
      <sz val="20"/>
      <color theme="0"/>
      <name val="ＭＳ Ｐゴシック"/>
      <family val="3"/>
      <charset val="128"/>
      <scheme val="minor"/>
    </font>
    <font>
      <sz val="8"/>
      <color theme="0" tint="-0.34998626667073579"/>
      <name val="ＭＳ Ｐゴシック"/>
      <family val="3"/>
      <charset val="128"/>
    </font>
    <font>
      <sz val="10"/>
      <color theme="0"/>
      <name val="ＭＳ Ｐゴシック"/>
      <family val="3"/>
      <charset val="128"/>
      <scheme val="minor"/>
    </font>
    <font>
      <sz val="16"/>
      <color theme="0"/>
      <name val="ＭＳ Ｐゴシック"/>
      <family val="3"/>
      <charset val="128"/>
      <scheme val="minor"/>
    </font>
    <font>
      <sz val="16"/>
      <color theme="0"/>
      <name val="ＭＳ Ｐ明朝"/>
      <family val="1"/>
      <charset val="128"/>
    </font>
    <font>
      <sz val="14"/>
      <color theme="0"/>
      <name val="ＭＳ Ｐゴシック"/>
      <family val="3"/>
      <charset val="128"/>
      <scheme val="minor"/>
    </font>
    <font>
      <b/>
      <sz val="14"/>
      <color theme="0"/>
      <name val="ＭＳ Ｐゴシック"/>
      <family val="3"/>
      <charset val="128"/>
      <scheme val="minor"/>
    </font>
    <font>
      <b/>
      <sz val="26"/>
      <color theme="0"/>
      <name val="ＭＳ Ｐゴシック"/>
      <family val="3"/>
      <charset val="128"/>
      <scheme val="minor"/>
    </font>
    <font>
      <sz val="18"/>
      <color theme="0"/>
      <name val="ＭＳ Ｐゴシック"/>
      <family val="3"/>
      <charset val="128"/>
      <scheme val="minor"/>
    </font>
    <font>
      <b/>
      <sz val="28"/>
      <color theme="0"/>
      <name val="ＭＳ Ｐ明朝"/>
      <family val="1"/>
      <charset val="128"/>
    </font>
    <font>
      <sz val="9"/>
      <color theme="0"/>
      <name val="ＭＳ Ｐ明朝"/>
      <family val="1"/>
      <charset val="128"/>
    </font>
    <font>
      <sz val="9"/>
      <color rgb="FF000000"/>
      <name val="MS UI Gothic"/>
      <family val="3"/>
      <charset val="128"/>
    </font>
    <font>
      <sz val="6"/>
      <name val="ＭＳ Ｐゴシック"/>
      <family val="2"/>
      <charset val="128"/>
      <scheme val="minor"/>
    </font>
    <font>
      <u/>
      <sz val="11"/>
      <color theme="10"/>
      <name val="ＭＳ Ｐゴシック"/>
      <family val="3"/>
      <charset val="128"/>
      <scheme val="minor"/>
    </font>
    <font>
      <sz val="10"/>
      <color theme="0" tint="-0.34998626667073579"/>
      <name val="ＭＳ Ｐゴシック"/>
      <family val="3"/>
      <charset val="128"/>
      <scheme val="minor"/>
    </font>
    <font>
      <sz val="11"/>
      <color theme="1"/>
      <name val="HG丸ｺﾞｼｯｸM-PRO"/>
      <family val="3"/>
      <charset val="128"/>
    </font>
    <font>
      <b/>
      <u/>
      <sz val="11"/>
      <name val="HG丸ｺﾞｼｯｸM-PRO"/>
      <family val="3"/>
      <charset val="128"/>
    </font>
    <font>
      <sz val="11"/>
      <color indexed="8"/>
      <name val="HG丸ｺﾞｼｯｸM-PRO"/>
      <family val="3"/>
      <charset val="128"/>
    </font>
    <font>
      <b/>
      <sz val="12"/>
      <color theme="1"/>
      <name val="BIZ UDPゴシック"/>
      <family val="3"/>
      <charset val="128"/>
    </font>
    <font>
      <b/>
      <sz val="12"/>
      <color indexed="8"/>
      <name val="BIZ UDPゴシック"/>
      <family val="3"/>
      <charset val="128"/>
    </font>
    <font>
      <sz val="11"/>
      <color theme="1"/>
      <name val="BIZ UDPゴシック"/>
      <family val="3"/>
      <charset val="128"/>
    </font>
    <font>
      <b/>
      <sz val="11"/>
      <color theme="0"/>
      <name val="HG丸ｺﾞｼｯｸM-PRO"/>
      <family val="3"/>
      <charset val="128"/>
    </font>
    <font>
      <b/>
      <u/>
      <sz val="10"/>
      <color indexed="8"/>
      <name val="BIZ UDPゴシック"/>
      <family val="3"/>
      <charset val="128"/>
    </font>
    <font>
      <sz val="14"/>
      <color indexed="8"/>
      <name val="BIZ UDPゴシック"/>
      <family val="3"/>
      <charset val="128"/>
    </font>
    <font>
      <sz val="9"/>
      <color indexed="8"/>
      <name val="BIZ UDPゴシック"/>
      <family val="3"/>
      <charset val="128"/>
    </font>
    <font>
      <sz val="20"/>
      <color indexed="8"/>
      <name val="BIZ UDPゴシック"/>
      <family val="3"/>
      <charset val="128"/>
    </font>
    <font>
      <b/>
      <sz val="9"/>
      <color indexed="8"/>
      <name val="BIZ UDPゴシック"/>
      <family val="3"/>
      <charset val="128"/>
    </font>
    <font>
      <b/>
      <sz val="11"/>
      <color theme="0"/>
      <name val="BIZ UDPゴシック"/>
      <family val="3"/>
      <charset val="128"/>
    </font>
    <font>
      <sz val="11"/>
      <color theme="0"/>
      <name val="BIZ UDPゴシック"/>
      <family val="3"/>
      <charset val="128"/>
    </font>
    <font>
      <sz val="11"/>
      <color indexed="8"/>
      <name val="BIZ UDPゴシック"/>
      <family val="3"/>
      <charset val="128"/>
    </font>
    <font>
      <sz val="20"/>
      <color theme="1"/>
      <name val="BIZ UDPゴシック"/>
      <family val="3"/>
      <charset val="128"/>
    </font>
    <font>
      <sz val="9"/>
      <color theme="1"/>
      <name val="BIZ UDPゴシック"/>
      <family val="3"/>
      <charset val="128"/>
    </font>
    <font>
      <sz val="10"/>
      <name val="BIZ UDPゴシック"/>
      <family val="3"/>
      <charset val="128"/>
    </font>
    <font>
      <sz val="8"/>
      <name val="BIZ UDPゴシック"/>
      <family val="3"/>
      <charset val="128"/>
    </font>
    <font>
      <sz val="20"/>
      <name val="BIZ UDPゴシック"/>
      <family val="3"/>
      <charset val="128"/>
    </font>
    <font>
      <sz val="14"/>
      <name val="BIZ UDPゴシック"/>
      <family val="3"/>
      <charset val="128"/>
    </font>
    <font>
      <sz val="14"/>
      <color theme="1"/>
      <name val="BIZ UDPゴシック"/>
      <family val="3"/>
      <charset val="128"/>
    </font>
    <font>
      <sz val="10"/>
      <color theme="0"/>
      <name val="BIZ UDPゴシック"/>
      <family val="3"/>
      <charset val="128"/>
    </font>
    <font>
      <sz val="22"/>
      <name val="BIZ UDPゴシック"/>
      <family val="3"/>
      <charset val="128"/>
    </font>
    <font>
      <sz val="12"/>
      <name val="BIZ UDPゴシック"/>
      <family val="3"/>
      <charset val="128"/>
    </font>
    <font>
      <sz val="12"/>
      <color theme="1"/>
      <name val="BIZ UDPゴシック"/>
      <family val="3"/>
      <charset val="128"/>
    </font>
    <font>
      <sz val="10"/>
      <color theme="1"/>
      <name val="BIZ UDPゴシック"/>
      <family val="3"/>
      <charset val="128"/>
    </font>
    <font>
      <u/>
      <sz val="11"/>
      <color theme="1"/>
      <name val="BIZ UDPゴシック"/>
      <family val="3"/>
      <charset val="128"/>
    </font>
    <font>
      <b/>
      <sz val="11"/>
      <color theme="1"/>
      <name val="BIZ UDPゴシック"/>
      <family val="3"/>
      <charset val="128"/>
    </font>
    <font>
      <b/>
      <sz val="14"/>
      <name val="BIZ UDPゴシック"/>
      <family val="3"/>
      <charset val="128"/>
    </font>
    <font>
      <i/>
      <sz val="11"/>
      <color theme="1"/>
      <name val="BIZ UDPゴシック"/>
      <family val="3"/>
      <charset val="128"/>
    </font>
    <font>
      <b/>
      <sz val="9"/>
      <color theme="1"/>
      <name val="BIZ UDPゴシック"/>
      <family val="3"/>
      <charset val="128"/>
    </font>
    <font>
      <b/>
      <u/>
      <sz val="11"/>
      <color indexed="8"/>
      <name val="BIZ UDPゴシック"/>
      <family val="3"/>
      <charset val="128"/>
    </font>
    <font>
      <sz val="11"/>
      <name val="BIZ UDPゴシック"/>
      <family val="3"/>
      <charset val="128"/>
    </font>
    <font>
      <b/>
      <sz val="11"/>
      <color indexed="8"/>
      <name val="BIZ UDPゴシック"/>
      <family val="3"/>
      <charset val="128"/>
    </font>
    <font>
      <b/>
      <sz val="14"/>
      <color theme="1"/>
      <name val="BIZ UDPゴシック"/>
      <family val="3"/>
      <charset val="128"/>
    </font>
    <font>
      <b/>
      <sz val="16"/>
      <color theme="1"/>
      <name val="BIZ UDPゴシック"/>
      <family val="3"/>
      <charset val="128"/>
    </font>
    <font>
      <b/>
      <sz val="18"/>
      <color theme="1"/>
      <name val="BIZ UDPゴシック"/>
      <family val="3"/>
      <charset val="128"/>
    </font>
    <font>
      <b/>
      <sz val="24"/>
      <color theme="1"/>
      <name val="BIZ UDPゴシック"/>
      <family val="3"/>
      <charset val="128"/>
    </font>
    <font>
      <b/>
      <sz val="26"/>
      <color theme="1"/>
      <name val="BIZ UDPゴシック"/>
      <family val="3"/>
      <charset val="128"/>
    </font>
    <font>
      <u/>
      <sz val="11"/>
      <color theme="0"/>
      <name val="BIZ UDPゴシック"/>
      <family val="3"/>
      <charset val="128"/>
    </font>
    <font>
      <b/>
      <sz val="11"/>
      <name val="BIZ UDPゴシック"/>
      <family val="3"/>
      <charset val="128"/>
    </font>
    <font>
      <b/>
      <sz val="9"/>
      <name val="BIZ UDPゴシック"/>
      <family val="3"/>
      <charset val="128"/>
    </font>
    <font>
      <b/>
      <u/>
      <sz val="12"/>
      <color indexed="8"/>
      <name val="BIZ UDPゴシック"/>
      <family val="3"/>
      <charset val="128"/>
    </font>
    <font>
      <sz val="12"/>
      <color indexed="8"/>
      <name val="BIZ UDPゴシック"/>
      <family val="3"/>
      <charset val="128"/>
    </font>
    <font>
      <sz val="8"/>
      <color indexed="8"/>
      <name val="BIZ UDPゴシック"/>
      <family val="3"/>
      <charset val="128"/>
    </font>
    <font>
      <sz val="10"/>
      <color indexed="8"/>
      <name val="BIZ UDPゴシック"/>
      <family val="3"/>
      <charset val="128"/>
    </font>
    <font>
      <sz val="20"/>
      <color theme="0"/>
      <name val="BIZ UDPゴシック"/>
      <family val="3"/>
      <charset val="128"/>
    </font>
    <font>
      <b/>
      <sz val="12"/>
      <color rgb="FF000000"/>
      <name val="BIZ UDPゴシック"/>
      <family val="3"/>
      <charset val="128"/>
    </font>
    <font>
      <b/>
      <sz val="20"/>
      <name val="BIZ UDPゴシック"/>
      <family val="3"/>
      <charset val="128"/>
    </font>
    <font>
      <b/>
      <sz val="26"/>
      <name val="BIZ UDPゴシック"/>
      <family val="3"/>
      <charset val="128"/>
    </font>
    <font>
      <sz val="16"/>
      <name val="BIZ UDPゴシック"/>
      <family val="3"/>
      <charset val="128"/>
    </font>
    <font>
      <u/>
      <sz val="16"/>
      <name val="BIZ UDPゴシック"/>
      <family val="3"/>
      <charset val="128"/>
    </font>
    <font>
      <b/>
      <u/>
      <sz val="16"/>
      <name val="BIZ UDPゴシック"/>
      <family val="3"/>
      <charset val="128"/>
    </font>
    <font>
      <sz val="18"/>
      <name val="BIZ UDPゴシック"/>
      <family val="3"/>
      <charset val="128"/>
    </font>
    <font>
      <sz val="9"/>
      <color theme="0"/>
      <name val="BIZ UDPゴシック"/>
      <family val="3"/>
      <charset val="128"/>
    </font>
    <font>
      <sz val="16"/>
      <color theme="0"/>
      <name val="BIZ UDPゴシック"/>
      <family val="3"/>
      <charset val="128"/>
    </font>
    <font>
      <sz val="18"/>
      <color theme="1"/>
      <name val="BIZ UDPゴシック"/>
      <family val="3"/>
      <charset val="128"/>
    </font>
    <font>
      <b/>
      <sz val="16"/>
      <name val="BIZ UDPゴシック"/>
      <family val="3"/>
      <charset val="128"/>
    </font>
    <font>
      <b/>
      <sz val="18"/>
      <name val="BIZ UDPゴシック"/>
      <family val="3"/>
      <charset val="128"/>
    </font>
    <font>
      <sz val="16"/>
      <color theme="1"/>
      <name val="BIZ UDPゴシック"/>
      <family val="3"/>
      <charset val="128"/>
    </font>
    <font>
      <sz val="12"/>
      <color theme="0"/>
      <name val="BIZ UDPゴシック"/>
      <family val="3"/>
      <charset val="128"/>
    </font>
    <font>
      <sz val="26"/>
      <color indexed="8"/>
      <name val="BIZ UDPゴシック"/>
      <family val="3"/>
      <charset val="128"/>
    </font>
    <font>
      <sz val="16"/>
      <color indexed="8"/>
      <name val="BIZ UDPゴシック"/>
      <family val="3"/>
      <charset val="128"/>
    </font>
    <font>
      <sz val="26"/>
      <color theme="1"/>
      <name val="BIZ UDPゴシック"/>
      <family val="3"/>
      <charset val="128"/>
    </font>
    <font>
      <sz val="24"/>
      <color indexed="8"/>
      <name val="BIZ UDPゴシック"/>
      <family val="3"/>
      <charset val="128"/>
    </font>
    <font>
      <sz val="48"/>
      <name val="BIZ UDPゴシック"/>
      <family val="3"/>
      <charset val="128"/>
    </font>
    <font>
      <sz val="72"/>
      <name val="BIZ UDPゴシック"/>
      <family val="3"/>
      <charset val="128"/>
    </font>
    <font>
      <b/>
      <sz val="12"/>
      <name val="BIZ UDPゴシック"/>
      <family val="3"/>
      <charset val="128"/>
    </font>
    <font>
      <sz val="12"/>
      <color theme="1"/>
      <name val="Segoe UI Symbol"/>
      <family val="3"/>
    </font>
    <font>
      <b/>
      <sz val="20"/>
      <color theme="1"/>
      <name val="BIZ UDPゴシック"/>
      <family val="3"/>
      <charset val="128"/>
    </font>
    <font>
      <b/>
      <u/>
      <sz val="20"/>
      <color rgb="FFFF0000"/>
      <name val="BIZ UDPゴシック"/>
      <family val="3"/>
      <charset val="128"/>
    </font>
    <font>
      <sz val="36"/>
      <name val="BIZ UDPゴシック"/>
      <family val="3"/>
      <charset val="128"/>
    </font>
    <font>
      <sz val="28"/>
      <name val="BIZ UDPゴシック"/>
      <family val="3"/>
      <charset val="128"/>
    </font>
    <font>
      <sz val="11"/>
      <color theme="0"/>
      <name val="ＭＳ Ｐゴシック"/>
      <family val="3"/>
      <charset val="128"/>
    </font>
    <font>
      <b/>
      <u/>
      <sz val="16"/>
      <color theme="0"/>
      <name val="BIZ UDPゴシック"/>
      <family val="3"/>
      <charset val="128"/>
    </font>
    <font>
      <b/>
      <sz val="14"/>
      <color indexed="81"/>
      <name val="BIZ UDPゴシック"/>
      <family val="3"/>
      <charset val="128"/>
    </font>
    <font>
      <sz val="11"/>
      <color theme="0"/>
      <name val="ＭＳ Ｐ明朝"/>
      <family val="1"/>
      <charset val="128"/>
    </font>
    <font>
      <b/>
      <sz val="11"/>
      <color theme="0"/>
      <name val="ＭＳ ゴシック"/>
      <family val="3"/>
      <charset val="128"/>
    </font>
    <font>
      <b/>
      <sz val="9"/>
      <color theme="0"/>
      <name val="BIZ UDPゴシック"/>
      <family val="3"/>
      <charset val="128"/>
    </font>
    <font>
      <sz val="11"/>
      <color theme="0" tint="-0.34998626667073579"/>
      <name val="ＭＳ ゴシック"/>
      <family val="3"/>
      <charset val="128"/>
    </font>
    <font>
      <b/>
      <sz val="10"/>
      <color indexed="81"/>
      <name val="BIZ UDPゴシック"/>
      <family val="3"/>
      <charset val="128"/>
    </font>
    <font>
      <b/>
      <sz val="11"/>
      <color indexed="81"/>
      <name val="BIZ UDPゴシック"/>
      <family val="3"/>
      <charset val="128"/>
    </font>
    <font>
      <sz val="10.5"/>
      <color theme="1"/>
      <name val="BIZ UDPゴシック"/>
      <family val="3"/>
      <charset val="128"/>
    </font>
    <font>
      <b/>
      <sz val="10.5"/>
      <color theme="1"/>
      <name val="BIZ UDPゴシック"/>
      <family val="3"/>
      <charset val="128"/>
    </font>
    <font>
      <b/>
      <sz val="12"/>
      <color rgb="FFFF0000"/>
      <name val="BIZ UDPゴシック"/>
      <family val="3"/>
      <charset val="128"/>
    </font>
    <font>
      <b/>
      <u/>
      <sz val="10.5"/>
      <color theme="1"/>
      <name val="BIZ UDPゴシック"/>
      <family val="3"/>
      <charset val="128"/>
    </font>
    <font>
      <b/>
      <sz val="10.5"/>
      <color theme="0"/>
      <name val="BIZ UDPゴシック"/>
      <family val="3"/>
      <charset val="128"/>
    </font>
    <font>
      <sz val="10.5"/>
      <color theme="0"/>
      <name val="BIZ UDPゴシック"/>
      <family val="3"/>
      <charset val="128"/>
    </font>
    <font>
      <b/>
      <u/>
      <sz val="10.5"/>
      <color theme="0"/>
      <name val="BIZ UDPゴシック"/>
      <family val="3"/>
      <charset val="128"/>
    </font>
    <font>
      <sz val="10.5"/>
      <color indexed="8"/>
      <name val="BIZ UDPゴシック"/>
      <family val="3"/>
      <charset val="128"/>
    </font>
    <font>
      <b/>
      <sz val="10"/>
      <name val="BIZ UDPゴシック"/>
      <family val="3"/>
      <charset val="128"/>
    </font>
    <font>
      <sz val="9"/>
      <name val="BIZ UDPゴシック"/>
      <family val="3"/>
      <charset val="128"/>
    </font>
    <font>
      <sz val="10.5"/>
      <name val="BIZ UDPゴシック"/>
      <family val="3"/>
      <charset val="128"/>
    </font>
    <font>
      <sz val="7"/>
      <name val="BIZ UDPゴシック"/>
      <family val="3"/>
      <charset val="128"/>
    </font>
    <font>
      <sz val="11"/>
      <color rgb="FFFF0000"/>
      <name val="BIZ UDPゴシック"/>
      <family val="3"/>
      <charset val="128"/>
    </font>
    <font>
      <sz val="6"/>
      <name val="ＭＳ Ｐゴシック"/>
      <family val="3"/>
      <charset val="128"/>
      <scheme val="minor"/>
    </font>
    <font>
      <b/>
      <sz val="20"/>
      <color rgb="FFFF0000"/>
      <name val="BIZ UDPゴシック"/>
      <family val="3"/>
      <charset val="128"/>
    </font>
    <font>
      <b/>
      <u/>
      <sz val="11"/>
      <color rgb="FFFF0000"/>
      <name val="BIZ UDPゴシック"/>
      <family val="3"/>
      <charset val="128"/>
    </font>
    <font>
      <sz val="8.5"/>
      <color theme="1"/>
      <name val="BIZ UDPゴシック"/>
      <family val="3"/>
      <charset val="128"/>
    </font>
    <font>
      <b/>
      <sz val="8.5"/>
      <color theme="1"/>
      <name val="BIZ UDPゴシック"/>
      <family val="3"/>
      <charset val="128"/>
    </font>
    <font>
      <sz val="11"/>
      <color theme="0" tint="-0.34998626667073579"/>
      <name val="ＭＳ Ｐ明朝"/>
      <family val="1"/>
      <charset val="128"/>
    </font>
    <font>
      <b/>
      <sz val="11"/>
      <color theme="0" tint="-0.34998626667073579"/>
      <name val="ＭＳ Ｐゴシック"/>
      <family val="3"/>
      <charset val="128"/>
    </font>
    <font>
      <sz val="11"/>
      <color theme="0" tint="-0.34998626667073579"/>
      <name val="BIZ UDPゴシック"/>
      <family val="3"/>
      <charset val="128"/>
    </font>
    <font>
      <sz val="12"/>
      <color theme="0" tint="-0.34998626667073579"/>
      <name val="BIZ UDPゴシック"/>
      <family val="3"/>
      <charset val="128"/>
    </font>
    <font>
      <sz val="12"/>
      <color theme="0" tint="-0.34998626667073579"/>
      <name val="HG丸ｺﾞｼｯｸM-PRO"/>
      <family val="3"/>
      <charset val="128"/>
    </font>
    <font>
      <sz val="6"/>
      <color theme="0" tint="-0.34998626667073579"/>
      <name val="HG丸ｺﾞｼｯｸM-PRO"/>
      <family val="3"/>
      <charset val="128"/>
    </font>
    <font>
      <sz val="11"/>
      <color theme="0" tint="-0.34998626667073579"/>
      <name val="HG丸ｺﾞｼｯｸM-PRO"/>
      <family val="3"/>
      <charset val="128"/>
    </font>
    <font>
      <sz val="10"/>
      <color theme="0" tint="-0.34998626667073579"/>
      <name val="メイリオ"/>
      <family val="3"/>
      <charset val="128"/>
    </font>
    <font>
      <b/>
      <sz val="9"/>
      <color theme="0" tint="-0.34998626667073579"/>
      <name val="ＭＳ Ｐゴシック"/>
      <family val="3"/>
      <charset val="128"/>
      <scheme val="minor"/>
    </font>
    <font>
      <sz val="20"/>
      <color theme="0" tint="-0.34998626667073579"/>
      <name val="BIZ UDPゴシック"/>
      <family val="3"/>
      <charset val="128"/>
    </font>
    <font>
      <b/>
      <sz val="11"/>
      <color theme="0" tint="-0.34998626667073579"/>
      <name val="ＭＳ ゴシック"/>
      <family val="3"/>
      <charset val="128"/>
    </font>
    <font>
      <u/>
      <sz val="11"/>
      <color theme="0" tint="-0.34998626667073579"/>
      <name val="BIZ UDPゴシック"/>
      <family val="3"/>
      <charset val="128"/>
    </font>
    <font>
      <b/>
      <sz val="14"/>
      <color theme="0" tint="-0.34998626667073579"/>
      <name val="BIZ UDPゴシック"/>
      <family val="3"/>
      <charset val="128"/>
    </font>
    <font>
      <i/>
      <sz val="11"/>
      <color theme="0" tint="-0.34998626667073579"/>
      <name val="BIZ UDPゴシック"/>
      <family val="3"/>
      <charset val="128"/>
    </font>
    <font>
      <sz val="14"/>
      <color theme="0" tint="-0.34998626667073579"/>
      <name val="BIZ UDPゴシック"/>
      <family val="3"/>
      <charset val="128"/>
    </font>
    <font>
      <b/>
      <sz val="11"/>
      <color theme="0" tint="-0.34998626667073579"/>
      <name val="BIZ UDPゴシック"/>
      <family val="3"/>
      <charset val="128"/>
    </font>
    <font>
      <u/>
      <sz val="11"/>
      <color theme="10"/>
      <name val="BIZ UDPゴシック"/>
      <family val="3"/>
      <charset val="128"/>
    </font>
    <font>
      <sz val="12"/>
      <name val="ＭＳ Ｐ明朝"/>
      <family val="1"/>
      <charset val="128"/>
    </font>
    <font>
      <b/>
      <sz val="12"/>
      <name val="HG丸ｺﾞｼｯｸM-PRO"/>
      <family val="3"/>
      <charset val="128"/>
    </font>
    <font>
      <sz val="12"/>
      <name val="ＭＳ Ｐゴシック"/>
      <family val="3"/>
      <charset val="128"/>
      <scheme val="major"/>
    </font>
    <font>
      <sz val="14"/>
      <color rgb="FFFF0000"/>
      <name val="BIZ UDPゴシック"/>
      <family val="3"/>
      <charset val="128"/>
    </font>
    <font>
      <sz val="11"/>
      <color rgb="FFFF0000"/>
      <name val="ＭＳ Ｐゴシック"/>
      <family val="3"/>
      <charset val="128"/>
      <scheme val="minor"/>
    </font>
    <font>
      <sz val="12"/>
      <color rgb="FFFF0000"/>
      <name val="ＭＳ Ｐゴシック"/>
      <family val="2"/>
      <charset val="128"/>
      <scheme val="minor"/>
    </font>
    <font>
      <sz val="12"/>
      <color rgb="FFFF0000"/>
      <name val="ＭＳ 明朝"/>
      <family val="1"/>
      <charset val="128"/>
    </font>
    <font>
      <b/>
      <sz val="10"/>
      <color rgb="FFFF0000"/>
      <name val="ＭＳ Ｐゴシック"/>
      <family val="3"/>
      <charset val="128"/>
      <scheme val="minor"/>
    </font>
    <font>
      <u/>
      <sz val="11"/>
      <color rgb="FFFF0000"/>
      <name val="ＭＳ Ｐゴシック"/>
      <family val="3"/>
      <charset val="128"/>
      <scheme val="minor"/>
    </font>
    <font>
      <sz val="20"/>
      <color rgb="FFFF0000"/>
      <name val="BIZ UDPゴシック"/>
      <family val="3"/>
      <charset val="128"/>
    </font>
    <font>
      <b/>
      <sz val="20"/>
      <color indexed="8"/>
      <name val="BIZ UDPゴシック"/>
      <family val="3"/>
      <charset val="128"/>
    </font>
    <font>
      <sz val="11"/>
      <color theme="0" tint="-0.249977111117893"/>
      <name val="ＭＳ Ｐゴシック"/>
      <family val="3"/>
      <charset val="128"/>
      <scheme val="minor"/>
    </font>
    <font>
      <sz val="11"/>
      <color theme="0" tint="-0.249977111117893"/>
      <name val="ＭＳ Ｐゴシック"/>
      <family val="2"/>
      <charset val="128"/>
      <scheme val="minor"/>
    </font>
    <font>
      <sz val="11"/>
      <color theme="0" tint="-0.249977111117893"/>
      <name val="ＭＳ ゴシック"/>
      <family val="3"/>
      <charset val="128"/>
    </font>
    <font>
      <sz val="10"/>
      <color theme="0" tint="-0.249977111117893"/>
      <name val="ＭＳ Ｐゴシック"/>
      <family val="3"/>
      <charset val="128"/>
      <scheme val="minor"/>
    </font>
    <font>
      <b/>
      <sz val="10"/>
      <color theme="0" tint="-0.249977111117893"/>
      <name val="ＭＳ Ｐゴシック"/>
      <family val="3"/>
      <charset val="128"/>
      <scheme val="minor"/>
    </font>
    <font>
      <sz val="11"/>
      <color theme="0" tint="-0.249977111117893"/>
      <name val="ＭＳ 明朝"/>
      <family val="1"/>
      <charset val="128"/>
    </font>
    <font>
      <sz val="8"/>
      <color theme="1"/>
      <name val="BIZ UDPゴシック"/>
      <family val="3"/>
      <charset val="128"/>
    </font>
    <font>
      <sz val="6"/>
      <color theme="1"/>
      <name val="BIZ UDPゴシック"/>
      <family val="3"/>
      <charset val="128"/>
    </font>
    <font>
      <sz val="20"/>
      <name val="ＭＳ Ｐゴシック"/>
      <family val="3"/>
      <charset val="128"/>
    </font>
    <font>
      <sz val="9"/>
      <name val="ＭＳ Ｐゴシック"/>
      <family val="3"/>
      <charset val="128"/>
    </font>
  </fonts>
  <fills count="21">
    <fill>
      <patternFill patternType="none"/>
    </fill>
    <fill>
      <patternFill patternType="gray125"/>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rgb="FFFFFFFF"/>
        <bgColor indexed="64"/>
      </patternFill>
    </fill>
    <fill>
      <patternFill patternType="solid">
        <fgColor theme="4" tint="0.59999389629810485"/>
        <bgColor indexed="64"/>
      </patternFill>
    </fill>
    <fill>
      <patternFill patternType="solid">
        <fgColor rgb="FF7030A0"/>
        <bgColor indexed="64"/>
      </patternFill>
    </fill>
    <fill>
      <patternFill patternType="solid">
        <fgColor theme="6" tint="0.79998168889431442"/>
        <bgColor indexed="64"/>
      </patternFill>
    </fill>
  </fills>
  <borders count="383">
    <border>
      <left/>
      <right/>
      <top/>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medium">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ck">
        <color indexed="64"/>
      </right>
      <top style="thick">
        <color indexed="64"/>
      </top>
      <bottom style="dotted">
        <color indexed="64"/>
      </bottom>
      <diagonal/>
    </border>
    <border>
      <left style="thin">
        <color indexed="64"/>
      </left>
      <right style="thick">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style="dotted">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dotted">
        <color indexed="64"/>
      </top>
      <bottom style="thick">
        <color indexed="64"/>
      </bottom>
      <diagonal/>
    </border>
    <border>
      <left/>
      <right/>
      <top style="thick">
        <color indexed="64"/>
      </top>
      <bottom/>
      <diagonal/>
    </border>
    <border>
      <left/>
      <right style="thick">
        <color indexed="64"/>
      </right>
      <top style="thick">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bottom style="dotted">
        <color indexed="64"/>
      </bottom>
      <diagonal/>
    </border>
    <border>
      <left style="thin">
        <color indexed="64"/>
      </left>
      <right style="thick">
        <color indexed="64"/>
      </right>
      <top style="dotted">
        <color indexed="64"/>
      </top>
      <bottom/>
      <diagonal/>
    </border>
    <border>
      <left style="thin">
        <color indexed="64"/>
      </left>
      <right style="thick">
        <color indexed="64"/>
      </right>
      <top/>
      <bottom style="dotted">
        <color indexed="64"/>
      </bottom>
      <diagonal/>
    </border>
    <border>
      <left style="thick">
        <color indexed="64"/>
      </left>
      <right style="thick">
        <color indexed="64"/>
      </right>
      <top/>
      <bottom style="dotted">
        <color indexed="64"/>
      </bottom>
      <diagonal/>
    </border>
    <border>
      <left style="thin">
        <color indexed="64"/>
      </left>
      <right style="thick">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dotted">
        <color indexed="64"/>
      </bottom>
      <diagonal/>
    </border>
    <border>
      <left style="thin">
        <color indexed="64"/>
      </left>
      <right style="thick">
        <color indexed="64"/>
      </right>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ck">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ck">
        <color indexed="64"/>
      </bottom>
      <diagonal/>
    </border>
    <border>
      <left style="thin">
        <color indexed="64"/>
      </left>
      <right style="thin">
        <color indexed="64"/>
      </right>
      <top style="dotted">
        <color indexed="64"/>
      </top>
      <bottom style="thick">
        <color indexed="64"/>
      </bottom>
      <diagonal/>
    </border>
    <border>
      <left/>
      <right style="thin">
        <color indexed="64"/>
      </right>
      <top style="thick">
        <color indexed="64"/>
      </top>
      <bottom style="dotted">
        <color indexed="64"/>
      </bottom>
      <diagonal/>
    </border>
    <border diagonalUp="1">
      <left style="thin">
        <color indexed="64"/>
      </left>
      <right/>
      <top style="dotted">
        <color indexed="64"/>
      </top>
      <bottom style="dotted">
        <color indexed="64"/>
      </bottom>
      <diagonal style="thin">
        <color indexed="64"/>
      </diagonal>
    </border>
    <border diagonalUp="1">
      <left style="thin">
        <color indexed="64"/>
      </left>
      <right/>
      <top style="dotted">
        <color indexed="64"/>
      </top>
      <bottom/>
      <diagonal style="thin">
        <color indexed="64"/>
      </diagonal>
    </border>
    <border>
      <left style="thin">
        <color indexed="64"/>
      </left>
      <right style="thin">
        <color indexed="64"/>
      </right>
      <top style="thin">
        <color indexed="64"/>
      </top>
      <bottom style="dotted">
        <color indexed="64"/>
      </bottom>
      <diagonal/>
    </border>
    <border>
      <left/>
      <right style="hair">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style="thin">
        <color indexed="64"/>
      </right>
      <top/>
      <bottom style="thin">
        <color indexed="64"/>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diagonalDown="1">
      <left/>
      <right/>
      <top/>
      <bottom/>
      <diagonal style="thin">
        <color indexed="64"/>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top style="thin">
        <color indexed="64"/>
      </top>
      <bottom style="thick">
        <color indexed="64"/>
      </bottom>
      <diagonal/>
    </border>
    <border>
      <left style="thin">
        <color indexed="64"/>
      </left>
      <right style="thin">
        <color indexed="64"/>
      </right>
      <top style="dotted">
        <color indexed="64"/>
      </top>
      <bottom style="thin">
        <color indexed="64"/>
      </bottom>
      <diagonal/>
    </border>
    <border>
      <left style="thick">
        <color indexed="64"/>
      </left>
      <right/>
      <top style="dotted">
        <color indexed="64"/>
      </top>
      <bottom style="dotted">
        <color indexed="64"/>
      </bottom>
      <diagonal/>
    </border>
    <border>
      <left style="thick">
        <color indexed="64"/>
      </left>
      <right/>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style="thick">
        <color indexed="64"/>
      </left>
      <right/>
      <top style="dashed">
        <color indexed="64"/>
      </top>
      <bottom/>
      <diagonal/>
    </border>
    <border>
      <left/>
      <right/>
      <top style="dashed">
        <color indexed="64"/>
      </top>
      <bottom/>
      <diagonal/>
    </border>
    <border>
      <left style="thick">
        <color indexed="64"/>
      </left>
      <right style="thin">
        <color indexed="64"/>
      </right>
      <top style="dashed">
        <color indexed="64"/>
      </top>
      <bottom style="dashed">
        <color indexed="64"/>
      </bottom>
      <diagonal/>
    </border>
    <border>
      <left style="thick">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ck">
        <color indexed="64"/>
      </left>
      <right style="thick">
        <color indexed="64"/>
      </right>
      <top style="dashed">
        <color indexed="64"/>
      </top>
      <bottom/>
      <diagonal/>
    </border>
    <border>
      <left style="thick">
        <color indexed="64"/>
      </left>
      <right style="thick">
        <color indexed="64"/>
      </right>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thick">
        <color indexed="64"/>
      </right>
      <top style="dashed">
        <color indexed="64"/>
      </top>
      <bottom/>
      <diagonal/>
    </border>
    <border>
      <left style="thin">
        <color indexed="64"/>
      </left>
      <right style="thick">
        <color indexed="64"/>
      </right>
      <top/>
      <bottom style="dashed">
        <color indexed="64"/>
      </bottom>
      <diagonal/>
    </border>
    <border>
      <left style="thick">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ck">
        <color indexed="64"/>
      </left>
      <right style="thick">
        <color indexed="64"/>
      </right>
      <top/>
      <bottom/>
      <diagonal/>
    </border>
    <border>
      <left style="thin">
        <color indexed="64"/>
      </left>
      <right style="thin">
        <color indexed="64"/>
      </right>
      <top style="dotted">
        <color indexed="64"/>
      </top>
      <bottom style="medium">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style="thick">
        <color indexed="64"/>
      </left>
      <right style="thick">
        <color indexed="64"/>
      </right>
      <top style="dotted">
        <color indexed="64"/>
      </top>
      <bottom/>
      <diagonal/>
    </border>
    <border>
      <left style="thin">
        <color indexed="64"/>
      </left>
      <right style="thick">
        <color indexed="64"/>
      </right>
      <top style="dashed">
        <color indexed="64"/>
      </top>
      <bottom style="dashed">
        <color indexed="64"/>
      </bottom>
      <diagonal/>
    </border>
    <border>
      <left style="thin">
        <color indexed="64"/>
      </left>
      <right/>
      <top style="thick">
        <color indexed="64"/>
      </top>
      <bottom style="dotted">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dashed">
        <color indexed="64"/>
      </bottom>
      <diagonal/>
    </border>
    <border>
      <left style="thick">
        <color indexed="64"/>
      </left>
      <right style="thin">
        <color indexed="64"/>
      </right>
      <top style="thick">
        <color indexed="64"/>
      </top>
      <bottom style="dash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ck">
        <color indexed="64"/>
      </bottom>
      <diagonal/>
    </border>
    <border>
      <left style="thick">
        <color indexed="64"/>
      </left>
      <right style="thin">
        <color indexed="64"/>
      </right>
      <top/>
      <bottom style="dashed">
        <color indexed="64"/>
      </bottom>
      <diagonal/>
    </border>
    <border>
      <left style="thick">
        <color indexed="64"/>
      </left>
      <right style="thin">
        <color indexed="64"/>
      </right>
      <top style="dashed">
        <color indexed="64"/>
      </top>
      <bottom/>
      <diagonal/>
    </border>
    <border diagonalUp="1">
      <left/>
      <right/>
      <top/>
      <bottom style="dotted">
        <color indexed="64"/>
      </bottom>
      <diagonal style="thin">
        <color indexed="64"/>
      </diagonal>
    </border>
    <border diagonalUp="1">
      <left/>
      <right style="thin">
        <color indexed="64"/>
      </right>
      <top/>
      <bottom style="dotted">
        <color indexed="64"/>
      </bottom>
      <diagonal style="thin">
        <color indexed="64"/>
      </diagonal>
    </border>
    <border diagonalUp="1">
      <left style="thin">
        <color indexed="64"/>
      </left>
      <right/>
      <top style="dashed">
        <color indexed="64"/>
      </top>
      <bottom style="double">
        <color indexed="64"/>
      </bottom>
      <diagonal style="thin">
        <color indexed="64"/>
      </diagonal>
    </border>
    <border diagonalUp="1">
      <left/>
      <right style="thin">
        <color indexed="64"/>
      </right>
      <top style="dashed">
        <color indexed="64"/>
      </top>
      <bottom style="double">
        <color indexed="64"/>
      </bottom>
      <diagonal style="thin">
        <color indexed="64"/>
      </diagonal>
    </border>
    <border diagonalUp="1">
      <left style="thin">
        <color indexed="64"/>
      </left>
      <right style="thin">
        <color indexed="64"/>
      </right>
      <top style="dotted">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thin">
        <color indexed="64"/>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diagonalUp="1">
      <left/>
      <right/>
      <top style="dotted">
        <color indexed="64"/>
      </top>
      <bottom style="dotted">
        <color indexed="64"/>
      </bottom>
      <diagonal style="thin">
        <color indexed="64"/>
      </diagonal>
    </border>
    <border diagonalUp="1">
      <left style="thin">
        <color indexed="64"/>
      </left>
      <right/>
      <top/>
      <bottom style="dotted">
        <color indexed="64"/>
      </bottom>
      <diagonal style="thin">
        <color indexed="64"/>
      </diagonal>
    </border>
    <border diagonalUp="1">
      <left style="thin">
        <color indexed="64"/>
      </left>
      <right style="thin">
        <color indexed="64"/>
      </right>
      <top/>
      <bottom style="dotted">
        <color indexed="64"/>
      </bottom>
      <diagonal style="thin">
        <color indexed="64"/>
      </diagonal>
    </border>
    <border>
      <left style="thick">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double">
        <color indexed="64"/>
      </bottom>
      <diagonal/>
    </border>
    <border diagonalUp="1">
      <left/>
      <right/>
      <top style="dotted">
        <color indexed="64"/>
      </top>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ck">
        <color indexed="64"/>
      </top>
      <bottom style="dashed">
        <color indexed="64"/>
      </bottom>
      <diagonal style="thin">
        <color indexed="64"/>
      </diagonal>
    </border>
    <border>
      <left style="thin">
        <color indexed="64"/>
      </left>
      <right style="thin">
        <color indexed="64"/>
      </right>
      <top style="dotted">
        <color indexed="64"/>
      </top>
      <bottom/>
      <diagonal/>
    </border>
    <border>
      <left style="thick">
        <color indexed="64"/>
      </left>
      <right style="thin">
        <color indexed="64"/>
      </right>
      <top style="dashed">
        <color indexed="64"/>
      </top>
      <bottom style="thick">
        <color indexed="64"/>
      </bottom>
      <diagonal/>
    </border>
    <border>
      <left style="thin">
        <color indexed="64"/>
      </left>
      <right style="thick">
        <color indexed="64"/>
      </right>
      <top style="dashed">
        <color indexed="64"/>
      </top>
      <bottom style="thick">
        <color indexed="64"/>
      </bottom>
      <diagonal/>
    </border>
    <border>
      <left style="thick">
        <color indexed="64"/>
      </left>
      <right style="thin">
        <color indexed="64"/>
      </right>
      <top style="dotted">
        <color indexed="64"/>
      </top>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style="thick">
        <color indexed="64"/>
      </left>
      <right style="thick">
        <color indexed="64"/>
      </right>
      <top/>
      <bottom style="thin">
        <color indexed="64"/>
      </bottom>
      <diagonal/>
    </border>
    <border diagonalUp="1">
      <left style="thin">
        <color indexed="64"/>
      </left>
      <right style="thin">
        <color indexed="64"/>
      </right>
      <top style="dashed">
        <color indexed="64"/>
      </top>
      <bottom style="double">
        <color indexed="64"/>
      </bottom>
      <diagonal style="thin">
        <color indexed="64"/>
      </diagonal>
    </border>
    <border diagonalUp="1">
      <left style="thin">
        <color indexed="64"/>
      </left>
      <right style="thin">
        <color indexed="64"/>
      </right>
      <top style="dotted">
        <color indexed="64"/>
      </top>
      <bottom style="dash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right style="thin">
        <color indexed="64"/>
      </right>
      <top/>
      <bottom style="dashed">
        <color indexed="64"/>
      </bottom>
      <diagonal style="thin">
        <color indexed="64"/>
      </diagonal>
    </border>
    <border diagonalUp="1">
      <left/>
      <right/>
      <top style="dashed">
        <color indexed="64"/>
      </top>
      <bottom style="double">
        <color indexed="64"/>
      </bottom>
      <diagonal style="thin">
        <color indexed="64"/>
      </diagonal>
    </border>
    <border diagonalUp="1">
      <left style="thin">
        <color indexed="64"/>
      </left>
      <right style="double">
        <color indexed="64"/>
      </right>
      <top style="dotted">
        <color indexed="64"/>
      </top>
      <bottom style="dotted">
        <color indexed="64"/>
      </bottom>
      <diagonal style="thin">
        <color indexed="64"/>
      </diagonal>
    </border>
    <border diagonalUp="1">
      <left style="thin">
        <color indexed="64"/>
      </left>
      <right style="double">
        <color indexed="64"/>
      </right>
      <top/>
      <bottom style="double">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Up="1">
      <left style="thin">
        <color indexed="64"/>
      </left>
      <right style="double">
        <color indexed="64"/>
      </right>
      <top style="dotted">
        <color indexed="64"/>
      </top>
      <bottom/>
      <diagonal style="thin">
        <color indexed="64"/>
      </diagonal>
    </border>
    <border>
      <left style="thin">
        <color indexed="64"/>
      </left>
      <right style="double">
        <color indexed="64"/>
      </right>
      <top style="thin">
        <color indexed="64"/>
      </top>
      <bottom style="thin">
        <color indexed="64"/>
      </bottom>
      <diagonal/>
    </border>
    <border diagonalUp="1">
      <left style="thin">
        <color indexed="64"/>
      </left>
      <right style="double">
        <color indexed="64"/>
      </right>
      <top style="dotted">
        <color indexed="64"/>
      </top>
      <bottom style="thin">
        <color indexed="64"/>
      </bottom>
      <diagonal style="thin">
        <color indexed="64"/>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ck">
        <color indexed="64"/>
      </left>
      <right style="thick">
        <color indexed="64"/>
      </right>
      <top style="double">
        <color indexed="64"/>
      </top>
      <bottom style="dotted">
        <color indexed="64"/>
      </bottom>
      <diagonal/>
    </border>
    <border>
      <left style="thick">
        <color indexed="64"/>
      </left>
      <right/>
      <top style="dashed">
        <color indexed="64"/>
      </top>
      <bottom style="dashed">
        <color indexed="64"/>
      </bottom>
      <diagonal/>
    </border>
    <border>
      <left style="thick">
        <color indexed="64"/>
      </left>
      <right style="thin">
        <color indexed="64"/>
      </right>
      <top style="dotted">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style="double">
        <color indexed="64"/>
      </right>
      <top style="thin">
        <color indexed="64"/>
      </top>
      <bottom style="double">
        <color indexed="64"/>
      </bottom>
      <diagonal/>
    </border>
    <border>
      <left/>
      <right style="hair">
        <color theme="0" tint="-0.249977111117893"/>
      </right>
      <top/>
      <bottom style="thin">
        <color indexed="64"/>
      </bottom>
      <diagonal/>
    </border>
    <border>
      <left/>
      <right style="hair">
        <color theme="0" tint="-0.249977111117893"/>
      </right>
      <top/>
      <bottom/>
      <diagonal/>
    </border>
    <border>
      <left/>
      <right style="hair">
        <color theme="0" tint="-0.249977111117893"/>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hair">
        <color indexed="64"/>
      </top>
      <bottom style="double">
        <color indexed="64"/>
      </bottom>
      <diagonal/>
    </border>
    <border>
      <left/>
      <right style="thick">
        <color indexed="64"/>
      </right>
      <top/>
      <bottom style="double">
        <color indexed="64"/>
      </bottom>
      <diagonal/>
    </border>
    <border>
      <left style="thin">
        <color indexed="64"/>
      </left>
      <right style="double">
        <color indexed="64"/>
      </right>
      <top style="thin">
        <color indexed="64"/>
      </top>
      <bottom style="thick">
        <color indexed="64"/>
      </bottom>
      <diagonal/>
    </border>
    <border>
      <left style="double">
        <color indexed="64"/>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ck">
        <color indexed="64"/>
      </left>
      <right style="thick">
        <color indexed="64"/>
      </right>
      <top/>
      <bottom style="thick">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hair">
        <color theme="0" tint="-0.249977111117893"/>
      </left>
      <right/>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top style="medium">
        <color indexed="64"/>
      </top>
      <bottom/>
      <diagonal/>
    </border>
    <border>
      <left style="hair">
        <color indexed="64"/>
      </left>
      <right/>
      <top/>
      <bottom/>
      <diagonal/>
    </border>
    <border>
      <left style="medium">
        <color rgb="FFBBBBBB"/>
      </left>
      <right style="medium">
        <color rgb="FFBBBBBB"/>
      </right>
      <top style="medium">
        <color rgb="FFBBBBBB"/>
      </top>
      <bottom style="medium">
        <color rgb="FFBBBBBB"/>
      </bottom>
      <diagonal/>
    </border>
    <border>
      <left style="thin">
        <color indexed="64"/>
      </left>
      <right style="medium">
        <color indexed="64"/>
      </right>
      <top/>
      <bottom style="thin">
        <color indexed="64"/>
      </bottom>
      <diagonal/>
    </border>
    <border>
      <left style="medium">
        <color rgb="FFBBBBBB"/>
      </left>
      <right style="medium">
        <color rgb="FFBBBBBB"/>
      </right>
      <top/>
      <bottom style="medium">
        <color rgb="FFBBBBBB"/>
      </bottom>
      <diagonal/>
    </border>
    <border>
      <left style="medium">
        <color rgb="FFBBBBBB"/>
      </left>
      <right style="medium">
        <color rgb="FFBBBBBB"/>
      </right>
      <top style="medium">
        <color rgb="FFBBBBBB"/>
      </top>
      <bottom/>
      <diagonal/>
    </border>
    <border>
      <left style="medium">
        <color indexed="64"/>
      </left>
      <right/>
      <top/>
      <bottom/>
      <diagonal/>
    </border>
    <border>
      <left/>
      <right style="thin">
        <color indexed="64"/>
      </right>
      <top/>
      <bottom style="thick">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BBBBBB"/>
      </right>
      <top style="medium">
        <color rgb="FFBBBBBB"/>
      </top>
      <bottom style="medium">
        <color rgb="FFBBBBBB"/>
      </bottom>
      <diagonal/>
    </border>
    <border>
      <left/>
      <right style="medium">
        <color rgb="FFBBBBBB"/>
      </right>
      <top style="medium">
        <color rgb="FFBBBBBB"/>
      </top>
      <bottom/>
      <diagonal/>
    </border>
    <border>
      <left/>
      <right style="medium">
        <color rgb="FFBBBBBB"/>
      </right>
      <top/>
      <bottom style="medium">
        <color rgb="FFBBBBBB"/>
      </bottom>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left/>
      <right style="medium">
        <color indexed="64"/>
      </right>
      <top style="thin">
        <color indexed="64"/>
      </top>
      <bottom/>
      <diagonal/>
    </border>
    <border>
      <left style="hair">
        <color indexed="64"/>
      </left>
      <right/>
      <top/>
      <bottom style="thin">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dotted">
        <color indexed="64"/>
      </bottom>
      <diagonal style="thin">
        <color indexed="64"/>
      </diagonal>
    </border>
    <border diagonalUp="1">
      <left style="thick">
        <color indexed="64"/>
      </left>
      <right style="thin">
        <color indexed="64"/>
      </right>
      <top style="thick">
        <color indexed="64"/>
      </top>
      <bottom style="dashed">
        <color indexed="64"/>
      </bottom>
      <diagonal style="thin">
        <color indexed="64"/>
      </diagonal>
    </border>
    <border diagonalUp="1">
      <left style="thin">
        <color indexed="64"/>
      </left>
      <right style="thick">
        <color indexed="64"/>
      </right>
      <top style="thick">
        <color indexed="64"/>
      </top>
      <bottom style="dashed">
        <color indexed="64"/>
      </bottom>
      <diagonal style="thin">
        <color indexed="64"/>
      </diagonal>
    </border>
    <border diagonalUp="1">
      <left style="thick">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ck">
        <color indexed="64"/>
      </right>
      <top style="dotted">
        <color indexed="64"/>
      </top>
      <bottom style="dotted">
        <color indexed="64"/>
      </bottom>
      <diagonal style="thin">
        <color indexed="64"/>
      </diagonal>
    </border>
    <border diagonalUp="1">
      <left style="thick">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ck">
        <color indexed="64"/>
      </right>
      <top style="dashed">
        <color indexed="64"/>
      </top>
      <bottom style="dashed">
        <color indexed="64"/>
      </bottom>
      <diagonal style="thin">
        <color indexed="64"/>
      </diagonal>
    </border>
    <border diagonalUp="1">
      <left style="thick">
        <color indexed="64"/>
      </left>
      <right/>
      <top style="dashed">
        <color indexed="64"/>
      </top>
      <bottom/>
      <diagonal style="thin">
        <color indexed="64"/>
      </diagonal>
    </border>
    <border diagonalUp="1">
      <left/>
      <right style="thin">
        <color indexed="64"/>
      </right>
      <top style="dashed">
        <color indexed="64"/>
      </top>
      <bottom/>
      <diagonal style="thin">
        <color indexed="64"/>
      </diagonal>
    </border>
    <border diagonalUp="1">
      <left style="thin">
        <color indexed="64"/>
      </left>
      <right style="thin">
        <color indexed="64"/>
      </right>
      <top style="dashed">
        <color indexed="64"/>
      </top>
      <bottom/>
      <diagonal style="thin">
        <color indexed="64"/>
      </diagonal>
    </border>
    <border diagonalUp="1">
      <left style="thick">
        <color indexed="64"/>
      </left>
      <right style="thin">
        <color indexed="64"/>
      </right>
      <top style="dashed">
        <color indexed="64"/>
      </top>
      <bottom style="thick">
        <color indexed="64"/>
      </bottom>
      <diagonal style="thin">
        <color indexed="64"/>
      </diagonal>
    </border>
    <border diagonalUp="1">
      <left style="thin">
        <color indexed="64"/>
      </left>
      <right style="thin">
        <color indexed="64"/>
      </right>
      <top style="dashed">
        <color indexed="64"/>
      </top>
      <bottom style="thick">
        <color indexed="64"/>
      </bottom>
      <diagonal style="thin">
        <color indexed="64"/>
      </diagonal>
    </border>
    <border diagonalUp="1">
      <left style="thin">
        <color indexed="64"/>
      </left>
      <right style="thick">
        <color indexed="64"/>
      </right>
      <top style="dashed">
        <color indexed="64"/>
      </top>
      <bottom style="thick">
        <color indexed="64"/>
      </bottom>
      <diagonal style="thin">
        <color indexed="64"/>
      </diagonal>
    </border>
    <border diagonalUp="1">
      <left style="thick">
        <color indexed="64"/>
      </left>
      <right/>
      <top style="dashed">
        <color indexed="64"/>
      </top>
      <bottom style="dashed">
        <color indexed="64"/>
      </bottom>
      <diagonal style="thin">
        <color indexed="64"/>
      </diagonal>
    </border>
    <border diagonalUp="1">
      <left/>
      <right style="thin">
        <color indexed="64"/>
      </right>
      <top style="dashed">
        <color indexed="64"/>
      </top>
      <bottom style="dashed">
        <color indexed="64"/>
      </bottom>
      <diagonal style="thin">
        <color indexed="64"/>
      </diagonal>
    </border>
    <border>
      <left style="thick">
        <color indexed="64"/>
      </left>
      <right/>
      <top style="dotted">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thin">
        <color indexed="64"/>
      </bottom>
      <diagonal/>
    </border>
    <border>
      <left style="thick">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ck">
        <color indexed="64"/>
      </right>
      <top style="dotted">
        <color indexed="64"/>
      </top>
      <bottom style="dashed">
        <color indexed="64"/>
      </bottom>
      <diagonal/>
    </border>
    <border>
      <left style="thick">
        <color indexed="64"/>
      </left>
      <right/>
      <top style="dashed">
        <color indexed="64"/>
      </top>
      <bottom style="dotted">
        <color indexed="64"/>
      </bottom>
      <diagonal/>
    </border>
    <border>
      <left/>
      <right/>
      <top style="thin">
        <color indexed="64"/>
      </top>
      <bottom style="dotted">
        <color indexed="64"/>
      </bottom>
      <diagonal/>
    </border>
    <border>
      <left/>
      <right style="thick">
        <color indexed="64"/>
      </right>
      <top style="dotted">
        <color indexed="64"/>
      </top>
      <bottom style="thick">
        <color indexed="64"/>
      </bottom>
      <diagonal/>
    </border>
    <border>
      <left style="thick">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mediumDashed">
        <color indexed="64"/>
      </right>
      <top/>
      <bottom style="mediumDashed">
        <color indexed="64"/>
      </bottom>
      <diagonal/>
    </border>
    <border>
      <left/>
      <right/>
      <top/>
      <bottom style="mediumDashed">
        <color indexed="64"/>
      </bottom>
      <diagonal/>
    </border>
    <border>
      <left style="mediumDashed">
        <color indexed="64"/>
      </left>
      <right/>
      <top/>
      <bottom style="mediumDashed">
        <color indexed="64"/>
      </bottom>
      <diagonal/>
    </border>
    <border>
      <left/>
      <right style="mediumDashed">
        <color indexed="64"/>
      </right>
      <top/>
      <bottom/>
      <diagonal/>
    </border>
    <border>
      <left style="mediumDashed">
        <color indexed="64"/>
      </left>
      <right/>
      <top/>
      <bottom/>
      <diagonal/>
    </border>
    <border>
      <left/>
      <right style="mediumDashed">
        <color indexed="64"/>
      </right>
      <top style="mediumDashed">
        <color indexed="64"/>
      </top>
      <bottom/>
      <diagonal/>
    </border>
    <border>
      <left/>
      <right/>
      <top style="mediumDashed">
        <color indexed="64"/>
      </top>
      <bottom/>
      <diagonal/>
    </border>
    <border>
      <left style="mediumDashed">
        <color indexed="64"/>
      </left>
      <right/>
      <top style="mediumDashed">
        <color indexed="64"/>
      </top>
      <bottom/>
      <diagonal/>
    </border>
    <border>
      <left style="thin">
        <color indexed="64"/>
      </left>
      <right/>
      <top style="hair">
        <color indexed="64"/>
      </top>
      <bottom style="thin">
        <color indexed="64"/>
      </bottom>
      <diagonal/>
    </border>
    <border>
      <left style="double">
        <color indexed="64"/>
      </left>
      <right style="double">
        <color indexed="64"/>
      </right>
      <top/>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style="double">
        <color indexed="64"/>
      </right>
      <top style="double">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ck">
        <color indexed="64"/>
      </bottom>
      <diagonal/>
    </border>
    <border>
      <left/>
      <right/>
      <top style="dashed">
        <color indexed="64"/>
      </top>
      <bottom style="thick">
        <color indexed="64"/>
      </bottom>
      <diagonal/>
    </border>
    <border>
      <left/>
      <right style="thin">
        <color indexed="64"/>
      </right>
      <top style="dashed">
        <color indexed="64"/>
      </top>
      <bottom style="thick">
        <color indexed="64"/>
      </bottom>
      <diagonal/>
    </border>
    <border>
      <left style="thin">
        <color indexed="64"/>
      </left>
      <right/>
      <top style="dotted">
        <color indexed="64"/>
      </top>
      <bottom/>
      <diagonal/>
    </border>
    <border>
      <left style="thin">
        <color indexed="64"/>
      </left>
      <right style="thick">
        <color indexed="64"/>
      </right>
      <top/>
      <bottom style="thick">
        <color indexed="64"/>
      </bottom>
      <diagonal/>
    </border>
    <border>
      <left/>
      <right style="thick">
        <color indexed="64"/>
      </right>
      <top style="dashed">
        <color indexed="64"/>
      </top>
      <bottom/>
      <diagonal/>
    </border>
    <border>
      <left/>
      <right style="thick">
        <color indexed="64"/>
      </right>
      <top/>
      <bottom style="dashed">
        <color indexed="64"/>
      </bottom>
      <diagonal/>
    </border>
    <border>
      <left/>
      <right style="thick">
        <color indexed="64"/>
      </right>
      <top style="dashed">
        <color indexed="64"/>
      </top>
      <bottom style="dotted">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dotted">
        <color indexed="64"/>
      </top>
      <bottom style="double">
        <color indexed="64"/>
      </bottom>
      <diagonal/>
    </border>
  </borders>
  <cellStyleXfs count="16">
    <xf numFmtId="0" fontId="0" fillId="0" borderId="0">
      <alignment vertical="center"/>
    </xf>
    <xf numFmtId="38" fontId="3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6" fontId="3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4"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73" fillId="0" borderId="0" applyNumberFormat="0" applyFill="0" applyBorder="0" applyAlignment="0" applyProtection="0">
      <alignment vertical="center"/>
    </xf>
    <xf numFmtId="6" fontId="3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2894">
    <xf numFmtId="0" fontId="0" fillId="0" borderId="0" xfId="0">
      <alignment vertical="center"/>
    </xf>
    <xf numFmtId="0" fontId="0" fillId="0" borderId="0" xfId="0">
      <alignment vertical="center"/>
    </xf>
    <xf numFmtId="0" fontId="0" fillId="0" borderId="0" xfId="0" applyFont="1" applyBorder="1">
      <alignment vertical="center"/>
    </xf>
    <xf numFmtId="0" fontId="0" fillId="0" borderId="0" xfId="0" applyFont="1">
      <alignment vertical="center"/>
    </xf>
    <xf numFmtId="0" fontId="36" fillId="0" borderId="0" xfId="0" applyFont="1" applyBorder="1" applyAlignment="1">
      <alignment vertical="center" wrapText="1"/>
    </xf>
    <xf numFmtId="0" fontId="4" fillId="0" borderId="0" xfId="7" applyFont="1">
      <alignment vertical="center"/>
    </xf>
    <xf numFmtId="0" fontId="4" fillId="0" borderId="0" xfId="7" applyFont="1" applyBorder="1" applyAlignment="1">
      <alignment vertical="top" textRotation="255"/>
    </xf>
    <xf numFmtId="0" fontId="4" fillId="0" borderId="0" xfId="7" applyFont="1" applyBorder="1" applyAlignment="1">
      <alignment vertical="center"/>
    </xf>
    <xf numFmtId="0" fontId="42" fillId="0" borderId="0" xfId="0" applyFont="1">
      <alignment vertical="center"/>
    </xf>
    <xf numFmtId="0" fontId="0" fillId="0" borderId="0" xfId="0" applyFont="1" applyFill="1">
      <alignment vertical="center"/>
    </xf>
    <xf numFmtId="0" fontId="18" fillId="0" borderId="0" xfId="0" applyFont="1" applyFill="1" applyBorder="1" applyAlignment="1" applyProtection="1">
      <alignment vertical="center"/>
    </xf>
    <xf numFmtId="0" fontId="0" fillId="0" borderId="0" xfId="0" applyFont="1" applyBorder="1" applyAlignment="1">
      <alignment vertical="center"/>
    </xf>
    <xf numFmtId="0" fontId="0" fillId="0" borderId="0" xfId="0" applyFont="1" applyProtection="1">
      <alignment vertical="center"/>
    </xf>
    <xf numFmtId="0" fontId="41" fillId="0" borderId="0" xfId="0" applyFont="1" applyFill="1" applyAlignment="1">
      <alignment vertical="top" wrapText="1"/>
    </xf>
    <xf numFmtId="0" fontId="45" fillId="0" borderId="0" xfId="0" applyFont="1" applyFill="1" applyAlignment="1">
      <alignment vertical="center"/>
    </xf>
    <xf numFmtId="0" fontId="18" fillId="0" borderId="0" xfId="0" applyFont="1" applyFill="1" applyAlignment="1" applyProtection="1">
      <alignment horizontal="center" vertical="center"/>
    </xf>
    <xf numFmtId="0" fontId="18" fillId="0" borderId="0" xfId="0" applyFont="1" applyFill="1" applyAlignment="1" applyProtection="1">
      <alignment horizontal="left" vertical="center"/>
    </xf>
    <xf numFmtId="0" fontId="19" fillId="0" borderId="0" xfId="0" applyFont="1" applyFill="1" applyAlignment="1" applyProtection="1"/>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xf>
    <xf numFmtId="0" fontId="39" fillId="0" borderId="0" xfId="0" applyFont="1" applyFill="1" applyAlignment="1" applyProtection="1"/>
    <xf numFmtId="0" fontId="38" fillId="0" borderId="0" xfId="0" applyFont="1" applyFill="1" applyAlignment="1" applyProtection="1"/>
    <xf numFmtId="0" fontId="38" fillId="0" borderId="0" xfId="0" applyFont="1" applyFill="1" applyBorder="1" applyAlignment="1" applyProtection="1"/>
    <xf numFmtId="0" fontId="18" fillId="0" borderId="0" xfId="0" applyFont="1" applyFill="1" applyBorder="1" applyAlignment="1" applyProtection="1">
      <alignment horizontal="left" vertical="center" wrapText="1"/>
    </xf>
    <xf numFmtId="0" fontId="38" fillId="0" borderId="13" xfId="0" applyFont="1" applyFill="1" applyBorder="1" applyAlignment="1" applyProtection="1"/>
    <xf numFmtId="0" fontId="22" fillId="0" borderId="0" xfId="0" applyFont="1" applyFill="1" applyBorder="1" applyAlignment="1" applyProtection="1">
      <alignment vertical="center"/>
    </xf>
    <xf numFmtId="49" fontId="49" fillId="0" borderId="0" xfId="0" applyNumberFormat="1" applyFont="1" applyBorder="1" applyAlignment="1">
      <alignment horizontal="center" vertical="center"/>
    </xf>
    <xf numFmtId="0" fontId="35" fillId="0" borderId="0" xfId="0" applyFont="1" applyBorder="1">
      <alignment vertical="center"/>
    </xf>
    <xf numFmtId="49" fontId="35" fillId="0" borderId="0" xfId="0" applyNumberFormat="1" applyFont="1">
      <alignment vertical="center"/>
    </xf>
    <xf numFmtId="0" fontId="35" fillId="0" borderId="0" xfId="0" applyFont="1">
      <alignment vertical="center"/>
    </xf>
    <xf numFmtId="0" fontId="37" fillId="0" borderId="0" xfId="0" applyFont="1">
      <alignment vertical="center"/>
    </xf>
    <xf numFmtId="49" fontId="35" fillId="0" borderId="0" xfId="0" applyNumberFormat="1" applyFont="1" applyAlignment="1">
      <alignment vertical="center"/>
    </xf>
    <xf numFmtId="0" fontId="35" fillId="0" borderId="0" xfId="0" applyFont="1" applyAlignment="1">
      <alignment vertical="center"/>
    </xf>
    <xf numFmtId="0" fontId="2" fillId="0" borderId="0" xfId="0" applyFont="1" applyAlignment="1">
      <alignment vertical="center"/>
    </xf>
    <xf numFmtId="0" fontId="2" fillId="0" borderId="0" xfId="0" applyFont="1">
      <alignment vertical="center"/>
    </xf>
    <xf numFmtId="0" fontId="4" fillId="0" borderId="0" xfId="7" applyFont="1" applyBorder="1">
      <alignment vertical="center"/>
    </xf>
    <xf numFmtId="0" fontId="2" fillId="0" borderId="0" xfId="0" applyFont="1" applyBorder="1">
      <alignment vertical="center"/>
    </xf>
    <xf numFmtId="0" fontId="27" fillId="0" borderId="0" xfId="0" applyFont="1">
      <alignment vertical="center"/>
    </xf>
    <xf numFmtId="49" fontId="35" fillId="0" borderId="0" xfId="0" applyNumberFormat="1" applyFont="1" applyBorder="1">
      <alignment vertical="center"/>
    </xf>
    <xf numFmtId="0" fontId="37" fillId="0" borderId="0" xfId="0" applyFont="1" applyBorder="1">
      <alignment vertical="center"/>
    </xf>
    <xf numFmtId="0" fontId="0" fillId="0" borderId="0" xfId="0" applyFont="1" applyAlignment="1">
      <alignment vertical="center"/>
    </xf>
    <xf numFmtId="0" fontId="0" fillId="0" borderId="0" xfId="0">
      <alignment vertical="center"/>
    </xf>
    <xf numFmtId="0" fontId="0" fillId="0" borderId="0" xfId="0" applyFont="1">
      <alignment vertical="center"/>
    </xf>
    <xf numFmtId="0" fontId="0" fillId="0" borderId="0" xfId="0">
      <alignment vertical="center"/>
    </xf>
    <xf numFmtId="0" fontId="0" fillId="0" borderId="0" xfId="0" applyBorder="1">
      <alignment vertical="center"/>
    </xf>
    <xf numFmtId="0" fontId="43" fillId="0" borderId="0" xfId="0" applyFont="1" applyBorder="1">
      <alignment vertical="center"/>
    </xf>
    <xf numFmtId="0" fontId="0" fillId="0" borderId="0" xfId="0">
      <alignment vertical="center"/>
    </xf>
    <xf numFmtId="0" fontId="51" fillId="0" borderId="0" xfId="0" applyFont="1" applyProtection="1">
      <alignment vertical="center"/>
      <protection hidden="1"/>
    </xf>
    <xf numFmtId="0" fontId="52" fillId="0" borderId="0" xfId="0" applyFont="1" applyFill="1" applyProtection="1">
      <alignment vertical="center"/>
      <protection hidden="1"/>
    </xf>
    <xf numFmtId="38" fontId="53" fillId="0" borderId="0" xfId="3" applyFont="1" applyFill="1" applyBorder="1" applyAlignment="1" applyProtection="1">
      <alignment horizontal="left" shrinkToFit="1"/>
      <protection hidden="1"/>
    </xf>
    <xf numFmtId="0" fontId="0" fillId="0" borderId="0" xfId="0" applyFont="1">
      <alignment vertical="center"/>
    </xf>
    <xf numFmtId="0" fontId="55" fillId="0" borderId="0" xfId="0" applyFont="1" applyBorder="1" applyAlignment="1" applyProtection="1">
      <alignment vertical="center"/>
      <protection hidden="1"/>
    </xf>
    <xf numFmtId="0" fontId="9" fillId="0" borderId="0" xfId="0" applyFont="1" applyBorder="1" applyAlignment="1" applyProtection="1">
      <alignment vertical="center"/>
    </xf>
    <xf numFmtId="0" fontId="16" fillId="0" borderId="0" xfId="0" applyFont="1" applyProtection="1">
      <alignment vertical="center"/>
    </xf>
    <xf numFmtId="0" fontId="0" fillId="0" borderId="0" xfId="0" applyFont="1" applyFill="1" applyProtection="1">
      <alignment vertical="center"/>
    </xf>
    <xf numFmtId="0" fontId="17" fillId="0" borderId="0" xfId="0" applyFont="1" applyFill="1" applyAlignment="1" applyProtection="1">
      <alignment vertical="center"/>
    </xf>
    <xf numFmtId="0" fontId="0" fillId="0" borderId="0" xfId="0" applyFill="1" applyAlignment="1" applyProtection="1">
      <alignment vertical="center" shrinkToFit="1"/>
    </xf>
    <xf numFmtId="38" fontId="19" fillId="0" borderId="0" xfId="3" applyFont="1" applyFill="1" applyBorder="1" applyAlignment="1" applyProtection="1">
      <alignment horizontal="left" shrinkToFit="1"/>
    </xf>
    <xf numFmtId="0" fontId="6" fillId="0" borderId="0" xfId="0" applyFont="1" applyFill="1" applyProtection="1">
      <alignment vertical="center"/>
    </xf>
    <xf numFmtId="0" fontId="47" fillId="0" borderId="0" xfId="0" applyFont="1" applyBorder="1" applyAlignment="1">
      <alignment horizontal="center" vertical="center"/>
    </xf>
    <xf numFmtId="0" fontId="0" fillId="0" borderId="0" xfId="0" applyFont="1">
      <alignment vertical="center"/>
    </xf>
    <xf numFmtId="0" fontId="0" fillId="0" borderId="0" xfId="0">
      <alignment vertical="center"/>
    </xf>
    <xf numFmtId="0" fontId="56" fillId="0" borderId="0" xfId="0" applyFont="1" applyBorder="1" applyAlignment="1">
      <alignment vertical="center"/>
    </xf>
    <xf numFmtId="0" fontId="52" fillId="0" borderId="0" xfId="0" applyFont="1">
      <alignment vertical="center"/>
    </xf>
    <xf numFmtId="0" fontId="52" fillId="0" borderId="0" xfId="0" applyFont="1" applyBorder="1" applyAlignment="1">
      <alignment vertical="center"/>
    </xf>
    <xf numFmtId="0" fontId="57" fillId="0" borderId="0" xfId="0" applyFont="1" applyBorder="1" applyAlignment="1">
      <alignment horizontal="center" vertical="center"/>
    </xf>
    <xf numFmtId="0" fontId="52" fillId="0" borderId="0" xfId="0" applyFont="1" applyBorder="1" applyAlignment="1">
      <alignment horizontal="center" vertical="center"/>
    </xf>
    <xf numFmtId="0" fontId="58" fillId="0" borderId="0" xfId="0" applyFont="1" applyBorder="1" applyAlignment="1">
      <alignment horizontal="center" vertical="center" shrinkToFit="1"/>
    </xf>
    <xf numFmtId="0" fontId="58" fillId="0" borderId="0" xfId="0" applyFont="1" applyBorder="1" applyAlignment="1">
      <alignment horizontal="center" vertical="center"/>
    </xf>
    <xf numFmtId="0" fontId="52" fillId="0" borderId="0" xfId="0" applyFont="1" applyBorder="1">
      <alignment vertical="center"/>
    </xf>
    <xf numFmtId="181" fontId="52" fillId="0" borderId="0" xfId="0" applyNumberFormat="1" applyFont="1" applyBorder="1">
      <alignment vertical="center"/>
    </xf>
    <xf numFmtId="182" fontId="52" fillId="0" borderId="0" xfId="0" applyNumberFormat="1" applyFont="1" applyBorder="1">
      <alignment vertical="center"/>
    </xf>
    <xf numFmtId="0" fontId="59" fillId="0" borderId="0" xfId="0" applyFont="1" applyBorder="1" applyAlignment="1" applyProtection="1">
      <alignment vertical="center"/>
      <protection locked="0" hidden="1"/>
    </xf>
    <xf numFmtId="0" fontId="59" fillId="0" borderId="0" xfId="0" applyFont="1" applyProtection="1">
      <alignment vertical="center"/>
      <protection locked="0" hidden="1"/>
    </xf>
    <xf numFmtId="0" fontId="0" fillId="0" borderId="0" xfId="0" applyProtection="1">
      <alignment vertical="center"/>
    </xf>
    <xf numFmtId="0" fontId="23" fillId="0" borderId="0" xfId="0" applyFont="1" applyFill="1" applyAlignment="1" applyProtection="1"/>
    <xf numFmtId="0" fontId="25" fillId="0" borderId="0" xfId="0" applyFont="1" applyFill="1" applyAlignment="1" applyProtection="1">
      <alignment vertical="center"/>
    </xf>
    <xf numFmtId="0" fontId="18" fillId="0" borderId="0" xfId="0" applyFont="1" applyFill="1" applyAlignment="1" applyProtection="1">
      <alignment vertical="center"/>
    </xf>
    <xf numFmtId="38" fontId="38" fillId="0" borderId="0" xfId="0" applyNumberFormat="1" applyFont="1" applyFill="1" applyBorder="1" applyAlignment="1" applyProtection="1"/>
    <xf numFmtId="0" fontId="0" fillId="0" borderId="0" xfId="0" applyFont="1" applyProtection="1">
      <alignment vertical="center"/>
      <protection hidden="1"/>
    </xf>
    <xf numFmtId="0" fontId="40" fillId="0" borderId="0" xfId="0" applyFont="1">
      <alignment vertical="center"/>
    </xf>
    <xf numFmtId="0" fontId="42" fillId="0" borderId="2" xfId="0" applyFont="1" applyBorder="1">
      <alignment vertical="center"/>
    </xf>
    <xf numFmtId="0" fontId="0" fillId="0" borderId="0" xfId="0" applyProtection="1">
      <alignment vertical="center"/>
    </xf>
    <xf numFmtId="0" fontId="40" fillId="0" borderId="0" xfId="0" applyFont="1" applyProtection="1">
      <alignment vertical="center"/>
    </xf>
    <xf numFmtId="0" fontId="40" fillId="0" borderId="0" xfId="0" applyFont="1" applyBorder="1" applyProtection="1">
      <alignment vertical="center"/>
    </xf>
    <xf numFmtId="0" fontId="24" fillId="0" borderId="12" xfId="0" applyFont="1" applyFill="1" applyBorder="1" applyAlignment="1" applyProtection="1">
      <alignment vertical="center" wrapText="1"/>
    </xf>
    <xf numFmtId="38" fontId="62" fillId="0" borderId="0" xfId="3" applyFont="1" applyFill="1" applyBorder="1" applyAlignment="1" applyProtection="1">
      <alignment horizontal="center"/>
    </xf>
    <xf numFmtId="0" fontId="62" fillId="0" borderId="0" xfId="0" applyFont="1" applyFill="1" applyBorder="1" applyAlignment="1" applyProtection="1"/>
    <xf numFmtId="6" fontId="63" fillId="0" borderId="0" xfId="6" applyFont="1" applyFill="1" applyBorder="1" applyAlignment="1" applyProtection="1">
      <alignment vertical="top" wrapText="1"/>
    </xf>
    <xf numFmtId="0" fontId="63" fillId="0" borderId="0" xfId="0" applyFont="1" applyFill="1" applyBorder="1" applyAlignment="1" applyProtection="1">
      <alignment vertical="center" wrapText="1"/>
    </xf>
    <xf numFmtId="38" fontId="62" fillId="0" borderId="0" xfId="0" applyNumberFormat="1" applyFont="1" applyFill="1" applyBorder="1" applyAlignment="1" applyProtection="1"/>
    <xf numFmtId="0" fontId="64" fillId="0" borderId="0" xfId="0" applyFont="1" applyFill="1" applyBorder="1" applyAlignment="1" applyProtection="1">
      <alignment vertical="center"/>
    </xf>
    <xf numFmtId="0" fontId="65" fillId="0" borderId="0" xfId="0" applyFont="1" applyFill="1" applyBorder="1" applyAlignment="1" applyProtection="1"/>
    <xf numFmtId="178" fontId="62" fillId="0" borderId="0" xfId="0" applyNumberFormat="1" applyFont="1" applyFill="1" applyBorder="1" applyAlignment="1" applyProtection="1">
      <alignment horizontal="center" vertical="center" shrinkToFit="1"/>
    </xf>
    <xf numFmtId="178" fontId="65" fillId="0" borderId="0" xfId="3" applyNumberFormat="1" applyFont="1" applyFill="1" applyBorder="1" applyAlignment="1" applyProtection="1">
      <alignment horizontal="center" vertical="center" shrinkToFit="1"/>
    </xf>
    <xf numFmtId="0" fontId="63" fillId="0" borderId="0" xfId="0" applyFont="1" applyFill="1" applyBorder="1" applyAlignment="1" applyProtection="1">
      <alignment horizontal="center" vertical="center"/>
    </xf>
    <xf numFmtId="178" fontId="63" fillId="0" borderId="0" xfId="0" applyNumberFormat="1" applyFont="1" applyFill="1" applyBorder="1" applyAlignment="1" applyProtection="1">
      <alignment horizontal="right" vertical="center"/>
    </xf>
    <xf numFmtId="0" fontId="63" fillId="0" borderId="0" xfId="0" applyFont="1" applyFill="1" applyBorder="1" applyAlignment="1" applyProtection="1">
      <alignment horizontal="right" vertical="center"/>
    </xf>
    <xf numFmtId="178" fontId="63" fillId="0" borderId="0" xfId="0" applyNumberFormat="1" applyFont="1" applyFill="1" applyBorder="1" applyAlignment="1" applyProtection="1">
      <alignment horizontal="center" vertical="center"/>
    </xf>
    <xf numFmtId="38" fontId="63" fillId="0" borderId="0" xfId="3" applyFont="1" applyFill="1" applyBorder="1" applyAlignment="1" applyProtection="1">
      <alignment horizontal="center" vertical="center"/>
    </xf>
    <xf numFmtId="178" fontId="65" fillId="0" borderId="0" xfId="0" applyNumberFormat="1" applyFont="1" applyFill="1" applyBorder="1" applyAlignment="1" applyProtection="1">
      <alignment vertical="center" shrinkToFit="1"/>
    </xf>
    <xf numFmtId="178" fontId="65" fillId="0" borderId="0" xfId="0" applyNumberFormat="1" applyFont="1" applyFill="1" applyBorder="1" applyAlignment="1" applyProtection="1">
      <alignment horizontal="center" vertical="center" shrinkToFit="1"/>
    </xf>
    <xf numFmtId="178" fontId="65" fillId="0" borderId="0" xfId="3" applyNumberFormat="1" applyFont="1" applyFill="1" applyBorder="1" applyAlignment="1" applyProtection="1">
      <alignment vertical="center" shrinkToFit="1"/>
    </xf>
    <xf numFmtId="176" fontId="60" fillId="0" borderId="0" xfId="0" applyNumberFormat="1" applyFont="1" applyFill="1" applyBorder="1" applyAlignment="1" applyProtection="1">
      <alignment horizontal="center" vertical="center" shrinkToFit="1"/>
    </xf>
    <xf numFmtId="176" fontId="60" fillId="0" borderId="0" xfId="3" applyNumberFormat="1" applyFont="1" applyFill="1" applyBorder="1" applyAlignment="1" applyProtection="1">
      <alignment horizontal="right" vertical="center" shrinkToFit="1"/>
    </xf>
    <xf numFmtId="0" fontId="66" fillId="0" borderId="0" xfId="0" applyFont="1" applyFill="1" applyBorder="1" applyAlignment="1" applyProtection="1">
      <alignment vertical="center" wrapText="1"/>
    </xf>
    <xf numFmtId="0" fontId="66" fillId="0" borderId="0" xfId="0" applyFont="1" applyFill="1" applyBorder="1" applyAlignment="1" applyProtection="1">
      <alignment vertical="center"/>
    </xf>
    <xf numFmtId="0" fontId="50" fillId="0" borderId="0" xfId="0" applyFont="1" applyFill="1" applyBorder="1" applyAlignment="1" applyProtection="1">
      <alignment horizontal="center" vertical="center"/>
    </xf>
    <xf numFmtId="0" fontId="33" fillId="0" borderId="0" xfId="0" applyFont="1" applyFill="1" applyBorder="1" applyAlignment="1" applyProtection="1">
      <alignment horizontal="right" vertical="center"/>
      <protection locked="0"/>
    </xf>
    <xf numFmtId="38" fontId="33" fillId="0" borderId="0" xfId="3" applyFont="1" applyFill="1" applyBorder="1" applyAlignment="1" applyProtection="1">
      <alignment horizontal="right" vertical="center"/>
      <protection locked="0"/>
    </xf>
    <xf numFmtId="0" fontId="33" fillId="0" borderId="0" xfId="0" applyFont="1" applyFill="1" applyBorder="1" applyAlignment="1" applyProtection="1">
      <alignment horizontal="center" vertical="center"/>
    </xf>
    <xf numFmtId="179" fontId="65" fillId="0" borderId="0" xfId="3" applyNumberFormat="1" applyFont="1" applyFill="1" applyBorder="1" applyAlignment="1" applyProtection="1">
      <alignment horizontal="right" vertical="center" shrinkToFit="1"/>
    </xf>
    <xf numFmtId="0" fontId="60" fillId="0" borderId="0" xfId="0" applyFont="1" applyFill="1" applyBorder="1" applyAlignment="1" applyProtection="1">
      <alignment horizontal="center" vertical="center"/>
    </xf>
    <xf numFmtId="180" fontId="60" fillId="0" borderId="0" xfId="0" applyNumberFormat="1" applyFont="1" applyFill="1" applyBorder="1" applyAlignment="1" applyProtection="1">
      <alignment horizontal="center" vertical="center" shrinkToFit="1"/>
    </xf>
    <xf numFmtId="180" fontId="65" fillId="0" borderId="0" xfId="3" applyNumberFormat="1" applyFont="1" applyFill="1" applyBorder="1" applyAlignment="1" applyProtection="1">
      <alignment horizontal="right" vertical="center" shrinkToFit="1"/>
    </xf>
    <xf numFmtId="180" fontId="60" fillId="0" borderId="0" xfId="3" applyNumberFormat="1" applyFont="1" applyFill="1" applyBorder="1" applyAlignment="1" applyProtection="1">
      <alignment vertical="center" shrinkToFit="1"/>
    </xf>
    <xf numFmtId="49" fontId="65" fillId="0" borderId="0" xfId="3" applyNumberFormat="1" applyFont="1" applyFill="1" applyBorder="1" applyAlignment="1" applyProtection="1">
      <alignment horizontal="center" vertical="center" shrinkToFit="1"/>
    </xf>
    <xf numFmtId="38" fontId="65" fillId="0" borderId="0" xfId="3" applyFont="1" applyFill="1" applyBorder="1" applyAlignment="1" applyProtection="1">
      <alignment horizontal="right" vertical="center" shrinkToFit="1"/>
    </xf>
    <xf numFmtId="180" fontId="65" fillId="0" borderId="0" xfId="3" applyNumberFormat="1" applyFont="1" applyFill="1" applyBorder="1" applyAlignment="1" applyProtection="1">
      <alignment vertical="center" shrinkToFit="1"/>
    </xf>
    <xf numFmtId="176" fontId="60" fillId="0" borderId="0" xfId="0" applyNumberFormat="1" applyFont="1" applyFill="1" applyBorder="1" applyAlignment="1" applyProtection="1">
      <alignment vertical="center" shrinkToFit="1"/>
    </xf>
    <xf numFmtId="182" fontId="60" fillId="0" borderId="0" xfId="3" applyNumberFormat="1" applyFont="1" applyFill="1" applyBorder="1" applyAlignment="1" applyProtection="1">
      <alignment vertical="center" shrinkToFit="1"/>
    </xf>
    <xf numFmtId="180" fontId="65" fillId="0" borderId="0" xfId="3" applyNumberFormat="1" applyFont="1" applyFill="1" applyBorder="1" applyAlignment="1" applyProtection="1">
      <alignment horizontal="center" vertical="center" shrinkToFit="1"/>
    </xf>
    <xf numFmtId="176" fontId="60" fillId="0" borderId="0" xfId="3" applyNumberFormat="1" applyFont="1" applyFill="1" applyBorder="1" applyAlignment="1" applyProtection="1">
      <alignment vertical="center" shrinkToFit="1"/>
    </xf>
    <xf numFmtId="0" fontId="60" fillId="0" borderId="0" xfId="0" applyFont="1" applyFill="1" applyBorder="1" applyAlignment="1" applyProtection="1">
      <alignment horizontal="center" vertical="center" shrinkToFit="1"/>
    </xf>
    <xf numFmtId="0" fontId="67" fillId="0" borderId="0" xfId="0" applyFont="1" applyFill="1" applyBorder="1" applyAlignment="1" applyProtection="1">
      <alignment vertical="top" shrinkToFit="1"/>
    </xf>
    <xf numFmtId="177" fontId="67" fillId="0" borderId="0" xfId="0" applyNumberFormat="1" applyFont="1" applyFill="1" applyBorder="1" applyAlignment="1" applyProtection="1">
      <alignment vertical="top" shrinkToFit="1"/>
    </xf>
    <xf numFmtId="0" fontId="64" fillId="0" borderId="0" xfId="0" applyFont="1" applyFill="1" applyBorder="1" applyAlignment="1" applyProtection="1">
      <alignment vertical="center" wrapText="1"/>
    </xf>
    <xf numFmtId="0" fontId="63" fillId="0" borderId="0" xfId="0" applyFont="1" applyFill="1" applyBorder="1" applyAlignment="1" applyProtection="1">
      <alignment vertical="center"/>
    </xf>
    <xf numFmtId="178" fontId="60" fillId="0" borderId="0" xfId="0" applyNumberFormat="1" applyFont="1" applyFill="1" applyBorder="1" applyAlignment="1" applyProtection="1">
      <alignment vertical="center" shrinkToFit="1"/>
    </xf>
    <xf numFmtId="0" fontId="63" fillId="0" borderId="0" xfId="0" applyFont="1" applyFill="1" applyBorder="1" applyAlignment="1" applyProtection="1">
      <alignment vertical="center" shrinkToFit="1"/>
    </xf>
    <xf numFmtId="178" fontId="68" fillId="0" borderId="0" xfId="0" applyNumberFormat="1" applyFont="1" applyFill="1" applyBorder="1" applyAlignment="1" applyProtection="1">
      <alignment vertical="center" textRotation="255"/>
    </xf>
    <xf numFmtId="178" fontId="33" fillId="0" borderId="0" xfId="0" applyNumberFormat="1" applyFont="1" applyFill="1" applyBorder="1" applyAlignment="1" applyProtection="1">
      <alignment vertical="center" shrinkToFit="1"/>
    </xf>
    <xf numFmtId="0" fontId="62" fillId="0" borderId="0" xfId="0" applyFont="1" applyFill="1" applyBorder="1" applyAlignment="1" applyProtection="1">
      <alignment vertical="center" wrapText="1"/>
    </xf>
    <xf numFmtId="178" fontId="50" fillId="0" borderId="0" xfId="0" applyNumberFormat="1" applyFont="1" applyFill="1" applyBorder="1" applyAlignment="1" applyProtection="1">
      <alignment vertical="center" shrinkToFit="1"/>
    </xf>
    <xf numFmtId="178" fontId="63" fillId="0" borderId="0" xfId="0" applyNumberFormat="1" applyFont="1" applyFill="1" applyBorder="1" applyAlignment="1" applyProtection="1">
      <alignment vertical="center"/>
    </xf>
    <xf numFmtId="0" fontId="33" fillId="0" borderId="0" xfId="0" applyFont="1" applyFill="1" applyBorder="1" applyAlignment="1" applyProtection="1">
      <alignment vertical="center"/>
    </xf>
    <xf numFmtId="178" fontId="65" fillId="0" borderId="0" xfId="0" applyNumberFormat="1" applyFont="1" applyFill="1" applyBorder="1" applyAlignment="1" applyProtection="1">
      <alignment vertical="center" textRotation="255" shrinkToFit="1"/>
    </xf>
    <xf numFmtId="0" fontId="69" fillId="0" borderId="0" xfId="0" applyFont="1" applyFill="1" applyBorder="1" applyAlignment="1" applyProtection="1">
      <alignment vertical="center" wrapText="1"/>
    </xf>
    <xf numFmtId="176" fontId="60" fillId="0" borderId="0" xfId="0" applyNumberFormat="1" applyFont="1" applyFill="1" applyBorder="1" applyAlignment="1" applyProtection="1">
      <alignment vertical="center" shrinkToFit="1"/>
      <protection locked="0"/>
    </xf>
    <xf numFmtId="0" fontId="50" fillId="0" borderId="0" xfId="0" applyFont="1" applyFill="1" applyBorder="1" applyAlignment="1" applyProtection="1">
      <alignment vertical="center"/>
    </xf>
    <xf numFmtId="0" fontId="50" fillId="0" borderId="0" xfId="0" applyFont="1" applyFill="1" applyBorder="1" applyAlignment="1" applyProtection="1">
      <alignment vertical="center" textRotation="255" wrapText="1" shrinkToFit="1"/>
    </xf>
    <xf numFmtId="0" fontId="50" fillId="0" borderId="0" xfId="0" applyFont="1" applyFill="1" applyBorder="1" applyAlignment="1" applyProtection="1">
      <alignment vertical="center" justifyLastLine="1"/>
    </xf>
    <xf numFmtId="0" fontId="63" fillId="0" borderId="0" xfId="0" applyFont="1" applyFill="1" applyBorder="1" applyAlignment="1" applyProtection="1">
      <alignment vertical="center" justifyLastLine="1"/>
      <protection locked="0"/>
    </xf>
    <xf numFmtId="6" fontId="64" fillId="0" borderId="0" xfId="6" applyFont="1" applyFill="1" applyBorder="1" applyAlignment="1" applyProtection="1">
      <alignment vertical="center" wrapText="1"/>
    </xf>
    <xf numFmtId="0" fontId="68" fillId="0" borderId="0" xfId="0" applyFont="1" applyFill="1" applyBorder="1" applyAlignment="1" applyProtection="1">
      <alignment vertical="center" textRotation="255"/>
    </xf>
    <xf numFmtId="0" fontId="33" fillId="0" borderId="0" xfId="0" applyFont="1" applyFill="1" applyBorder="1" applyAlignment="1" applyProtection="1">
      <alignment vertical="center" wrapText="1" shrinkToFit="1"/>
    </xf>
    <xf numFmtId="0" fontId="33" fillId="0" borderId="0" xfId="0" applyFont="1" applyFill="1" applyBorder="1" applyAlignment="1" applyProtection="1">
      <alignment vertical="center" shrinkToFit="1"/>
    </xf>
    <xf numFmtId="0" fontId="33" fillId="0" borderId="0" xfId="0" applyFont="1" applyFill="1" applyBorder="1" applyAlignment="1" applyProtection="1">
      <alignment vertical="center" wrapText="1"/>
    </xf>
    <xf numFmtId="38" fontId="65" fillId="0" borderId="0" xfId="3" applyFont="1" applyFill="1" applyBorder="1" applyAlignment="1" applyProtection="1"/>
    <xf numFmtId="38" fontId="33" fillId="0" borderId="0" xfId="3" applyFont="1" applyFill="1" applyBorder="1" applyAlignment="1" applyProtection="1"/>
    <xf numFmtId="0" fontId="50" fillId="0" borderId="0" xfId="0" applyFont="1" applyFill="1" applyBorder="1" applyAlignment="1" applyProtection="1">
      <alignment vertical="center" textRotation="255" shrinkToFit="1"/>
    </xf>
    <xf numFmtId="0" fontId="60" fillId="0" borderId="0" xfId="0" applyFont="1" applyFill="1" applyBorder="1" applyAlignment="1" applyProtection="1">
      <alignment vertical="center"/>
      <protection locked="0"/>
    </xf>
    <xf numFmtId="0" fontId="33" fillId="0" borderId="0" xfId="0" applyFont="1" applyFill="1" applyBorder="1" applyAlignment="1" applyProtection="1">
      <alignment vertical="center" shrinkToFit="1"/>
      <protection locked="0"/>
    </xf>
    <xf numFmtId="180" fontId="60" fillId="0" borderId="0" xfId="0" applyNumberFormat="1" applyFont="1" applyFill="1" applyBorder="1" applyAlignment="1" applyProtection="1">
      <alignment vertical="center" shrinkToFit="1"/>
      <protection locked="0"/>
    </xf>
    <xf numFmtId="178" fontId="50" fillId="0" borderId="0" xfId="0" applyNumberFormat="1" applyFont="1" applyFill="1" applyBorder="1" applyAlignment="1" applyProtection="1">
      <alignment vertical="center" shrinkToFit="1"/>
      <protection locked="0"/>
    </xf>
    <xf numFmtId="0" fontId="33" fillId="0" borderId="0" xfId="0" applyFont="1" applyFill="1" applyBorder="1" applyAlignment="1" applyProtection="1">
      <alignment vertical="center" wrapText="1" shrinkToFit="1"/>
      <protection locked="0"/>
    </xf>
    <xf numFmtId="0" fontId="65" fillId="0" borderId="0" xfId="0" applyFont="1" applyFill="1" applyBorder="1" applyAlignment="1" applyProtection="1">
      <alignment vertical="center" shrinkToFit="1"/>
    </xf>
    <xf numFmtId="180" fontId="60" fillId="0" borderId="0" xfId="0" applyNumberFormat="1" applyFont="1" applyFill="1" applyBorder="1" applyAlignment="1" applyProtection="1">
      <alignment vertical="center" shrinkToFit="1"/>
    </xf>
    <xf numFmtId="0" fontId="65" fillId="0" borderId="0" xfId="0" applyFont="1" applyFill="1" applyBorder="1" applyAlignment="1" applyProtection="1">
      <alignment vertical="center" textRotation="255"/>
    </xf>
    <xf numFmtId="0" fontId="33" fillId="0" borderId="0" xfId="0" applyFont="1" applyFill="1" applyBorder="1" applyAlignment="1" applyProtection="1">
      <alignment vertical="distributed" textRotation="255" justifyLastLine="1"/>
    </xf>
    <xf numFmtId="0" fontId="63" fillId="0" borderId="0" xfId="0" applyFont="1" applyFill="1" applyBorder="1" applyAlignment="1" applyProtection="1">
      <alignment vertical="center" textRotation="255" wrapText="1"/>
    </xf>
    <xf numFmtId="0" fontId="33" fillId="0" borderId="0" xfId="0" applyFont="1" applyFill="1" applyBorder="1" applyAlignment="1" applyProtection="1">
      <alignment vertical="center" justifyLastLine="1"/>
    </xf>
    <xf numFmtId="0" fontId="33" fillId="0" borderId="0" xfId="0" applyFont="1" applyFill="1" applyBorder="1" applyAlignment="1" applyProtection="1">
      <alignment vertical="center" wrapText="1" justifyLastLine="1"/>
    </xf>
    <xf numFmtId="0" fontId="60" fillId="0" borderId="0" xfId="0" applyFont="1" applyFill="1" applyBorder="1" applyAlignment="1" applyProtection="1">
      <alignment vertical="center" shrinkToFit="1"/>
    </xf>
    <xf numFmtId="0" fontId="22" fillId="0" borderId="0" xfId="0" applyFont="1" applyFill="1" applyAlignment="1" applyProtection="1">
      <alignment vertical="center"/>
    </xf>
    <xf numFmtId="0" fontId="38" fillId="0" borderId="94" xfId="0" applyFont="1" applyFill="1" applyBorder="1" applyAlignment="1" applyProtection="1"/>
    <xf numFmtId="0" fontId="0" fillId="0" borderId="0" xfId="0" applyAlignment="1">
      <alignment horizontal="center" vertical="center"/>
    </xf>
    <xf numFmtId="0" fontId="0" fillId="0" borderId="0" xfId="0" applyFont="1">
      <alignment vertical="center"/>
    </xf>
    <xf numFmtId="0" fontId="58" fillId="0" borderId="288" xfId="0" applyFont="1" applyBorder="1" applyAlignment="1">
      <alignment horizontal="center" vertical="center" shrinkToFit="1"/>
    </xf>
    <xf numFmtId="0" fontId="0" fillId="0" borderId="0" xfId="0" applyAlignment="1" applyProtection="1">
      <alignment vertical="center" shrinkToFit="1"/>
    </xf>
    <xf numFmtId="0" fontId="0" fillId="0" borderId="0" xfId="0" applyFont="1" applyAlignment="1" applyProtection="1">
      <alignment vertical="center" shrinkToFit="1"/>
    </xf>
    <xf numFmtId="0" fontId="0" fillId="0" borderId="0" xfId="0" applyFont="1" applyBorder="1" applyAlignment="1" applyProtection="1">
      <alignment vertical="center" shrinkToFit="1"/>
    </xf>
    <xf numFmtId="0" fontId="43" fillId="0" borderId="17" xfId="0" applyFont="1" applyBorder="1" applyAlignment="1" applyProtection="1">
      <alignment horizontal="right" vertical="center" shrinkToFit="1"/>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Protection="1">
      <alignment vertical="center"/>
    </xf>
    <xf numFmtId="0" fontId="35" fillId="0" borderId="0" xfId="0" applyFont="1" applyAlignment="1">
      <alignment vertical="center"/>
    </xf>
    <xf numFmtId="178" fontId="0" fillId="0" borderId="0" xfId="0" applyNumberFormat="1" applyFont="1" applyAlignment="1" applyProtection="1">
      <alignment vertical="center" shrinkToFit="1"/>
    </xf>
    <xf numFmtId="178" fontId="0" fillId="0" borderId="0" xfId="0" applyNumberFormat="1" applyFont="1" applyBorder="1" applyAlignment="1" applyProtection="1">
      <alignment vertical="center" shrinkToFit="1"/>
    </xf>
    <xf numFmtId="178" fontId="0" fillId="0" borderId="0" xfId="0" applyNumberFormat="1" applyBorder="1" applyAlignment="1" applyProtection="1">
      <alignment vertical="center" shrinkToFit="1"/>
    </xf>
    <xf numFmtId="0" fontId="34" fillId="0" borderId="68" xfId="0" applyFont="1" applyBorder="1" applyAlignment="1" applyProtection="1">
      <alignment horizontal="center" vertical="center"/>
    </xf>
    <xf numFmtId="0" fontId="0" fillId="0" borderId="0" xfId="0" applyFont="1" applyAlignment="1" applyProtection="1">
      <alignment horizontal="center" vertical="center"/>
    </xf>
    <xf numFmtId="178" fontId="0" fillId="0" borderId="0" xfId="0" applyNumberFormat="1" applyFont="1" applyProtection="1">
      <alignment vertical="center"/>
    </xf>
    <xf numFmtId="0" fontId="11" fillId="0" borderId="0" xfId="0" applyFont="1" applyBorder="1" applyAlignment="1" applyProtection="1">
      <alignment vertical="center"/>
    </xf>
    <xf numFmtId="0" fontId="0" fillId="0" borderId="68" xfId="0" applyFont="1" applyBorder="1" applyAlignment="1" applyProtection="1">
      <alignment vertical="center"/>
    </xf>
    <xf numFmtId="0" fontId="12" fillId="0" borderId="68" xfId="0" applyFont="1" applyBorder="1" applyAlignment="1" applyProtection="1">
      <alignment vertical="center"/>
    </xf>
    <xf numFmtId="0" fontId="0" fillId="0" borderId="68" xfId="0" applyBorder="1" applyAlignment="1" applyProtection="1">
      <alignment vertical="center"/>
    </xf>
    <xf numFmtId="0" fontId="0" fillId="0" borderId="0" xfId="0" applyFont="1" applyBorder="1" applyAlignment="1" applyProtection="1">
      <alignment horizontal="right" vertical="center"/>
    </xf>
    <xf numFmtId="0" fontId="12" fillId="0" borderId="0" xfId="0" applyFont="1" applyBorder="1" applyAlignment="1" applyProtection="1">
      <alignment horizontal="right" vertical="center"/>
    </xf>
    <xf numFmtId="0" fontId="12" fillId="0" borderId="0" xfId="0" applyFont="1" applyBorder="1" applyAlignment="1" applyProtection="1">
      <alignment vertical="center"/>
    </xf>
    <xf numFmtId="0" fontId="0" fillId="0" borderId="0" xfId="0" applyFont="1" applyBorder="1" applyProtection="1">
      <alignment vertical="center"/>
    </xf>
    <xf numFmtId="0" fontId="13" fillId="0" borderId="0" xfId="0" applyFont="1" applyBorder="1" applyAlignment="1" applyProtection="1">
      <alignment horizontal="center" vertical="center"/>
    </xf>
    <xf numFmtId="0" fontId="52" fillId="0" borderId="0" xfId="0" applyFont="1" applyBorder="1">
      <alignment vertical="center"/>
    </xf>
    <xf numFmtId="0" fontId="0" fillId="0" borderId="0" xfId="0" applyProtection="1">
      <alignment vertical="center"/>
    </xf>
    <xf numFmtId="0" fontId="48"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shrinkToFit="1"/>
    </xf>
    <xf numFmtId="0" fontId="40" fillId="0" borderId="0" xfId="0" applyFont="1" applyFill="1" applyBorder="1" applyAlignment="1" applyProtection="1">
      <alignment vertical="center" justifyLastLine="1"/>
    </xf>
    <xf numFmtId="0" fontId="0" fillId="0" borderId="0" xfId="0" applyFont="1" applyProtection="1">
      <alignment vertical="center"/>
      <protection locked="0"/>
    </xf>
    <xf numFmtId="0" fontId="52" fillId="0" borderId="0" xfId="0" applyFont="1" applyBorder="1" applyProtection="1">
      <alignment vertical="center"/>
      <protection locked="0"/>
    </xf>
    <xf numFmtId="49" fontId="74" fillId="4" borderId="0" xfId="0" applyNumberFormat="1" applyFont="1" applyFill="1" applyBorder="1" applyAlignment="1" applyProtection="1">
      <alignment horizontal="center" vertical="center"/>
      <protection locked="0"/>
    </xf>
    <xf numFmtId="49" fontId="74" fillId="4" borderId="0" xfId="0" applyNumberFormat="1" applyFont="1" applyFill="1" applyBorder="1" applyAlignment="1" applyProtection="1">
      <alignment vertical="center"/>
      <protection locked="0"/>
    </xf>
    <xf numFmtId="0" fontId="43" fillId="0" borderId="0" xfId="0" applyFont="1" applyBorder="1" applyAlignment="1" applyProtection="1">
      <alignment horizontal="center" vertical="center" shrinkToFit="1"/>
    </xf>
    <xf numFmtId="0" fontId="70" fillId="0" borderId="12" xfId="0" applyFont="1" applyFill="1" applyBorder="1" applyAlignment="1" applyProtection="1">
      <alignment vertical="center" wrapText="1"/>
      <protection locked="0"/>
    </xf>
    <xf numFmtId="0" fontId="62" fillId="0" borderId="0" xfId="0" applyFont="1" applyFill="1" applyBorder="1" applyAlignment="1" applyProtection="1">
      <protection locked="0"/>
    </xf>
    <xf numFmtId="0" fontId="7" fillId="0" borderId="0" xfId="0" applyNumberFormat="1" applyFont="1" applyFill="1" applyBorder="1" applyAlignment="1" applyProtection="1">
      <alignment vertical="center" shrinkToFit="1"/>
    </xf>
    <xf numFmtId="0" fontId="10" fillId="0" borderId="0" xfId="0" applyNumberFormat="1" applyFont="1" applyFill="1" applyBorder="1" applyAlignment="1" applyProtection="1">
      <alignment horizontal="center" vertical="center" shrinkToFit="1"/>
    </xf>
    <xf numFmtId="0"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right" vertical="center" shrinkToFit="1"/>
    </xf>
    <xf numFmtId="0" fontId="15" fillId="0" borderId="0" xfId="0" applyFont="1" applyBorder="1" applyAlignment="1" applyProtection="1">
      <alignment horizontal="center" vertical="center" shrinkToFit="1"/>
    </xf>
    <xf numFmtId="0" fontId="14" fillId="0" borderId="0"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0" xfId="0" applyFont="1" applyBorder="1" applyAlignment="1" applyProtection="1">
      <alignment horizontal="right" vertical="center" shrinkToFit="1"/>
    </xf>
    <xf numFmtId="0" fontId="0" fillId="0" borderId="0" xfId="0" applyBorder="1" applyAlignment="1" applyProtection="1">
      <alignment vertical="center" shrinkToFit="1"/>
    </xf>
    <xf numFmtId="0" fontId="7" fillId="0" borderId="0" xfId="0" applyFont="1" applyBorder="1" applyAlignment="1" applyProtection="1">
      <alignment vertical="center" shrinkToFit="1"/>
    </xf>
    <xf numFmtId="0" fontId="15" fillId="0" borderId="0" xfId="0" applyFont="1" applyBorder="1" applyAlignment="1" applyProtection="1">
      <alignment vertical="center" shrinkToFit="1"/>
    </xf>
    <xf numFmtId="0" fontId="0" fillId="0" borderId="0" xfId="0" applyFill="1" applyBorder="1" applyAlignment="1" applyProtection="1">
      <alignment vertical="center" shrinkToFit="1"/>
    </xf>
    <xf numFmtId="0" fontId="0" fillId="0" borderId="0" xfId="0" applyFont="1" applyFill="1" applyBorder="1" applyAlignment="1" applyProtection="1">
      <alignment vertical="center" shrinkToFit="1"/>
    </xf>
    <xf numFmtId="0" fontId="0" fillId="0" borderId="0" xfId="0" applyFont="1" applyBorder="1" applyAlignment="1" applyProtection="1">
      <alignment horizontal="center" vertical="center"/>
    </xf>
    <xf numFmtId="0" fontId="0" fillId="0" borderId="0" xfId="0" applyFont="1" applyBorder="1" applyProtection="1">
      <alignment vertical="center"/>
    </xf>
    <xf numFmtId="0" fontId="0" fillId="0" borderId="68" xfId="0" applyFont="1" applyBorder="1" applyAlignment="1" applyProtection="1">
      <alignment horizontal="left" vertical="center"/>
    </xf>
    <xf numFmtId="0" fontId="0" fillId="0" borderId="68" xfId="0" applyFont="1" applyBorder="1" applyAlignment="1" applyProtection="1">
      <alignment horizontal="center" vertical="center"/>
    </xf>
    <xf numFmtId="0" fontId="13" fillId="0" borderId="0" xfId="0" applyFont="1" applyBorder="1" applyAlignment="1" applyProtection="1">
      <alignment horizontal="center" vertical="center"/>
    </xf>
    <xf numFmtId="0" fontId="43" fillId="0" borderId="17" xfId="0" applyFont="1" applyBorder="1" applyAlignment="1" applyProtection="1">
      <alignment horizontal="center" vertical="center" shrinkToFit="1"/>
    </xf>
    <xf numFmtId="0" fontId="0" fillId="0" borderId="0" xfId="0" applyFont="1" applyAlignment="1" applyProtection="1">
      <alignment horizontal="center" vertical="center"/>
    </xf>
    <xf numFmtId="0" fontId="47"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0" fillId="0" borderId="0" xfId="0" applyBorder="1" applyProtection="1">
      <alignment vertical="center"/>
    </xf>
    <xf numFmtId="0" fontId="47" fillId="0" borderId="0" xfId="0" applyFont="1" applyFill="1" applyBorder="1" applyAlignment="1" applyProtection="1">
      <alignment vertical="center" shrinkToFit="1"/>
    </xf>
    <xf numFmtId="0" fontId="39" fillId="0" borderId="0" xfId="0" applyFont="1" applyFill="1" applyBorder="1" applyAlignment="1" applyProtection="1">
      <alignment vertical="center" justifyLastLine="1"/>
    </xf>
    <xf numFmtId="0" fontId="44" fillId="0" borderId="0" xfId="0" applyFont="1" applyBorder="1" applyAlignment="1" applyProtection="1">
      <alignment vertical="center"/>
    </xf>
    <xf numFmtId="0" fontId="39" fillId="0" borderId="0" xfId="0" applyFont="1" applyFill="1" applyBorder="1" applyAlignment="1" applyProtection="1">
      <alignment vertical="center" wrapText="1" justifyLastLine="1"/>
    </xf>
    <xf numFmtId="178" fontId="37" fillId="0" borderId="0" xfId="0" applyNumberFormat="1" applyFont="1" applyFill="1" applyBorder="1" applyAlignment="1" applyProtection="1">
      <alignment vertical="center" shrinkToFit="1"/>
    </xf>
    <xf numFmtId="0" fontId="46" fillId="0" borderId="0" xfId="0" applyFont="1" applyFill="1" applyBorder="1" applyAlignment="1" applyProtection="1">
      <alignment vertical="center" textRotation="255" wrapText="1"/>
    </xf>
    <xf numFmtId="0" fontId="13" fillId="0" borderId="0" xfId="0" applyFont="1" applyBorder="1" applyAlignment="1" applyProtection="1">
      <alignment horizontal="center" vertical="center"/>
    </xf>
    <xf numFmtId="0" fontId="80" fillId="0" borderId="68" xfId="0" applyFont="1" applyBorder="1" applyAlignment="1" applyProtection="1">
      <alignment horizontal="left" vertical="center"/>
    </xf>
    <xf numFmtId="0" fontId="80" fillId="0" borderId="68" xfId="0" applyFont="1" applyBorder="1" applyAlignment="1" applyProtection="1">
      <alignment horizontal="center" vertical="center"/>
    </xf>
    <xf numFmtId="0" fontId="83" fillId="0" borderId="0" xfId="0" applyFont="1" applyBorder="1" applyAlignment="1" applyProtection="1">
      <alignment horizontal="center" vertical="center"/>
    </xf>
    <xf numFmtId="0" fontId="80" fillId="0" borderId="68" xfId="0" applyFont="1" applyBorder="1" applyAlignment="1" applyProtection="1">
      <alignment horizontal="center" vertical="center"/>
    </xf>
    <xf numFmtId="0" fontId="80" fillId="0" borderId="0" xfId="0" applyFont="1" applyBorder="1" applyAlignment="1" applyProtection="1">
      <alignment vertical="center"/>
    </xf>
    <xf numFmtId="0" fontId="80" fillId="0" borderId="68" xfId="0" applyFont="1" applyBorder="1" applyAlignment="1" applyProtection="1">
      <alignment vertical="center"/>
    </xf>
    <xf numFmtId="0" fontId="86" fillId="0" borderId="68" xfId="0" applyFont="1" applyBorder="1" applyAlignment="1" applyProtection="1">
      <alignment horizontal="center" vertical="center"/>
      <protection locked="0"/>
    </xf>
    <xf numFmtId="0" fontId="33" fillId="0" borderId="0" xfId="0" applyFont="1" applyAlignment="1" applyProtection="1">
      <alignment horizontal="center" vertical="center"/>
    </xf>
    <xf numFmtId="0" fontId="86" fillId="0" borderId="68" xfId="0" applyFont="1" applyBorder="1" applyAlignment="1" applyProtection="1">
      <alignment horizontal="right" vertical="center"/>
      <protection locked="0"/>
    </xf>
    <xf numFmtId="0" fontId="86" fillId="0" borderId="68" xfId="0" applyFont="1" applyBorder="1" applyAlignment="1" applyProtection="1">
      <alignment vertical="center"/>
      <protection locked="0"/>
    </xf>
    <xf numFmtId="190" fontId="86" fillId="0" borderId="68" xfId="0" applyNumberFormat="1" applyFont="1" applyBorder="1" applyAlignment="1" applyProtection="1">
      <alignment horizontal="center" vertical="center"/>
      <protection locked="0"/>
    </xf>
    <xf numFmtId="0" fontId="80" fillId="0" borderId="17" xfId="0" applyFont="1" applyBorder="1" applyAlignment="1" applyProtection="1">
      <alignment horizontal="center" vertical="center" shrinkToFit="1"/>
    </xf>
    <xf numFmtId="0" fontId="89" fillId="4" borderId="60" xfId="0" applyNumberFormat="1" applyFont="1" applyFill="1" applyBorder="1" applyAlignment="1" applyProtection="1">
      <alignment horizontal="center" vertical="center" shrinkToFit="1"/>
    </xf>
    <xf numFmtId="0" fontId="91" fillId="0" borderId="0" xfId="0" applyFont="1" applyBorder="1" applyAlignment="1">
      <alignment vertical="center"/>
    </xf>
    <xf numFmtId="0" fontId="90" fillId="0" borderId="0" xfId="0" applyFont="1" applyBorder="1" applyAlignment="1">
      <alignment vertical="center"/>
    </xf>
    <xf numFmtId="0" fontId="95" fillId="0" borderId="0" xfId="0" applyFont="1" applyFill="1" applyBorder="1" applyAlignment="1" applyProtection="1">
      <alignment horizontal="center" vertical="center"/>
    </xf>
    <xf numFmtId="0" fontId="96" fillId="0" borderId="0" xfId="0" applyFont="1" applyAlignment="1" applyProtection="1">
      <alignment horizontal="center" vertical="center"/>
    </xf>
    <xf numFmtId="49" fontId="92" fillId="0" borderId="8" xfId="0" applyNumberFormat="1" applyFont="1" applyBorder="1" applyAlignment="1" applyProtection="1">
      <alignment vertical="center"/>
    </xf>
    <xf numFmtId="0" fontId="80" fillId="0" borderId="0" xfId="0" applyFont="1">
      <alignment vertical="center"/>
    </xf>
    <xf numFmtId="49" fontId="92" fillId="0" borderId="8" xfId="0" applyNumberFormat="1" applyFont="1" applyBorder="1" applyAlignment="1" applyProtection="1">
      <alignment horizontal="center" vertical="center"/>
    </xf>
    <xf numFmtId="49" fontId="95" fillId="0" borderId="8" xfId="0" applyNumberFormat="1" applyFont="1" applyBorder="1" applyAlignment="1" applyProtection="1">
      <alignment vertical="center"/>
    </xf>
    <xf numFmtId="49" fontId="97" fillId="4" borderId="8" xfId="0" applyNumberFormat="1" applyFont="1" applyFill="1" applyBorder="1" applyAlignment="1" applyProtection="1">
      <alignment horizontal="center" vertical="center"/>
    </xf>
    <xf numFmtId="49" fontId="97" fillId="4" borderId="8" xfId="0" applyNumberFormat="1" applyFont="1" applyFill="1" applyBorder="1" applyAlignment="1" applyProtection="1">
      <alignment vertical="center"/>
    </xf>
    <xf numFmtId="49" fontId="95" fillId="0" borderId="7" xfId="0" applyNumberFormat="1" applyFont="1" applyBorder="1" applyAlignment="1">
      <alignment horizontal="center" vertical="center"/>
    </xf>
    <xf numFmtId="49" fontId="99" fillId="0" borderId="6" xfId="0" applyNumberFormat="1" applyFont="1" applyBorder="1" applyAlignment="1">
      <alignment horizontal="center" vertical="center"/>
    </xf>
    <xf numFmtId="49" fontId="99" fillId="0" borderId="5" xfId="0" applyNumberFormat="1" applyFont="1" applyBorder="1" applyAlignment="1">
      <alignment horizontal="center" vertical="center"/>
    </xf>
    <xf numFmtId="0" fontId="100" fillId="0" borderId="4" xfId="0" applyFont="1" applyBorder="1" applyAlignment="1" applyProtection="1">
      <alignment horizontal="center" vertical="center"/>
    </xf>
    <xf numFmtId="0" fontId="100" fillId="0" borderId="3" xfId="0" applyFont="1" applyBorder="1" applyAlignment="1" applyProtection="1">
      <alignment horizontal="center" vertical="center"/>
    </xf>
    <xf numFmtId="0" fontId="101" fillId="0" borderId="0" xfId="0" applyFont="1" applyBorder="1" applyAlignment="1">
      <alignment horizontal="center" vertical="center"/>
    </xf>
    <xf numFmtId="0" fontId="101" fillId="0" borderId="0" xfId="0" applyFont="1" applyBorder="1">
      <alignment vertical="center"/>
    </xf>
    <xf numFmtId="0" fontId="92" fillId="0" borderId="0" xfId="0" applyFont="1" applyBorder="1" applyAlignment="1">
      <alignment vertical="center" wrapText="1"/>
    </xf>
    <xf numFmtId="0" fontId="100" fillId="0" borderId="1" xfId="0" applyFont="1" applyBorder="1" applyAlignment="1" applyProtection="1">
      <alignment horizontal="center" vertical="center"/>
    </xf>
    <xf numFmtId="0" fontId="100" fillId="0" borderId="0" xfId="0" applyFont="1" applyBorder="1" applyAlignment="1" applyProtection="1">
      <alignment horizontal="center" vertical="center" wrapText="1"/>
    </xf>
    <xf numFmtId="49" fontId="95" fillId="0" borderId="7" xfId="0" applyNumberFormat="1" applyFont="1" applyBorder="1" applyAlignment="1" applyProtection="1">
      <alignment horizontal="center" vertical="center"/>
    </xf>
    <xf numFmtId="49" fontId="95" fillId="0" borderId="6" xfId="0" applyNumberFormat="1" applyFont="1" applyBorder="1" applyAlignment="1" applyProtection="1">
      <alignment vertical="center"/>
    </xf>
    <xf numFmtId="49" fontId="99" fillId="0" borderId="6" xfId="0" applyNumberFormat="1" applyFont="1" applyBorder="1" applyAlignment="1" applyProtection="1">
      <alignment horizontal="center" vertical="center"/>
    </xf>
    <xf numFmtId="49" fontId="99" fillId="0" borderId="5" xfId="0" applyNumberFormat="1" applyFont="1" applyBorder="1" applyAlignment="1" applyProtection="1">
      <alignment horizontal="center" vertical="center"/>
    </xf>
    <xf numFmtId="0" fontId="100" fillId="0" borderId="0" xfId="0" applyFont="1" applyBorder="1" applyAlignment="1" applyProtection="1">
      <alignment vertical="center"/>
    </xf>
    <xf numFmtId="0" fontId="100" fillId="0" borderId="2" xfId="0" applyFont="1" applyBorder="1" applyAlignment="1" applyProtection="1">
      <alignment vertical="center"/>
    </xf>
    <xf numFmtId="0" fontId="101" fillId="0" borderId="0" xfId="0" applyFont="1" applyBorder="1" applyAlignment="1" applyProtection="1">
      <alignment horizontal="center" vertical="center"/>
    </xf>
    <xf numFmtId="0" fontId="101" fillId="0" borderId="0" xfId="0" applyFont="1" applyBorder="1" applyProtection="1">
      <alignment vertical="center"/>
    </xf>
    <xf numFmtId="0" fontId="92" fillId="0" borderId="0" xfId="0" applyFont="1" applyBorder="1" applyAlignment="1" applyProtection="1">
      <alignment vertical="center" wrapText="1"/>
    </xf>
    <xf numFmtId="0" fontId="92" fillId="0" borderId="2" xfId="0" applyFont="1" applyBorder="1" applyAlignment="1" applyProtection="1">
      <alignment vertical="center" wrapText="1"/>
    </xf>
    <xf numFmtId="0" fontId="102" fillId="0" borderId="0" xfId="0" applyFont="1" applyBorder="1" applyAlignment="1" applyProtection="1">
      <alignment vertical="center" wrapText="1"/>
    </xf>
    <xf numFmtId="0" fontId="103" fillId="0" borderId="2" xfId="0" applyFont="1" applyBorder="1" applyAlignment="1" applyProtection="1">
      <alignment vertical="center"/>
      <protection locked="0"/>
    </xf>
    <xf numFmtId="0" fontId="80" fillId="0" borderId="2" xfId="0" applyFont="1" applyBorder="1" applyAlignment="1" applyProtection="1">
      <alignment horizontal="center" vertical="center"/>
    </xf>
    <xf numFmtId="0" fontId="103" fillId="0" borderId="2" xfId="0" applyFont="1" applyBorder="1" applyAlignment="1" applyProtection="1">
      <alignment horizontal="left" vertical="center"/>
      <protection locked="0"/>
    </xf>
    <xf numFmtId="0" fontId="80" fillId="0" borderId="0" xfId="0" applyFont="1" applyBorder="1" applyAlignment="1" applyProtection="1">
      <alignment vertical="center" wrapText="1"/>
    </xf>
    <xf numFmtId="0" fontId="80" fillId="0" borderId="13" xfId="0" applyFont="1" applyBorder="1" applyAlignment="1" applyProtection="1">
      <alignment vertical="center" wrapText="1"/>
    </xf>
    <xf numFmtId="0" fontId="104" fillId="0" borderId="0" xfId="0" applyFont="1" applyBorder="1" applyAlignment="1" applyProtection="1">
      <alignment vertical="center"/>
    </xf>
    <xf numFmtId="0" fontId="105" fillId="0" borderId="0" xfId="0" applyFont="1" applyBorder="1" applyAlignment="1" applyProtection="1">
      <alignment vertical="center"/>
    </xf>
    <xf numFmtId="0" fontId="102" fillId="0" borderId="0" xfId="0" applyFont="1" applyBorder="1" applyAlignment="1" applyProtection="1">
      <alignment vertical="center"/>
    </xf>
    <xf numFmtId="0" fontId="80" fillId="0" borderId="0" xfId="0" applyFont="1" applyBorder="1" applyAlignment="1" applyProtection="1">
      <alignment horizontal="center" vertical="center"/>
    </xf>
    <xf numFmtId="178" fontId="103" fillId="0" borderId="0" xfId="0" applyNumberFormat="1" applyFont="1" applyBorder="1" applyAlignment="1" applyProtection="1">
      <alignment horizontal="center" vertical="center"/>
    </xf>
    <xf numFmtId="0" fontId="103" fillId="0" borderId="2" xfId="0" applyFont="1" applyBorder="1" applyAlignment="1" applyProtection="1">
      <alignment horizontal="center" vertical="center"/>
    </xf>
    <xf numFmtId="0" fontId="80" fillId="0" borderId="2" xfId="0" applyFont="1" applyBorder="1" applyAlignment="1" applyProtection="1">
      <alignment vertical="center"/>
    </xf>
    <xf numFmtId="0" fontId="96" fillId="0" borderId="10" xfId="0" applyFont="1" applyBorder="1" applyAlignment="1" applyProtection="1">
      <alignment horizontal="center" vertical="center"/>
    </xf>
    <xf numFmtId="0" fontId="80" fillId="0" borderId="10" xfId="0" applyFont="1" applyBorder="1" applyAlignment="1" applyProtection="1">
      <alignment horizontal="center" vertical="center"/>
    </xf>
    <xf numFmtId="0" fontId="80" fillId="0" borderId="10" xfId="0" applyFont="1" applyBorder="1" applyAlignment="1" applyProtection="1">
      <alignment vertical="center"/>
    </xf>
    <xf numFmtId="0" fontId="80" fillId="0" borderId="10" xfId="0" applyFont="1" applyBorder="1" applyAlignment="1" applyProtection="1">
      <alignment horizontal="left" vertical="center"/>
    </xf>
    <xf numFmtId="0" fontId="80" fillId="0" borderId="0" xfId="0" applyFont="1" applyProtection="1">
      <alignment vertical="center"/>
    </xf>
    <xf numFmtId="0" fontId="102" fillId="0" borderId="0" xfId="0" applyFont="1" applyBorder="1" applyAlignment="1">
      <alignment vertical="center" wrapText="1"/>
    </xf>
    <xf numFmtId="0" fontId="80" fillId="0" borderId="0" xfId="0" applyFont="1" applyBorder="1" applyAlignment="1">
      <alignment vertical="center"/>
    </xf>
    <xf numFmtId="0" fontId="103" fillId="0" borderId="2" xfId="0" applyFont="1" applyBorder="1" applyAlignment="1">
      <alignment vertical="center"/>
    </xf>
    <xf numFmtId="0" fontId="80" fillId="0" borderId="2" xfId="0" applyFont="1" applyBorder="1" applyAlignment="1">
      <alignment horizontal="center" vertical="center"/>
    </xf>
    <xf numFmtId="0" fontId="103" fillId="0" borderId="2" xfId="0" applyFont="1" applyBorder="1" applyAlignment="1">
      <alignment horizontal="left" vertical="center"/>
    </xf>
    <xf numFmtId="0" fontId="80" fillId="0" borderId="0" xfId="0" applyFont="1" applyBorder="1" applyAlignment="1">
      <alignment vertical="center" wrapText="1"/>
    </xf>
    <xf numFmtId="0" fontId="80" fillId="0" borderId="13" xfId="0" applyFont="1" applyBorder="1" applyAlignment="1">
      <alignment vertical="center" wrapText="1"/>
    </xf>
    <xf numFmtId="0" fontId="103" fillId="0" borderId="0" xfId="0" applyFont="1" applyBorder="1" applyAlignment="1">
      <alignment vertical="center"/>
    </xf>
    <xf numFmtId="0" fontId="80" fillId="0" borderId="0" xfId="0" applyFont="1" applyBorder="1" applyAlignment="1">
      <alignment horizontal="center" vertical="center"/>
    </xf>
    <xf numFmtId="0" fontId="103" fillId="0" borderId="0" xfId="0" applyFont="1" applyBorder="1" applyAlignment="1">
      <alignment horizontal="left" vertical="center"/>
    </xf>
    <xf numFmtId="0" fontId="96" fillId="0" borderId="2" xfId="0" applyFont="1" applyBorder="1" applyAlignment="1">
      <alignment vertical="center"/>
    </xf>
    <xf numFmtId="0" fontId="104" fillId="0" borderId="0" xfId="0" applyFont="1" applyBorder="1" applyAlignment="1">
      <alignment vertical="center"/>
    </xf>
    <xf numFmtId="0" fontId="105" fillId="0" borderId="0" xfId="0" applyFont="1" applyBorder="1" applyAlignment="1">
      <alignment vertical="center"/>
    </xf>
    <xf numFmtId="0" fontId="102" fillId="0" borderId="0" xfId="0" applyFont="1" applyBorder="1" applyAlignment="1">
      <alignment vertical="center"/>
    </xf>
    <xf numFmtId="49" fontId="103" fillId="0" borderId="0" xfId="0" applyNumberFormat="1" applyFont="1" applyBorder="1" applyAlignment="1">
      <alignment horizontal="center" vertical="center"/>
    </xf>
    <xf numFmtId="0" fontId="80" fillId="0" borderId="2" xfId="0" applyFont="1" applyBorder="1" applyAlignment="1">
      <alignment vertical="center"/>
    </xf>
    <xf numFmtId="0" fontId="103" fillId="0" borderId="2" xfId="0" applyFont="1" applyBorder="1" applyAlignment="1">
      <alignment horizontal="center" vertical="center"/>
    </xf>
    <xf numFmtId="0" fontId="96" fillId="0" borderId="10" xfId="0" applyFont="1" applyBorder="1" applyAlignment="1">
      <alignment horizontal="center" vertical="center"/>
    </xf>
    <xf numFmtId="0" fontId="80" fillId="0" borderId="10" xfId="0" applyFont="1" applyBorder="1" applyAlignment="1">
      <alignment horizontal="center" vertical="center"/>
    </xf>
    <xf numFmtId="0" fontId="80" fillId="0" borderId="10" xfId="0" applyFont="1" applyBorder="1" applyAlignment="1">
      <alignment vertical="center"/>
    </xf>
    <xf numFmtId="0" fontId="80" fillId="0" borderId="10" xfId="0" applyFont="1" applyBorder="1" applyAlignment="1">
      <alignment horizontal="left" vertical="center"/>
    </xf>
    <xf numFmtId="0" fontId="103" fillId="0" borderId="0" xfId="0" applyFont="1" applyBorder="1" applyAlignment="1">
      <alignment horizontal="center" vertical="center" shrinkToFit="1"/>
    </xf>
    <xf numFmtId="0" fontId="88" fillId="0" borderId="0" xfId="0" applyFont="1" applyBorder="1" applyAlignment="1">
      <alignment vertical="center"/>
    </xf>
    <xf numFmtId="0" fontId="115" fillId="0" borderId="0" xfId="0" applyFont="1" applyBorder="1" applyAlignment="1">
      <alignment vertical="center"/>
    </xf>
    <xf numFmtId="0" fontId="90" fillId="0" borderId="0" xfId="0" applyFont="1" applyBorder="1" applyAlignment="1">
      <alignment horizontal="center" vertical="center"/>
    </xf>
    <xf numFmtId="0" fontId="100" fillId="0" borderId="2" xfId="0" applyFont="1" applyBorder="1" applyAlignment="1">
      <alignment vertical="center"/>
    </xf>
    <xf numFmtId="178" fontId="110" fillId="0" borderId="0" xfId="0" applyNumberFormat="1" applyFont="1" applyBorder="1" applyAlignment="1">
      <alignment horizontal="center" vertical="center"/>
    </xf>
    <xf numFmtId="0" fontId="100" fillId="0" borderId="2" xfId="0" applyFont="1" applyBorder="1" applyAlignment="1">
      <alignment horizontal="center" vertical="center"/>
    </xf>
    <xf numFmtId="0" fontId="110" fillId="0" borderId="0" xfId="0" applyFont="1" applyBorder="1" applyAlignment="1">
      <alignment horizontal="center" vertical="center"/>
    </xf>
    <xf numFmtId="0" fontId="96" fillId="0" borderId="10" xfId="0" applyFont="1" applyBorder="1" applyAlignment="1">
      <alignment vertical="center"/>
    </xf>
    <xf numFmtId="0" fontId="96" fillId="0" borderId="0" xfId="0" applyFont="1" applyBorder="1" applyAlignment="1">
      <alignment vertical="center"/>
    </xf>
    <xf numFmtId="0" fontId="80" fillId="0" borderId="21" xfId="0" applyFont="1" applyBorder="1">
      <alignment vertical="center"/>
    </xf>
    <xf numFmtId="0" fontId="116" fillId="0" borderId="22" xfId="0" applyFont="1" applyBorder="1" applyAlignment="1" applyProtection="1">
      <alignment horizontal="center" vertical="center"/>
      <protection locked="0"/>
    </xf>
    <xf numFmtId="0" fontId="116" fillId="0" borderId="23" xfId="0" applyFont="1" applyBorder="1" applyAlignment="1" applyProtection="1">
      <alignment horizontal="center" vertical="center"/>
      <protection locked="0"/>
    </xf>
    <xf numFmtId="0" fontId="116" fillId="0" borderId="21" xfId="0" applyFont="1" applyBorder="1" applyAlignment="1" applyProtection="1">
      <alignment horizontal="center" vertical="center"/>
      <protection locked="0"/>
    </xf>
    <xf numFmtId="0" fontId="80" fillId="0" borderId="60" xfId="0" applyFont="1" applyBorder="1">
      <alignment vertical="center"/>
    </xf>
    <xf numFmtId="0" fontId="80" fillId="0" borderId="24" xfId="0" applyFont="1" applyBorder="1">
      <alignment vertical="center"/>
    </xf>
    <xf numFmtId="0" fontId="108" fillId="0" borderId="0" xfId="0" applyFont="1" applyBorder="1">
      <alignment vertical="center"/>
    </xf>
    <xf numFmtId="49" fontId="116" fillId="0" borderId="0" xfId="0" applyNumberFormat="1" applyFont="1" applyBorder="1" applyAlignment="1">
      <alignment horizontal="center" vertical="center"/>
    </xf>
    <xf numFmtId="0" fontId="116" fillId="0" borderId="0" xfId="0" applyFont="1" applyBorder="1" applyAlignment="1">
      <alignment horizontal="center" vertical="center"/>
    </xf>
    <xf numFmtId="0" fontId="116" fillId="0" borderId="0" xfId="0" applyFont="1" applyBorder="1" applyAlignment="1">
      <alignment horizontal="center" vertical="center" shrinkToFit="1"/>
    </xf>
    <xf numFmtId="0" fontId="100" fillId="0" borderId="0" xfId="0" applyFont="1" applyAlignment="1">
      <alignment vertical="center" wrapText="1"/>
    </xf>
    <xf numFmtId="0" fontId="100" fillId="0" borderId="0" xfId="0" applyFont="1" applyAlignment="1">
      <alignment vertical="center"/>
    </xf>
    <xf numFmtId="0" fontId="101" fillId="0" borderId="0" xfId="0" applyFont="1" applyAlignment="1">
      <alignment horizontal="left" vertical="center"/>
    </xf>
    <xf numFmtId="0" fontId="101" fillId="0" borderId="0" xfId="0" applyFont="1" applyBorder="1" applyAlignment="1">
      <alignment horizontal="left" vertical="center"/>
    </xf>
    <xf numFmtId="0" fontId="103" fillId="0" borderId="0" xfId="0" applyFont="1" applyBorder="1" applyAlignment="1">
      <alignment horizontal="center"/>
    </xf>
    <xf numFmtId="0" fontId="80" fillId="0" borderId="0" xfId="0" applyFont="1" applyAlignment="1">
      <alignment horizontal="left" vertical="center"/>
    </xf>
    <xf numFmtId="0" fontId="103" fillId="0" borderId="0" xfId="0" applyFont="1" applyAlignment="1">
      <alignment vertical="center" shrinkToFit="1"/>
    </xf>
    <xf numFmtId="0" fontId="103" fillId="0" borderId="0" xfId="0" applyFont="1" applyAlignment="1">
      <alignment horizontal="right" vertical="center" shrinkToFit="1"/>
    </xf>
    <xf numFmtId="182" fontId="114" fillId="0" borderId="0" xfId="0" applyNumberFormat="1" applyFont="1" applyBorder="1" applyAlignment="1"/>
    <xf numFmtId="0" fontId="80" fillId="0" borderId="0" xfId="0" applyFont="1" applyBorder="1">
      <alignment vertical="center"/>
    </xf>
    <xf numFmtId="0" fontId="114" fillId="0" borderId="0" xfId="0" applyFont="1" applyBorder="1" applyAlignment="1"/>
    <xf numFmtId="0" fontId="101" fillId="0" borderId="9" xfId="0" applyFont="1" applyBorder="1" applyAlignment="1">
      <alignment horizontal="left" vertical="center"/>
    </xf>
    <xf numFmtId="0" fontId="96" fillId="0" borderId="0" xfId="0" applyFont="1" applyAlignment="1"/>
    <xf numFmtId="49" fontId="108" fillId="0" borderId="0" xfId="0" applyNumberFormat="1" applyFont="1" applyFill="1" applyBorder="1" applyAlignment="1">
      <alignment vertical="center"/>
    </xf>
    <xf numFmtId="0" fontId="108" fillId="0" borderId="0" xfId="0" applyFont="1" applyFill="1" applyBorder="1" applyAlignment="1">
      <alignment vertical="center"/>
    </xf>
    <xf numFmtId="0" fontId="80" fillId="0" borderId="17" xfId="0" applyFont="1" applyBorder="1" applyAlignment="1">
      <alignment horizontal="center" vertical="center" textRotation="255"/>
    </xf>
    <xf numFmtId="49" fontId="80" fillId="0" borderId="0" xfId="0" applyNumberFormat="1" applyFont="1" applyBorder="1" applyAlignment="1">
      <alignment horizontal="center" vertical="center"/>
    </xf>
    <xf numFmtId="0" fontId="101" fillId="0" borderId="0" xfId="0" applyFont="1" applyBorder="1" applyAlignment="1">
      <alignment vertical="center"/>
    </xf>
    <xf numFmtId="49" fontId="80" fillId="0" borderId="0" xfId="0" applyNumberFormat="1" applyFont="1" applyBorder="1" applyAlignment="1">
      <alignment vertical="center"/>
    </xf>
    <xf numFmtId="49" fontId="110" fillId="0" borderId="0" xfId="0" applyNumberFormat="1" applyFont="1" applyBorder="1" applyAlignment="1"/>
    <xf numFmtId="0" fontId="101" fillId="0" borderId="0" xfId="0" applyFont="1" applyBorder="1" applyAlignment="1">
      <alignment vertical="center" wrapText="1"/>
    </xf>
    <xf numFmtId="0" fontId="103" fillId="0" borderId="0" xfId="0" applyFont="1" applyBorder="1" applyAlignment="1">
      <alignment wrapText="1"/>
    </xf>
    <xf numFmtId="0" fontId="122" fillId="0" borderId="0" xfId="0" applyFont="1" applyBorder="1" applyAlignment="1">
      <alignment horizontal="center" vertical="center"/>
    </xf>
    <xf numFmtId="0" fontId="80" fillId="0" borderId="0" xfId="0" applyFont="1" applyBorder="1" applyAlignment="1">
      <alignment vertical="center" textRotation="255"/>
    </xf>
    <xf numFmtId="0" fontId="103" fillId="0" borderId="0" xfId="0" applyFont="1" applyBorder="1" applyAlignment="1">
      <alignment horizontal="center" vertical="center"/>
    </xf>
    <xf numFmtId="0" fontId="110" fillId="0" borderId="92" xfId="0" applyFont="1" applyBorder="1" applyAlignment="1">
      <alignment horizontal="center"/>
    </xf>
    <xf numFmtId="0" fontId="110" fillId="0" borderId="68" xfId="0" applyFont="1" applyBorder="1" applyAlignment="1">
      <alignment horizontal="center"/>
    </xf>
    <xf numFmtId="0" fontId="110" fillId="0" borderId="167" xfId="0" applyFont="1" applyBorder="1" applyAlignment="1">
      <alignment horizontal="center"/>
    </xf>
    <xf numFmtId="0" fontId="110" fillId="0" borderId="9" xfId="0" applyFont="1" applyBorder="1" applyAlignment="1">
      <alignment horizontal="center"/>
    </xf>
    <xf numFmtId="0" fontId="116" fillId="0" borderId="22" xfId="0" applyFont="1" applyBorder="1" applyAlignment="1">
      <alignment horizontal="center" vertical="center"/>
    </xf>
    <xf numFmtId="0" fontId="116" fillId="0" borderId="23" xfId="0" applyFont="1" applyBorder="1" applyAlignment="1">
      <alignment horizontal="center" vertical="center"/>
    </xf>
    <xf numFmtId="0" fontId="126" fillId="0" borderId="35" xfId="0" applyFont="1" applyFill="1" applyBorder="1" applyAlignment="1" applyProtection="1">
      <alignment horizontal="center" vertical="center"/>
    </xf>
    <xf numFmtId="178" fontId="126" fillId="0" borderId="35" xfId="0" applyNumberFormat="1" applyFont="1" applyFill="1" applyBorder="1" applyAlignment="1" applyProtection="1">
      <alignment horizontal="right" vertical="center"/>
    </xf>
    <xf numFmtId="0" fontId="126" fillId="0" borderId="35" xfId="0" applyFont="1" applyFill="1" applyBorder="1" applyAlignment="1" applyProtection="1">
      <alignment horizontal="right" vertical="center"/>
    </xf>
    <xf numFmtId="178" fontId="126" fillId="0" borderId="36" xfId="0" applyNumberFormat="1" applyFont="1" applyFill="1" applyBorder="1" applyAlignment="1" applyProtection="1">
      <alignment horizontal="center" vertical="center"/>
    </xf>
    <xf numFmtId="178" fontId="126" fillId="0" borderId="35" xfId="0" applyNumberFormat="1" applyFont="1" applyFill="1" applyBorder="1" applyAlignment="1" applyProtection="1">
      <alignment horizontal="center" vertical="center"/>
    </xf>
    <xf numFmtId="38" fontId="126" fillId="0" borderId="37" xfId="3" applyFont="1" applyFill="1" applyBorder="1" applyAlignment="1" applyProtection="1">
      <alignment horizontal="center" vertical="center"/>
    </xf>
    <xf numFmtId="0" fontId="99" fillId="0" borderId="34" xfId="0" applyFont="1" applyFill="1" applyBorder="1" applyAlignment="1" applyProtection="1">
      <alignment horizontal="center" vertical="center"/>
    </xf>
    <xf numFmtId="0" fontId="129" fillId="0" borderId="0" xfId="0" applyFont="1" applyFill="1" applyBorder="1" applyAlignment="1" applyProtection="1">
      <alignment vertical="center" wrapText="1"/>
    </xf>
    <xf numFmtId="0" fontId="87" fillId="7" borderId="46" xfId="0" applyFont="1" applyFill="1" applyBorder="1" applyAlignment="1" applyProtection="1">
      <alignment horizontal="center" vertical="center"/>
      <protection locked="0"/>
    </xf>
    <xf numFmtId="0" fontId="80" fillId="4" borderId="47" xfId="0" applyFont="1" applyFill="1" applyBorder="1" applyAlignment="1" applyProtection="1">
      <alignment horizontal="right" vertical="center"/>
      <protection locked="0"/>
    </xf>
    <xf numFmtId="38" fontId="108" fillId="4" borderId="48" xfId="3" applyFont="1" applyFill="1" applyBorder="1" applyAlignment="1" applyProtection="1">
      <alignment horizontal="right" vertical="center"/>
      <protection locked="0"/>
    </xf>
    <xf numFmtId="0" fontId="130" fillId="0" borderId="0" xfId="0" applyFont="1" applyFill="1" applyBorder="1" applyAlignment="1" applyProtection="1">
      <alignment vertical="center" wrapText="1"/>
      <protection locked="0"/>
    </xf>
    <xf numFmtId="0" fontId="87" fillId="7" borderId="49" xfId="0" applyFont="1" applyFill="1" applyBorder="1" applyAlignment="1" applyProtection="1">
      <alignment horizontal="center" vertical="center"/>
      <protection locked="0"/>
    </xf>
    <xf numFmtId="0" fontId="80" fillId="4" borderId="50" xfId="0" applyFont="1" applyFill="1" applyBorder="1" applyAlignment="1" applyProtection="1">
      <alignment horizontal="right" vertical="center"/>
      <protection locked="0"/>
    </xf>
    <xf numFmtId="38" fontId="108" fillId="4" borderId="51" xfId="3" applyFont="1" applyFill="1" applyBorder="1" applyAlignment="1" applyProtection="1">
      <alignment horizontal="right" vertical="center"/>
      <protection locked="0"/>
    </xf>
    <xf numFmtId="38" fontId="97" fillId="0" borderId="0" xfId="3" applyFont="1" applyFill="1" applyBorder="1" applyAlignment="1" applyProtection="1">
      <alignment horizontal="center"/>
      <protection locked="0"/>
    </xf>
    <xf numFmtId="0" fontId="87" fillId="7" borderId="234" xfId="0" applyFont="1" applyFill="1" applyBorder="1" applyAlignment="1" applyProtection="1">
      <alignment horizontal="center" vertical="center"/>
      <protection locked="0"/>
    </xf>
    <xf numFmtId="0" fontId="80" fillId="4" borderId="154" xfId="0" applyFont="1" applyFill="1" applyBorder="1" applyAlignment="1" applyProtection="1">
      <alignment horizontal="right" vertical="center"/>
      <protection locked="0"/>
    </xf>
    <xf numFmtId="38" fontId="108" fillId="4" borderId="91" xfId="3" applyFont="1" applyFill="1" applyBorder="1" applyAlignment="1" applyProtection="1">
      <alignment horizontal="right" vertical="center"/>
      <protection locked="0"/>
    </xf>
    <xf numFmtId="0" fontId="87" fillId="7" borderId="53" xfId="0" applyFont="1" applyFill="1" applyBorder="1" applyAlignment="1" applyProtection="1">
      <alignment horizontal="center" vertical="center"/>
      <protection locked="0"/>
    </xf>
    <xf numFmtId="0" fontId="80" fillId="4" borderId="54" xfId="0" applyFont="1" applyFill="1" applyBorder="1" applyAlignment="1" applyProtection="1">
      <alignment horizontal="right" vertical="center"/>
      <protection locked="0"/>
    </xf>
    <xf numFmtId="38" fontId="108" fillId="4" borderId="55" xfId="3" applyFont="1" applyFill="1" applyBorder="1" applyAlignment="1" applyProtection="1">
      <alignment horizontal="right" vertical="center"/>
      <protection locked="0"/>
    </xf>
    <xf numFmtId="6" fontId="131" fillId="0" borderId="0" xfId="6" applyFont="1" applyFill="1" applyBorder="1" applyAlignment="1" applyProtection="1">
      <alignment vertical="top" wrapText="1"/>
      <protection locked="0"/>
    </xf>
    <xf numFmtId="0" fontId="108" fillId="0" borderId="34" xfId="0" applyFont="1" applyFill="1" applyBorder="1" applyAlignment="1" applyProtection="1">
      <alignment horizontal="center" vertical="center"/>
    </xf>
    <xf numFmtId="0" fontId="108" fillId="0" borderId="21" xfId="0" applyFont="1" applyFill="1" applyBorder="1" applyAlignment="1" applyProtection="1">
      <alignment horizontal="center" vertical="center" wrapText="1" shrinkToFit="1"/>
    </xf>
    <xf numFmtId="0" fontId="108" fillId="0" borderId="60" xfId="0" applyFont="1" applyFill="1" applyBorder="1" applyAlignment="1" applyProtection="1">
      <alignment horizontal="center" vertical="center" wrapText="1" shrinkToFit="1"/>
    </xf>
    <xf numFmtId="0" fontId="108" fillId="0" borderId="21" xfId="0" applyFont="1" applyFill="1" applyBorder="1" applyAlignment="1" applyProtection="1">
      <alignment horizontal="center" vertical="center" wrapText="1"/>
    </xf>
    <xf numFmtId="0" fontId="108" fillId="0" borderId="39" xfId="0" applyFont="1" applyFill="1" applyBorder="1" applyAlignment="1" applyProtection="1">
      <alignment horizontal="center" vertical="center"/>
    </xf>
    <xf numFmtId="179" fontId="95" fillId="0" borderId="34" xfId="3" applyNumberFormat="1" applyFont="1" applyFill="1" applyBorder="1" applyAlignment="1" applyProtection="1">
      <alignment horizontal="right" vertical="center" shrinkToFit="1"/>
    </xf>
    <xf numFmtId="189" fontId="94" fillId="0" borderId="33" xfId="0" applyNumberFormat="1" applyFont="1" applyFill="1" applyBorder="1" applyAlignment="1" applyProtection="1">
      <alignment horizontal="center" vertical="center"/>
    </xf>
    <xf numFmtId="0" fontId="94" fillId="0" borderId="106" xfId="0" applyFont="1" applyFill="1" applyBorder="1" applyAlignment="1" applyProtection="1">
      <alignment horizontal="center" vertical="center"/>
      <protection locked="0"/>
    </xf>
    <xf numFmtId="179" fontId="95" fillId="0" borderId="100" xfId="3" applyNumberFormat="1" applyFont="1" applyFill="1" applyBorder="1" applyAlignment="1" applyProtection="1">
      <alignment horizontal="right" vertical="center" shrinkToFit="1"/>
    </xf>
    <xf numFmtId="189" fontId="94" fillId="0" borderId="30" xfId="0" applyNumberFormat="1" applyFont="1" applyFill="1" applyBorder="1" applyAlignment="1" applyProtection="1">
      <alignment horizontal="center" vertical="center" shrinkToFit="1"/>
    </xf>
    <xf numFmtId="180" fontId="90" fillId="0" borderId="107" xfId="0" applyNumberFormat="1" applyFont="1" applyFill="1" applyBorder="1" applyAlignment="1" applyProtection="1">
      <alignment horizontal="center" vertical="center" shrinkToFit="1"/>
      <protection locked="0"/>
    </xf>
    <xf numFmtId="179" fontId="95" fillId="0" borderId="101" xfId="3" applyNumberFormat="1" applyFont="1" applyFill="1" applyBorder="1" applyAlignment="1" applyProtection="1">
      <alignment horizontal="right" vertical="center" shrinkToFit="1"/>
    </xf>
    <xf numFmtId="179" fontId="95" fillId="0" borderId="102" xfId="3" applyNumberFormat="1" applyFont="1" applyFill="1" applyBorder="1" applyAlignment="1" applyProtection="1">
      <alignment horizontal="right" vertical="center" shrinkToFit="1"/>
    </xf>
    <xf numFmtId="180" fontId="90" fillId="0" borderId="108" xfId="0" applyNumberFormat="1" applyFont="1" applyFill="1" applyBorder="1" applyAlignment="1" applyProtection="1">
      <alignment horizontal="center" vertical="center" shrinkToFit="1"/>
      <protection locked="0"/>
    </xf>
    <xf numFmtId="179" fontId="95" fillId="0" borderId="236" xfId="3" applyNumberFormat="1" applyFont="1" applyFill="1" applyBorder="1" applyAlignment="1" applyProtection="1">
      <alignment horizontal="right" vertical="center" shrinkToFit="1"/>
    </xf>
    <xf numFmtId="180" fontId="94" fillId="0" borderId="240" xfId="0" applyNumberFormat="1" applyFont="1" applyFill="1" applyBorder="1" applyAlignment="1" applyProtection="1">
      <alignment horizontal="center" vertical="center" shrinkToFit="1"/>
    </xf>
    <xf numFmtId="180" fontId="90" fillId="0" borderId="226" xfId="0" applyNumberFormat="1" applyFont="1" applyFill="1" applyBorder="1" applyAlignment="1" applyProtection="1">
      <alignment vertical="center" shrinkToFit="1"/>
      <protection locked="0"/>
    </xf>
    <xf numFmtId="179" fontId="95" fillId="0" borderId="235" xfId="3" applyNumberFormat="1" applyFont="1" applyFill="1" applyBorder="1" applyAlignment="1" applyProtection="1">
      <alignment horizontal="right" vertical="center" shrinkToFit="1"/>
    </xf>
    <xf numFmtId="180" fontId="94" fillId="0" borderId="241" xfId="0" applyNumberFormat="1" applyFont="1" applyFill="1" applyBorder="1" applyAlignment="1" applyProtection="1">
      <alignment horizontal="center" vertical="center" shrinkToFit="1"/>
    </xf>
    <xf numFmtId="180" fontId="90" fillId="0" borderId="235" xfId="0" applyNumberFormat="1" applyFont="1" applyFill="1" applyBorder="1" applyAlignment="1" applyProtection="1">
      <alignment vertical="center" shrinkToFit="1"/>
      <protection locked="0"/>
    </xf>
    <xf numFmtId="180" fontId="90" fillId="0" borderId="212" xfId="0" applyNumberFormat="1" applyFont="1" applyFill="1" applyBorder="1" applyAlignment="1" applyProtection="1">
      <alignment vertical="center" shrinkToFit="1"/>
      <protection locked="0"/>
    </xf>
    <xf numFmtId="0" fontId="124" fillId="0" borderId="168" xfId="0" applyFont="1" applyFill="1" applyBorder="1" applyAlignment="1" applyProtection="1">
      <alignment horizontal="center" vertical="center" shrinkToFit="1"/>
    </xf>
    <xf numFmtId="38" fontId="134" fillId="0" borderId="13" xfId="2" applyFont="1" applyFill="1" applyBorder="1" applyAlignment="1" applyProtection="1">
      <alignment horizontal="right" vertical="center" shrinkToFit="1"/>
    </xf>
    <xf numFmtId="38" fontId="134" fillId="0" borderId="259" xfId="2" applyFont="1" applyFill="1" applyBorder="1" applyAlignment="1" applyProtection="1">
      <alignment horizontal="right" vertical="center" shrinkToFit="1"/>
    </xf>
    <xf numFmtId="0" fontId="95" fillId="0" borderId="31" xfId="3" applyNumberFormat="1" applyFont="1" applyFill="1" applyBorder="1" applyAlignment="1" applyProtection="1">
      <alignment horizontal="right" vertical="center" shrinkToFit="1"/>
    </xf>
    <xf numFmtId="189" fontId="94" fillId="0" borderId="31" xfId="3" applyNumberFormat="1" applyFont="1" applyFill="1" applyBorder="1" applyAlignment="1" applyProtection="1">
      <alignment horizontal="center" vertical="center" shrinkToFit="1"/>
    </xf>
    <xf numFmtId="180" fontId="90" fillId="0" borderId="41" xfId="0" applyNumberFormat="1" applyFont="1" applyFill="1" applyBorder="1" applyAlignment="1" applyProtection="1">
      <alignment horizontal="center" vertical="center" shrinkToFit="1"/>
      <protection locked="0"/>
    </xf>
    <xf numFmtId="38" fontId="95" fillId="0" borderId="32" xfId="3" applyFont="1" applyFill="1" applyBorder="1" applyAlignment="1" applyProtection="1">
      <alignment horizontal="right" vertical="center" shrinkToFit="1"/>
    </xf>
    <xf numFmtId="189" fontId="94" fillId="0" borderId="32" xfId="3" applyNumberFormat="1" applyFont="1" applyFill="1" applyBorder="1" applyAlignment="1" applyProtection="1">
      <alignment horizontal="center" vertical="center" shrinkToFit="1"/>
    </xf>
    <xf numFmtId="180" fontId="90" fillId="0" borderId="44" xfId="0" applyNumberFormat="1" applyFont="1" applyFill="1" applyBorder="1" applyAlignment="1" applyProtection="1">
      <alignment horizontal="center" vertical="center" shrinkToFit="1"/>
      <protection locked="0"/>
    </xf>
    <xf numFmtId="0" fontId="95" fillId="0" borderId="32" xfId="3" applyNumberFormat="1" applyFont="1" applyFill="1" applyBorder="1" applyAlignment="1" applyProtection="1">
      <alignment horizontal="right" vertical="center" shrinkToFit="1"/>
    </xf>
    <xf numFmtId="38" fontId="95" fillId="0" borderId="44" xfId="3" applyFont="1" applyFill="1" applyBorder="1" applyAlignment="1" applyProtection="1">
      <alignment horizontal="right" vertical="center" shrinkToFit="1"/>
    </xf>
    <xf numFmtId="180" fontId="90" fillId="0" borderId="109" xfId="0" applyNumberFormat="1" applyFont="1" applyFill="1" applyBorder="1" applyAlignment="1" applyProtection="1">
      <alignment horizontal="center" vertical="center" shrinkToFit="1"/>
      <protection locked="0"/>
    </xf>
    <xf numFmtId="180" fontId="90" fillId="0" borderId="179" xfId="0" applyNumberFormat="1" applyFont="1" applyFill="1" applyBorder="1" applyAlignment="1" applyProtection="1">
      <alignment horizontal="center" vertical="center" shrinkToFit="1"/>
      <protection locked="0"/>
    </xf>
    <xf numFmtId="38" fontId="95" fillId="0" borderId="111" xfId="3" applyFont="1" applyFill="1" applyBorder="1" applyAlignment="1" applyProtection="1">
      <alignment horizontal="right" vertical="center" shrinkToFit="1"/>
    </xf>
    <xf numFmtId="189" fontId="94" fillId="0" borderId="240" xfId="0" applyNumberFormat="1" applyFont="1" applyFill="1" applyBorder="1" applyAlignment="1" applyProtection="1">
      <alignment horizontal="center" vertical="center" shrinkToFit="1"/>
    </xf>
    <xf numFmtId="180" fontId="90" fillId="0" borderId="222" xfId="0" applyNumberFormat="1" applyFont="1" applyFill="1" applyBorder="1" applyAlignment="1" applyProtection="1">
      <alignment vertical="center" shrinkToFit="1"/>
      <protection locked="0"/>
    </xf>
    <xf numFmtId="180" fontId="90" fillId="0" borderId="210" xfId="0" applyNumberFormat="1" applyFont="1" applyFill="1" applyBorder="1" applyAlignment="1" applyProtection="1">
      <alignment vertical="center" shrinkToFit="1"/>
      <protection locked="0"/>
    </xf>
    <xf numFmtId="180" fontId="90" fillId="0" borderId="218" xfId="0" applyNumberFormat="1" applyFont="1" applyFill="1" applyBorder="1" applyAlignment="1" applyProtection="1">
      <alignment vertical="center" shrinkToFit="1"/>
      <protection locked="0"/>
    </xf>
    <xf numFmtId="180" fontId="90" fillId="0" borderId="219" xfId="0" applyNumberFormat="1" applyFont="1" applyFill="1" applyBorder="1" applyAlignment="1" applyProtection="1">
      <alignment vertical="center" shrinkToFit="1"/>
      <protection locked="0"/>
    </xf>
    <xf numFmtId="0" fontId="95" fillId="0" borderId="112" xfId="3" applyNumberFormat="1" applyFont="1" applyFill="1" applyBorder="1" applyAlignment="1" applyProtection="1">
      <alignment horizontal="right" vertical="center" shrinkToFit="1"/>
    </xf>
    <xf numFmtId="189" fontId="94" fillId="0" borderId="244" xfId="0" applyNumberFormat="1" applyFont="1" applyFill="1" applyBorder="1" applyAlignment="1" applyProtection="1">
      <alignment horizontal="center" vertical="center" shrinkToFit="1"/>
    </xf>
    <xf numFmtId="180" fontId="90" fillId="0" borderId="216" xfId="0" applyNumberFormat="1" applyFont="1" applyFill="1" applyBorder="1" applyAlignment="1" applyProtection="1">
      <alignment vertical="center" shrinkToFit="1"/>
      <protection locked="0"/>
    </xf>
    <xf numFmtId="180" fontId="90" fillId="0" borderId="217" xfId="0" applyNumberFormat="1" applyFont="1" applyFill="1" applyBorder="1" applyAlignment="1" applyProtection="1">
      <alignment vertical="center" shrinkToFit="1"/>
      <protection locked="0"/>
    </xf>
    <xf numFmtId="189" fontId="124" fillId="0" borderId="245" xfId="0" applyNumberFormat="1" applyFont="1" applyFill="1" applyBorder="1" applyAlignment="1" applyProtection="1">
      <alignment horizontal="center" vertical="center" shrinkToFit="1"/>
    </xf>
    <xf numFmtId="38" fontId="112" fillId="0" borderId="34" xfId="2" applyFont="1" applyFill="1" applyBorder="1" applyAlignment="1" applyProtection="1">
      <alignment horizontal="right" vertical="center" shrinkToFit="1"/>
      <protection locked="0"/>
    </xf>
    <xf numFmtId="38" fontId="95" fillId="0" borderId="113" xfId="3" applyFont="1" applyFill="1" applyBorder="1" applyAlignment="1" applyProtection="1">
      <alignment horizontal="right" vertical="center" shrinkToFit="1"/>
    </xf>
    <xf numFmtId="180" fontId="90" fillId="0" borderId="110" xfId="0" applyNumberFormat="1" applyFont="1" applyFill="1" applyBorder="1" applyAlignment="1" applyProtection="1">
      <alignment horizontal="center" vertical="center" shrinkToFit="1"/>
      <protection locked="0"/>
    </xf>
    <xf numFmtId="180" fontId="90" fillId="0" borderId="28" xfId="0" applyNumberFormat="1" applyFont="1" applyFill="1" applyBorder="1" applyAlignment="1" applyProtection="1">
      <alignment horizontal="center" vertical="center" shrinkToFit="1"/>
      <protection locked="0"/>
    </xf>
    <xf numFmtId="0" fontId="95" fillId="0" borderId="44" xfId="3" applyNumberFormat="1" applyFont="1" applyFill="1" applyBorder="1" applyAlignment="1" applyProtection="1">
      <alignment horizontal="right" vertical="center" shrinkToFit="1"/>
    </xf>
    <xf numFmtId="38" fontId="95" fillId="0" borderId="100" xfId="3" applyFont="1" applyFill="1" applyBorder="1" applyAlignment="1" applyProtection="1">
      <alignment horizontal="right" vertical="center" shrinkToFit="1"/>
    </xf>
    <xf numFmtId="38" fontId="95" fillId="0" borderId="222" xfId="3" applyFont="1" applyFill="1" applyBorder="1" applyAlignment="1" applyProtection="1">
      <alignment horizontal="right" vertical="center" shrinkToFit="1"/>
    </xf>
    <xf numFmtId="38" fontId="95" fillId="0" borderId="218" xfId="3" applyFont="1" applyFill="1" applyBorder="1" applyAlignment="1" applyProtection="1">
      <alignment horizontal="right" vertical="center" shrinkToFit="1"/>
    </xf>
    <xf numFmtId="0" fontId="95" fillId="0" borderId="237" xfId="3" applyNumberFormat="1" applyFont="1" applyFill="1" applyBorder="1" applyAlignment="1" applyProtection="1">
      <alignment horizontal="right" vertical="center" shrinkToFit="1"/>
    </xf>
    <xf numFmtId="189" fontId="94" fillId="0" borderId="246" xfId="0" applyNumberFormat="1" applyFont="1" applyFill="1" applyBorder="1" applyAlignment="1" applyProtection="1">
      <alignment horizontal="center" vertical="center" shrinkToFit="1"/>
    </xf>
    <xf numFmtId="189" fontId="124" fillId="0" borderId="247" xfId="0" applyNumberFormat="1" applyFont="1" applyFill="1" applyBorder="1" applyAlignment="1" applyProtection="1">
      <alignment horizontal="center" vertical="center" shrinkToFit="1"/>
    </xf>
    <xf numFmtId="38" fontId="112" fillId="0" borderId="249" xfId="2" applyFont="1" applyFill="1" applyBorder="1" applyAlignment="1" applyProtection="1">
      <alignment horizontal="right" vertical="center" shrinkToFit="1"/>
      <protection locked="0"/>
    </xf>
    <xf numFmtId="180" fontId="134" fillId="0" borderId="243" xfId="0" applyNumberFormat="1" applyFont="1" applyFill="1" applyBorder="1" applyAlignment="1" applyProtection="1">
      <alignment horizontal="center" vertical="center" shrinkToFit="1"/>
    </xf>
    <xf numFmtId="38" fontId="134" fillId="0" borderId="3" xfId="2" applyFont="1" applyFill="1" applyBorder="1" applyAlignment="1" applyProtection="1">
      <alignment horizontal="right" vertical="center" shrinkToFit="1"/>
    </xf>
    <xf numFmtId="178" fontId="92" fillId="0" borderId="34" xfId="0" applyNumberFormat="1" applyFont="1" applyFill="1" applyBorder="1" applyAlignment="1" applyProtection="1">
      <alignment horizontal="center" vertical="center" shrinkToFit="1"/>
    </xf>
    <xf numFmtId="178" fontId="99" fillId="0" borderId="21" xfId="0" applyNumberFormat="1" applyFont="1" applyFill="1" applyBorder="1" applyAlignment="1" applyProtection="1">
      <alignment horizontal="center" vertical="center" wrapText="1" shrinkToFit="1"/>
    </xf>
    <xf numFmtId="178" fontId="99" fillId="0" borderId="60" xfId="0" applyNumberFormat="1" applyFont="1" applyFill="1" applyBorder="1" applyAlignment="1" applyProtection="1">
      <alignment horizontal="center" vertical="center" wrapText="1" shrinkToFit="1"/>
    </xf>
    <xf numFmtId="178" fontId="95" fillId="0" borderId="34" xfId="3" applyNumberFormat="1" applyFont="1" applyFill="1" applyBorder="1" applyAlignment="1" applyProtection="1">
      <alignment horizontal="center" vertical="center" shrinkToFit="1"/>
    </xf>
    <xf numFmtId="178" fontId="99" fillId="0" borderId="15" xfId="0" applyNumberFormat="1" applyFont="1" applyFill="1" applyBorder="1" applyAlignment="1" applyProtection="1">
      <alignment vertical="center" textRotation="255" shrinkToFit="1"/>
    </xf>
    <xf numFmtId="178" fontId="99" fillId="0" borderId="34" xfId="0" applyNumberFormat="1" applyFont="1" applyFill="1" applyBorder="1" applyAlignment="1" applyProtection="1">
      <alignment vertical="center" textRotation="255" shrinkToFit="1"/>
    </xf>
    <xf numFmtId="178" fontId="92" fillId="0" borderId="38" xfId="0" applyNumberFormat="1" applyFont="1" applyFill="1" applyBorder="1" applyAlignment="1" applyProtection="1">
      <alignment horizontal="center" vertical="center" shrinkToFit="1"/>
    </xf>
    <xf numFmtId="178" fontId="99" fillId="0" borderId="267" xfId="0" applyNumberFormat="1" applyFont="1" applyFill="1" applyBorder="1" applyAlignment="1" applyProtection="1">
      <alignment horizontal="center" vertical="center" shrinkToFit="1"/>
    </xf>
    <xf numFmtId="178" fontId="99" fillId="0" borderId="64" xfId="0" applyNumberFormat="1" applyFont="1" applyFill="1" applyBorder="1" applyAlignment="1" applyProtection="1">
      <alignment horizontal="center" vertical="center" shrinkToFit="1"/>
    </xf>
    <xf numFmtId="178" fontId="92" fillId="0" borderId="39" xfId="3" applyNumberFormat="1" applyFont="1" applyFill="1" applyBorder="1" applyAlignment="1" applyProtection="1">
      <alignment horizontal="center" vertical="center" shrinkToFit="1"/>
    </xf>
    <xf numFmtId="178" fontId="95" fillId="0" borderId="248" xfId="0" applyNumberFormat="1" applyFont="1" applyFill="1" applyBorder="1" applyAlignment="1" applyProtection="1">
      <alignment vertical="center" shrinkToFit="1"/>
    </xf>
    <xf numFmtId="178" fontId="95" fillId="0" borderId="248" xfId="0" applyNumberFormat="1" applyFont="1" applyFill="1" applyBorder="1" applyAlignment="1" applyProtection="1">
      <alignment horizontal="center" vertical="center" shrinkToFit="1"/>
    </xf>
    <xf numFmtId="178" fontId="95" fillId="0" borderId="34" xfId="3" applyNumberFormat="1" applyFont="1" applyFill="1" applyBorder="1" applyAlignment="1" applyProtection="1">
      <alignment vertical="center" shrinkToFit="1"/>
    </xf>
    <xf numFmtId="176" fontId="94" fillId="0" borderId="25" xfId="0" applyNumberFormat="1" applyFont="1" applyFill="1" applyBorder="1" applyAlignment="1" applyProtection="1">
      <alignment horizontal="center" vertical="center" shrinkToFit="1"/>
    </xf>
    <xf numFmtId="176" fontId="90" fillId="0" borderId="41" xfId="0" applyNumberFormat="1" applyFont="1" applyFill="1" applyBorder="1" applyAlignment="1" applyProtection="1">
      <alignment horizontal="center" vertical="center" shrinkToFit="1"/>
      <protection locked="0"/>
    </xf>
    <xf numFmtId="176" fontId="90" fillId="0" borderId="42" xfId="0" applyNumberFormat="1" applyFont="1" applyFill="1" applyBorder="1" applyAlignment="1" applyProtection="1">
      <alignment horizontal="center" vertical="center" shrinkToFit="1"/>
      <protection locked="0"/>
    </xf>
    <xf numFmtId="176" fontId="129" fillId="0" borderId="26" xfId="3" applyNumberFormat="1" applyFont="1" applyFill="1" applyBorder="1" applyAlignment="1" applyProtection="1">
      <alignment horizontal="right" vertical="center" shrinkToFit="1"/>
    </xf>
    <xf numFmtId="178" fontId="95" fillId="0" borderId="73" xfId="0" applyNumberFormat="1" applyFont="1" applyFill="1" applyBorder="1" applyAlignment="1" applyProtection="1">
      <alignment vertical="center" shrinkToFit="1"/>
    </xf>
    <xf numFmtId="178" fontId="95" fillId="0" borderId="73" xfId="0" applyNumberFormat="1" applyFont="1" applyFill="1" applyBorder="1" applyAlignment="1" applyProtection="1">
      <alignment horizontal="center" vertical="center" shrinkToFit="1"/>
    </xf>
    <xf numFmtId="178" fontId="95" fillId="0" borderId="73" xfId="3" applyNumberFormat="1" applyFont="1" applyFill="1" applyBorder="1" applyAlignment="1" applyProtection="1">
      <alignment vertical="center" shrinkToFit="1"/>
    </xf>
    <xf numFmtId="176" fontId="90" fillId="0" borderId="44" xfId="0" applyNumberFormat="1" applyFont="1" applyFill="1" applyBorder="1" applyAlignment="1" applyProtection="1">
      <alignment horizontal="center" vertical="center" shrinkToFit="1"/>
      <protection locked="0"/>
    </xf>
    <xf numFmtId="176" fontId="90" fillId="0" borderId="45" xfId="0" applyNumberFormat="1" applyFont="1" applyFill="1" applyBorder="1" applyAlignment="1" applyProtection="1">
      <alignment horizontal="center" vertical="center" shrinkToFit="1"/>
      <protection locked="0"/>
    </xf>
    <xf numFmtId="178" fontId="95" fillId="0" borderId="38" xfId="3" applyNumberFormat="1" applyFont="1" applyFill="1" applyBorder="1" applyAlignment="1" applyProtection="1">
      <alignment vertical="center" shrinkToFit="1"/>
    </xf>
    <xf numFmtId="178" fontId="95" fillId="0" borderId="95" xfId="3" applyNumberFormat="1" applyFont="1" applyFill="1" applyBorder="1" applyAlignment="1" applyProtection="1">
      <alignment vertical="center" shrinkToFit="1"/>
    </xf>
    <xf numFmtId="178" fontId="95" fillId="0" borderId="269" xfId="0" applyNumberFormat="1" applyFont="1" applyFill="1" applyBorder="1" applyAlignment="1" applyProtection="1">
      <alignment vertical="center" shrinkToFit="1"/>
    </xf>
    <xf numFmtId="178" fontId="95" fillId="0" borderId="269" xfId="0" applyNumberFormat="1" applyFont="1" applyFill="1" applyBorder="1" applyAlignment="1" applyProtection="1">
      <alignment horizontal="center" vertical="center" shrinkToFit="1"/>
    </xf>
    <xf numFmtId="178" fontId="95" fillId="0" borderId="269" xfId="3" applyNumberFormat="1" applyFont="1" applyFill="1" applyBorder="1" applyAlignment="1" applyProtection="1">
      <alignment vertical="center" shrinkToFit="1"/>
    </xf>
    <xf numFmtId="176" fontId="94" fillId="0" borderId="270" xfId="0" applyNumberFormat="1" applyFont="1" applyFill="1" applyBorder="1" applyAlignment="1" applyProtection="1">
      <alignment horizontal="center" vertical="center" shrinkToFit="1"/>
    </xf>
    <xf numFmtId="38" fontId="134" fillId="0" borderId="268" xfId="2" applyFont="1" applyFill="1" applyBorder="1" applyAlignment="1" applyProtection="1">
      <alignment vertical="center" shrinkToFit="1"/>
    </xf>
    <xf numFmtId="176" fontId="94" fillId="0" borderId="250" xfId="0" applyNumberFormat="1" applyFont="1" applyFill="1" applyBorder="1" applyAlignment="1" applyProtection="1">
      <alignment horizontal="center" vertical="center" shrinkToFit="1"/>
    </xf>
    <xf numFmtId="180" fontId="129" fillId="0" borderId="26" xfId="3" applyNumberFormat="1" applyFont="1" applyFill="1" applyBorder="1" applyAlignment="1" applyProtection="1">
      <alignment horizontal="right" vertical="center" shrinkToFit="1"/>
    </xf>
    <xf numFmtId="181" fontId="94" fillId="0" borderId="27" xfId="0" applyNumberFormat="1" applyFont="1" applyFill="1" applyBorder="1" applyAlignment="1" applyProtection="1">
      <alignment horizontal="center" vertical="center" shrinkToFit="1"/>
    </xf>
    <xf numFmtId="176" fontId="90" fillId="0" borderId="45" xfId="0" applyNumberFormat="1" applyFont="1" applyFill="1" applyBorder="1" applyAlignment="1" applyProtection="1">
      <alignment vertical="center" shrinkToFit="1"/>
      <protection locked="0"/>
    </xf>
    <xf numFmtId="176" fontId="94" fillId="0" borderId="27" xfId="0" applyNumberFormat="1" applyFont="1" applyFill="1" applyBorder="1" applyAlignment="1" applyProtection="1">
      <alignment horizontal="center" vertical="center" shrinkToFit="1"/>
    </xf>
    <xf numFmtId="176" fontId="90" fillId="0" borderId="26" xfId="0" applyNumberFormat="1" applyFont="1" applyFill="1" applyBorder="1" applyAlignment="1" applyProtection="1">
      <alignment vertical="center" shrinkToFit="1"/>
      <protection locked="0"/>
    </xf>
    <xf numFmtId="176" fontId="90" fillId="0" borderId="52" xfId="0" applyNumberFormat="1" applyFont="1" applyFill="1" applyBorder="1" applyAlignment="1" applyProtection="1">
      <alignment vertical="center" shrinkToFit="1"/>
      <protection locked="0"/>
    </xf>
    <xf numFmtId="181" fontId="129" fillId="0" borderId="87" xfId="3" applyNumberFormat="1" applyFont="1" applyFill="1" applyBorder="1" applyAlignment="1" applyProtection="1">
      <alignment horizontal="right" vertical="center" shrinkToFit="1"/>
    </xf>
    <xf numFmtId="181" fontId="129" fillId="0" borderId="252" xfId="3" applyNumberFormat="1" applyFont="1" applyFill="1" applyBorder="1" applyAlignment="1" applyProtection="1">
      <alignment horizontal="right" vertical="center" shrinkToFit="1"/>
    </xf>
    <xf numFmtId="180" fontId="99" fillId="0" borderId="29" xfId="3" applyNumberFormat="1" applyFont="1" applyFill="1" applyBorder="1" applyAlignment="1" applyProtection="1">
      <alignment horizontal="right" vertical="center" shrinkToFit="1"/>
    </xf>
    <xf numFmtId="178" fontId="99" fillId="0" borderId="30" xfId="3" applyNumberFormat="1" applyFont="1" applyFill="1" applyBorder="1" applyAlignment="1" applyProtection="1">
      <alignment horizontal="center" vertical="center" shrinkToFit="1"/>
    </xf>
    <xf numFmtId="180" fontId="99" fillId="0" borderId="89" xfId="3" applyNumberFormat="1" applyFont="1" applyFill="1" applyBorder="1" applyAlignment="1" applyProtection="1">
      <alignment vertical="center" shrinkToFit="1"/>
    </xf>
    <xf numFmtId="176" fontId="94" fillId="0" borderId="90" xfId="0" applyNumberFormat="1" applyFont="1" applyFill="1" applyBorder="1" applyAlignment="1" applyProtection="1">
      <alignment horizontal="center" vertical="center" shrinkToFit="1"/>
    </xf>
    <xf numFmtId="0" fontId="95" fillId="0" borderId="0" xfId="0" applyFont="1" applyFill="1" applyAlignment="1" applyProtection="1"/>
    <xf numFmtId="0" fontId="126" fillId="0" borderId="0" xfId="0" applyFont="1" applyFill="1" applyBorder="1" applyAlignment="1" applyProtection="1">
      <alignment horizontal="left" vertical="center" wrapText="1"/>
    </xf>
    <xf numFmtId="0" fontId="92" fillId="0" borderId="0" xfId="0" applyFont="1" applyFill="1" applyAlignment="1" applyProtection="1"/>
    <xf numFmtId="0" fontId="129" fillId="0" borderId="12" xfId="0" applyFont="1" applyFill="1" applyBorder="1" applyAlignment="1" applyProtection="1">
      <alignment vertical="justify" wrapText="1"/>
    </xf>
    <xf numFmtId="0" fontId="129" fillId="0" borderId="0" xfId="0" applyFont="1" applyFill="1" applyBorder="1" applyAlignment="1" applyProtection="1">
      <alignment vertical="justify" wrapText="1"/>
    </xf>
    <xf numFmtId="0" fontId="87" fillId="7" borderId="156" xfId="0" applyFont="1" applyFill="1" applyBorder="1" applyAlignment="1" applyProtection="1">
      <alignment horizontal="center" vertical="center"/>
      <protection locked="0"/>
    </xf>
    <xf numFmtId="38" fontId="87" fillId="7" borderId="48" xfId="3" applyFont="1" applyFill="1" applyBorder="1" applyAlignment="1" applyProtection="1">
      <alignment horizontal="right" vertical="center"/>
      <protection locked="0"/>
    </xf>
    <xf numFmtId="0" fontId="87" fillId="7" borderId="157" xfId="0" applyFont="1" applyFill="1" applyBorder="1" applyAlignment="1" applyProtection="1">
      <alignment horizontal="center" vertical="center"/>
      <protection locked="0"/>
    </xf>
    <xf numFmtId="38" fontId="87" fillId="7" borderId="51" xfId="3" applyFont="1" applyFill="1" applyBorder="1" applyAlignment="1" applyProtection="1">
      <alignment horizontal="right" vertical="center"/>
      <protection locked="0"/>
    </xf>
    <xf numFmtId="38" fontId="92" fillId="0" borderId="0" xfId="3" applyFont="1" applyFill="1" applyBorder="1" applyAlignment="1" applyProtection="1">
      <alignment horizontal="center"/>
    </xf>
    <xf numFmtId="0" fontId="92" fillId="0" borderId="0" xfId="0" applyFont="1" applyFill="1" applyBorder="1" applyAlignment="1" applyProtection="1"/>
    <xf numFmtId="0" fontId="87" fillId="7" borderId="50" xfId="0" applyFont="1" applyFill="1" applyBorder="1" applyAlignment="1" applyProtection="1">
      <alignment horizontal="right" vertical="center"/>
      <protection locked="0"/>
    </xf>
    <xf numFmtId="0" fontId="87" fillId="7" borderId="155" xfId="0" applyFont="1" applyFill="1" applyBorder="1" applyAlignment="1" applyProtection="1">
      <alignment horizontal="center" vertical="center"/>
      <protection locked="0"/>
    </xf>
    <xf numFmtId="0" fontId="87" fillId="7" borderId="173" xfId="0" applyFont="1" applyFill="1" applyBorder="1" applyAlignment="1" applyProtection="1">
      <alignment horizontal="center" vertical="center"/>
      <protection locked="0"/>
    </xf>
    <xf numFmtId="6" fontId="126" fillId="0" borderId="0" xfId="6" applyFont="1" applyFill="1" applyBorder="1" applyAlignment="1" applyProtection="1">
      <alignment vertical="top" wrapText="1"/>
    </xf>
    <xf numFmtId="6" fontId="126" fillId="0" borderId="12" xfId="6" applyFont="1" applyFill="1" applyBorder="1" applyAlignment="1" applyProtection="1">
      <alignment vertical="center" wrapText="1"/>
    </xf>
    <xf numFmtId="0" fontId="92" fillId="0" borderId="13" xfId="0" applyFont="1" applyFill="1" applyBorder="1" applyAlignment="1" applyProtection="1"/>
    <xf numFmtId="0" fontId="126" fillId="0" borderId="0" xfId="0" applyFont="1" applyFill="1" applyAlignment="1" applyProtection="1">
      <alignment horizontal="left" vertical="center"/>
    </xf>
    <xf numFmtId="38" fontId="92" fillId="0" borderId="0" xfId="0" applyNumberFormat="1" applyFont="1" applyFill="1" applyBorder="1" applyAlignment="1" applyProtection="1"/>
    <xf numFmtId="0" fontId="126" fillId="0" borderId="0" xfId="0" applyFont="1" applyFill="1" applyBorder="1" applyAlignment="1" applyProtection="1">
      <alignment vertical="center"/>
    </xf>
    <xf numFmtId="49" fontId="100" fillId="0" borderId="13" xfId="0" applyNumberFormat="1" applyFont="1" applyBorder="1" applyAlignment="1">
      <alignment vertical="center"/>
    </xf>
    <xf numFmtId="49" fontId="100" fillId="0" borderId="0" xfId="0" applyNumberFormat="1" applyFont="1" applyBorder="1" applyAlignment="1">
      <alignment vertical="center"/>
    </xf>
    <xf numFmtId="0" fontId="100" fillId="0" borderId="0" xfId="0" applyFont="1" applyFill="1" applyBorder="1" applyAlignment="1">
      <alignment horizontal="center" vertical="center"/>
    </xf>
    <xf numFmtId="0" fontId="100" fillId="0" borderId="12" xfId="0" applyFont="1" applyFill="1" applyBorder="1" applyAlignment="1">
      <alignment horizontal="center" vertical="center"/>
    </xf>
    <xf numFmtId="178" fontId="78" fillId="0" borderId="17" xfId="0" applyNumberFormat="1" applyFont="1" applyBorder="1" applyAlignment="1">
      <alignment horizontal="center" vertical="center"/>
    </xf>
    <xf numFmtId="178" fontId="100" fillId="0" borderId="17" xfId="0" applyNumberFormat="1" applyFont="1" applyBorder="1" applyAlignment="1">
      <alignment horizontal="center" vertical="center"/>
    </xf>
    <xf numFmtId="49" fontId="100" fillId="0" borderId="12" xfId="0" applyNumberFormat="1" applyFont="1" applyBorder="1" applyAlignment="1">
      <alignment vertical="center"/>
    </xf>
    <xf numFmtId="49" fontId="100" fillId="0" borderId="17" xfId="0" applyNumberFormat="1" applyFont="1" applyBorder="1" applyAlignment="1">
      <alignment horizontal="center" vertical="center"/>
    </xf>
    <xf numFmtId="0" fontId="78" fillId="0" borderId="21" xfId="0" applyNumberFormat="1" applyFont="1" applyBorder="1" applyAlignment="1">
      <alignment horizontal="center" vertical="center"/>
    </xf>
    <xf numFmtId="0" fontId="100" fillId="0" borderId="12" xfId="0" applyNumberFormat="1" applyFont="1" applyBorder="1" applyAlignment="1">
      <alignment vertical="center"/>
    </xf>
    <xf numFmtId="49" fontId="100" fillId="0" borderId="15" xfId="0" applyNumberFormat="1" applyFont="1" applyBorder="1" applyAlignment="1">
      <alignment horizontal="center" vertical="center"/>
    </xf>
    <xf numFmtId="49" fontId="100" fillId="0" borderId="10" xfId="0" applyNumberFormat="1" applyFont="1" applyBorder="1" applyAlignment="1">
      <alignment horizontal="center" vertical="center"/>
    </xf>
    <xf numFmtId="0" fontId="100" fillId="0" borderId="10" xfId="0" applyNumberFormat="1" applyFont="1" applyBorder="1" applyAlignment="1">
      <alignment horizontal="center" vertical="center"/>
    </xf>
    <xf numFmtId="49" fontId="100" fillId="0" borderId="13" xfId="0" applyNumberFormat="1" applyFont="1" applyBorder="1" applyAlignment="1">
      <alignment horizontal="center" vertical="center"/>
    </xf>
    <xf numFmtId="49" fontId="100" fillId="0" borderId="0" xfId="0" applyNumberFormat="1" applyFont="1" applyBorder="1" applyAlignment="1">
      <alignment horizontal="center" vertical="center"/>
    </xf>
    <xf numFmtId="0" fontId="100" fillId="0" borderId="0" xfId="0" applyNumberFormat="1" applyFont="1" applyBorder="1" applyAlignment="1">
      <alignment horizontal="center" vertical="center"/>
    </xf>
    <xf numFmtId="0" fontId="100" fillId="0" borderId="0" xfId="0" applyFont="1" applyBorder="1" applyAlignment="1">
      <alignment vertical="center"/>
    </xf>
    <xf numFmtId="49" fontId="100" fillId="0" borderId="13" xfId="0" applyNumberFormat="1" applyFont="1" applyBorder="1">
      <alignment vertical="center"/>
    </xf>
    <xf numFmtId="0" fontId="100" fillId="0" borderId="0" xfId="0" applyFont="1" applyBorder="1">
      <alignment vertical="center"/>
    </xf>
    <xf numFmtId="0" fontId="99" fillId="0" borderId="0" xfId="0" applyFont="1" applyBorder="1">
      <alignment vertical="center"/>
    </xf>
    <xf numFmtId="0" fontId="100" fillId="0" borderId="0" xfId="0" applyNumberFormat="1" applyFont="1" applyBorder="1">
      <alignment vertical="center"/>
    </xf>
    <xf numFmtId="49" fontId="99" fillId="0" borderId="13" xfId="0" applyNumberFormat="1" applyFont="1" applyBorder="1">
      <alignment vertical="center"/>
    </xf>
    <xf numFmtId="0" fontId="136" fillId="0" borderId="0" xfId="0" applyFont="1" applyBorder="1">
      <alignment vertical="center"/>
    </xf>
    <xf numFmtId="0" fontId="100" fillId="0" borderId="68" xfId="0" applyFont="1" applyBorder="1" applyAlignment="1">
      <alignment horizontal="center" vertical="center"/>
    </xf>
    <xf numFmtId="0" fontId="136" fillId="0" borderId="0" xfId="0" applyFont="1" applyBorder="1" applyAlignment="1">
      <alignment vertical="center"/>
    </xf>
    <xf numFmtId="0" fontId="132" fillId="0" borderId="0" xfId="0" applyFont="1" applyBorder="1" applyAlignment="1"/>
    <xf numFmtId="0" fontId="100" fillId="0" borderId="10" xfId="0" applyFont="1" applyBorder="1" applyAlignment="1">
      <alignment vertical="center"/>
    </xf>
    <xf numFmtId="0" fontId="80" fillId="0" borderId="2" xfId="0" applyFont="1" applyBorder="1">
      <alignment vertical="center"/>
    </xf>
    <xf numFmtId="0" fontId="80" fillId="0" borderId="13" xfId="0" applyFont="1" applyBorder="1">
      <alignment vertical="center"/>
    </xf>
    <xf numFmtId="49" fontId="100" fillId="0" borderId="38" xfId="0" applyNumberFormat="1" applyFont="1" applyBorder="1" applyAlignment="1">
      <alignment vertical="center"/>
    </xf>
    <xf numFmtId="0" fontId="100" fillId="0" borderId="13" xfId="0" applyFont="1" applyBorder="1">
      <alignment vertical="center"/>
    </xf>
    <xf numFmtId="49" fontId="100" fillId="0" borderId="11" xfId="0" applyNumberFormat="1" applyFont="1" applyBorder="1">
      <alignment vertical="center"/>
    </xf>
    <xf numFmtId="0" fontId="100" fillId="0" borderId="2" xfId="0" applyFont="1" applyBorder="1">
      <alignment vertical="center"/>
    </xf>
    <xf numFmtId="49" fontId="100" fillId="0" borderId="0" xfId="0" applyNumberFormat="1" applyFont="1">
      <alignment vertical="center"/>
    </xf>
    <xf numFmtId="0" fontId="100" fillId="0" borderId="0" xfId="0" applyFont="1">
      <alignment vertical="center"/>
    </xf>
    <xf numFmtId="0" fontId="100" fillId="0" borderId="0" xfId="0" applyFont="1" applyBorder="1" applyAlignment="1">
      <alignment horizontal="center" vertical="center"/>
    </xf>
    <xf numFmtId="49" fontId="78" fillId="0" borderId="0" xfId="0" applyNumberFormat="1" applyFont="1" applyBorder="1" applyAlignment="1">
      <alignment horizontal="center" vertical="center"/>
    </xf>
    <xf numFmtId="0" fontId="100" fillId="0" borderId="12" xfId="0" applyFont="1" applyBorder="1" applyAlignment="1">
      <alignment horizontal="center" vertical="center"/>
    </xf>
    <xf numFmtId="0" fontId="100" fillId="0" borderId="12" xfId="0" applyNumberFormat="1" applyFont="1" applyBorder="1" applyAlignment="1">
      <alignment horizontal="center" vertical="center"/>
    </xf>
    <xf numFmtId="49" fontId="78" fillId="0" borderId="17" xfId="0" applyNumberFormat="1" applyFont="1" applyBorder="1" applyAlignment="1">
      <alignment horizontal="center" vertical="center"/>
    </xf>
    <xf numFmtId="49" fontId="100" fillId="0" borderId="14" xfId="0" applyNumberFormat="1" applyFont="1" applyBorder="1" applyAlignment="1">
      <alignment horizontal="center" vertical="center"/>
    </xf>
    <xf numFmtId="49" fontId="100" fillId="0" borderId="12" xfId="0" applyNumberFormat="1" applyFont="1" applyBorder="1" applyAlignment="1">
      <alignment horizontal="center" vertical="center"/>
    </xf>
    <xf numFmtId="0" fontId="100" fillId="0" borderId="12" xfId="0" applyFont="1" applyBorder="1">
      <alignment vertical="center"/>
    </xf>
    <xf numFmtId="0" fontId="100" fillId="0" borderId="12" xfId="0" applyFont="1" applyBorder="1" applyAlignment="1">
      <alignment vertical="center"/>
    </xf>
    <xf numFmtId="49" fontId="100" fillId="0" borderId="38" xfId="0" applyNumberFormat="1" applyFont="1" applyBorder="1">
      <alignment vertical="center"/>
    </xf>
    <xf numFmtId="0" fontId="100" fillId="0" borderId="3" xfId="0" applyFont="1" applyBorder="1">
      <alignment vertical="center"/>
    </xf>
    <xf numFmtId="49" fontId="119" fillId="0" borderId="13" xfId="0" applyNumberFormat="1" applyFont="1" applyBorder="1" applyAlignment="1">
      <alignment vertical="center"/>
    </xf>
    <xf numFmtId="49" fontId="119" fillId="0" borderId="0" xfId="0" applyNumberFormat="1" applyFont="1" applyBorder="1" applyAlignment="1">
      <alignment vertical="center"/>
    </xf>
    <xf numFmtId="0" fontId="119" fillId="0" borderId="0" xfId="0" applyFont="1" applyBorder="1" applyAlignment="1">
      <alignment horizontal="center" vertical="center"/>
    </xf>
    <xf numFmtId="0" fontId="119" fillId="0" borderId="12" xfId="0" applyFont="1" applyBorder="1" applyAlignment="1">
      <alignment horizontal="center" vertical="center"/>
    </xf>
    <xf numFmtId="49" fontId="119" fillId="0" borderId="17" xfId="0" applyNumberFormat="1" applyFont="1" applyBorder="1" applyAlignment="1">
      <alignment horizontal="center" vertical="center"/>
    </xf>
    <xf numFmtId="49" fontId="119" fillId="0" borderId="12" xfId="0" applyNumberFormat="1" applyFont="1" applyBorder="1" applyAlignment="1">
      <alignment vertical="center"/>
    </xf>
    <xf numFmtId="0" fontId="80" fillId="0" borderId="13" xfId="0" applyFont="1" applyFill="1" applyBorder="1">
      <alignment vertical="center"/>
    </xf>
    <xf numFmtId="0" fontId="80" fillId="0" borderId="0" xfId="0" applyFont="1" applyFill="1" applyBorder="1">
      <alignment vertical="center"/>
    </xf>
    <xf numFmtId="0" fontId="80" fillId="0" borderId="12" xfId="0" applyFont="1" applyFill="1" applyBorder="1">
      <alignment vertical="center"/>
    </xf>
    <xf numFmtId="49" fontId="138" fillId="0" borderId="68" xfId="0" applyNumberFormat="1" applyFont="1" applyFill="1" applyBorder="1" applyAlignment="1">
      <alignment wrapText="1"/>
    </xf>
    <xf numFmtId="49" fontId="119" fillId="0" borderId="0" xfId="0" applyNumberFormat="1" applyFont="1" applyFill="1" applyBorder="1" applyAlignment="1">
      <alignment wrapText="1"/>
    </xf>
    <xf numFmtId="49" fontId="119" fillId="0" borderId="13" xfId="0" applyNumberFormat="1" applyFont="1" applyFill="1" applyBorder="1" applyAlignment="1">
      <alignment vertical="center" wrapText="1"/>
    </xf>
    <xf numFmtId="49" fontId="138" fillId="0" borderId="2" xfId="0" applyNumberFormat="1" applyFont="1" applyFill="1" applyBorder="1" applyAlignment="1">
      <alignment wrapText="1"/>
    </xf>
    <xf numFmtId="49" fontId="119" fillId="0" borderId="2" xfId="0" applyNumberFormat="1" applyFont="1" applyFill="1" applyBorder="1" applyAlignment="1">
      <alignment vertical="center" wrapText="1"/>
    </xf>
    <xf numFmtId="49" fontId="119" fillId="0" borderId="38" xfId="0" applyNumberFormat="1" applyFont="1" applyBorder="1" applyAlignment="1"/>
    <xf numFmtId="49" fontId="119" fillId="0" borderId="15" xfId="0" applyNumberFormat="1" applyFont="1" applyFill="1" applyBorder="1" applyAlignment="1">
      <alignment vertical="center" wrapText="1"/>
    </xf>
    <xf numFmtId="49" fontId="119" fillId="0" borderId="10" xfId="0" applyNumberFormat="1" applyFont="1" applyFill="1" applyBorder="1" applyAlignment="1">
      <alignment vertical="center" wrapText="1"/>
    </xf>
    <xf numFmtId="49" fontId="119" fillId="0" borderId="12" xfId="0" applyNumberFormat="1" applyFont="1" applyBorder="1" applyAlignment="1"/>
    <xf numFmtId="49" fontId="119" fillId="0" borderId="2" xfId="0" applyNumberFormat="1" applyFont="1" applyBorder="1" applyAlignment="1">
      <alignment horizontal="center" vertical="center"/>
    </xf>
    <xf numFmtId="0" fontId="119" fillId="0" borderId="13" xfId="0" applyFont="1" applyBorder="1" applyAlignment="1">
      <alignment horizontal="center" vertical="center"/>
    </xf>
    <xf numFmtId="49" fontId="79" fillId="0" borderId="0" xfId="0" applyNumberFormat="1" applyFont="1" applyBorder="1" applyAlignment="1">
      <alignment horizontal="center" vertical="center"/>
    </xf>
    <xf numFmtId="0" fontId="89" fillId="0" borderId="0" xfId="0" applyFont="1" applyBorder="1" applyAlignment="1">
      <alignment vertical="center"/>
    </xf>
    <xf numFmtId="0" fontId="85" fillId="0" borderId="0" xfId="0" applyFont="1" applyBorder="1" applyAlignment="1">
      <alignment horizontal="left" vertical="center"/>
    </xf>
    <xf numFmtId="0" fontId="141" fillId="0" borderId="0" xfId="7" applyFont="1" applyBorder="1" applyAlignment="1">
      <alignment horizontal="center" vertical="center"/>
    </xf>
    <xf numFmtId="49" fontId="136" fillId="0" borderId="0" xfId="0" applyNumberFormat="1" applyFont="1" applyBorder="1" applyAlignment="1" applyProtection="1">
      <alignment vertical="center"/>
      <protection locked="0"/>
    </xf>
    <xf numFmtId="49" fontId="100" fillId="0" borderId="0" xfId="0" applyNumberFormat="1" applyFont="1" applyBorder="1" applyAlignment="1">
      <alignment horizontal="left" vertical="center"/>
    </xf>
    <xf numFmtId="49" fontId="78" fillId="0" borderId="0" xfId="0" applyNumberFormat="1" applyFont="1" applyBorder="1" applyAlignment="1" applyProtection="1">
      <alignment horizontal="center" vertical="center"/>
      <protection locked="0"/>
    </xf>
    <xf numFmtId="0" fontId="78" fillId="0" borderId="0" xfId="0" applyNumberFormat="1" applyFont="1" applyBorder="1" applyAlignment="1">
      <alignment vertical="center"/>
    </xf>
    <xf numFmtId="49" fontId="144" fillId="0" borderId="0" xfId="0" applyNumberFormat="1" applyFont="1" applyBorder="1" applyAlignment="1">
      <alignment vertical="center"/>
    </xf>
    <xf numFmtId="49" fontId="143" fillId="0" borderId="0" xfId="0" applyNumberFormat="1" applyFont="1" applyBorder="1" applyAlignment="1" applyProtection="1">
      <alignment horizontal="center" vertical="center"/>
      <protection locked="0"/>
    </xf>
    <xf numFmtId="0" fontId="143" fillId="0" borderId="0" xfId="0" applyNumberFormat="1" applyFont="1" applyBorder="1" applyAlignment="1" applyProtection="1">
      <alignment vertical="center"/>
      <protection locked="0"/>
    </xf>
    <xf numFmtId="0" fontId="100" fillId="0" borderId="0" xfId="0" applyNumberFormat="1" applyFont="1" applyBorder="1" applyAlignment="1">
      <alignment horizontal="right" vertical="center"/>
    </xf>
    <xf numFmtId="0" fontId="78" fillId="0" borderId="17" xfId="0" applyNumberFormat="1" applyFont="1" applyBorder="1" applyAlignment="1">
      <alignment horizontal="center" vertical="center"/>
    </xf>
    <xf numFmtId="0" fontId="78" fillId="0" borderId="0" xfId="0" applyNumberFormat="1" applyFont="1" applyBorder="1" applyAlignment="1">
      <alignment horizontal="center" vertical="center"/>
    </xf>
    <xf numFmtId="0" fontId="109" fillId="0" borderId="68" xfId="0" applyFont="1" applyBorder="1" applyAlignment="1" applyProtection="1">
      <alignment horizontal="center" vertical="center"/>
    </xf>
    <xf numFmtId="178" fontId="117" fillId="0" borderId="0" xfId="0" applyNumberFormat="1" applyFont="1" applyBorder="1" applyAlignment="1" applyProtection="1">
      <alignment horizontal="center" vertical="center"/>
    </xf>
    <xf numFmtId="0" fontId="103" fillId="0" borderId="68" xfId="0" applyFont="1" applyBorder="1" applyAlignment="1" applyProtection="1">
      <alignment horizontal="center" vertical="center"/>
    </xf>
    <xf numFmtId="0" fontId="88" fillId="7" borderId="68" xfId="0" applyFont="1" applyFill="1" applyBorder="1" applyAlignment="1" applyProtection="1">
      <alignment horizontal="center" vertical="center"/>
    </xf>
    <xf numFmtId="0" fontId="108" fillId="0" borderId="68" xfId="0" applyFont="1" applyFill="1" applyBorder="1" applyAlignment="1" applyProtection="1">
      <alignment horizontal="center" vertical="center"/>
    </xf>
    <xf numFmtId="0" fontId="109" fillId="4" borderId="3" xfId="0" applyNumberFormat="1" applyFont="1" applyFill="1" applyBorder="1" applyAlignment="1" applyProtection="1">
      <alignment horizontal="center" vertical="center" shrinkToFit="1"/>
      <protection locked="0"/>
    </xf>
    <xf numFmtId="0" fontId="80" fillId="0" borderId="78" xfId="0" applyFont="1" applyBorder="1" applyAlignment="1" applyProtection="1">
      <alignment horizontal="center" vertical="center" shrinkToFit="1"/>
    </xf>
    <xf numFmtId="0" fontId="109" fillId="0" borderId="39" xfId="0" applyFont="1" applyBorder="1" applyAlignment="1" applyProtection="1">
      <alignment horizontal="center" vertical="center" shrinkToFit="1"/>
    </xf>
    <xf numFmtId="0" fontId="80" fillId="0" borderId="60" xfId="0" applyFont="1" applyBorder="1" applyAlignment="1" applyProtection="1">
      <alignment horizontal="center" vertical="center" shrinkToFit="1"/>
    </xf>
    <xf numFmtId="0" fontId="109" fillId="0" borderId="21" xfId="0" applyFont="1" applyBorder="1" applyAlignment="1" applyProtection="1">
      <alignment horizontal="center" vertical="center" shrinkToFit="1"/>
    </xf>
    <xf numFmtId="0" fontId="80" fillId="0" borderId="80" xfId="0" applyFont="1" applyBorder="1" applyAlignment="1" applyProtection="1">
      <alignment horizontal="center" vertical="center" shrinkToFit="1"/>
    </xf>
    <xf numFmtId="0" fontId="109" fillId="0" borderId="86" xfId="0" applyFont="1" applyBorder="1" applyAlignment="1" applyProtection="1">
      <alignment horizontal="center" vertical="center" shrinkToFit="1"/>
    </xf>
    <xf numFmtId="0" fontId="80" fillId="0" borderId="17" xfId="0" applyFont="1" applyBorder="1" applyAlignment="1" applyProtection="1">
      <alignment horizontal="right" vertical="center" shrinkToFit="1"/>
    </xf>
    <xf numFmtId="0" fontId="80" fillId="0" borderId="68"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80" fillId="0" borderId="3" xfId="0" applyFont="1" applyBorder="1" applyProtection="1">
      <alignment vertical="center"/>
    </xf>
    <xf numFmtId="0" fontId="80" fillId="0" borderId="2" xfId="0" applyFont="1" applyBorder="1" applyAlignment="1">
      <alignment horizontal="center" vertical="center"/>
    </xf>
    <xf numFmtId="0" fontId="80" fillId="0" borderId="2" xfId="0" applyFont="1" applyBorder="1" applyAlignment="1" applyProtection="1">
      <alignment horizontal="center" vertical="center"/>
    </xf>
    <xf numFmtId="38" fontId="38" fillId="0" borderId="94" xfId="0" applyNumberFormat="1" applyFont="1" applyFill="1" applyBorder="1" applyAlignment="1" applyProtection="1"/>
    <xf numFmtId="6" fontId="38" fillId="0" borderId="0" xfId="4" applyFont="1" applyFill="1" applyBorder="1" applyAlignment="1" applyProtection="1"/>
    <xf numFmtId="6" fontId="134" fillId="11" borderId="234" xfId="4" applyFont="1" applyFill="1" applyBorder="1" applyAlignment="1" applyProtection="1">
      <alignment horizontal="center" vertical="center" shrinkToFit="1"/>
    </xf>
    <xf numFmtId="6" fontId="134" fillId="11" borderId="46" xfId="4" applyFont="1" applyFill="1" applyBorder="1" applyAlignment="1" applyProtection="1">
      <alignment horizontal="center" vertical="center" shrinkToFit="1"/>
    </xf>
    <xf numFmtId="6" fontId="134" fillId="0" borderId="56" xfId="4" applyFont="1" applyFill="1" applyBorder="1" applyAlignment="1" applyProtection="1">
      <alignment horizontal="right" vertical="center" shrinkToFit="1"/>
    </xf>
    <xf numFmtId="6" fontId="134" fillId="0" borderId="275" xfId="4" applyFont="1" applyFill="1" applyBorder="1" applyAlignment="1" applyProtection="1">
      <alignment horizontal="right" vertical="center" shrinkToFit="1"/>
    </xf>
    <xf numFmtId="0" fontId="152" fillId="0" borderId="0" xfId="0" applyFont="1" applyFill="1" applyBorder="1">
      <alignment vertical="center"/>
    </xf>
    <xf numFmtId="0" fontId="33" fillId="0" borderId="0" xfId="0" applyFont="1" applyFill="1" applyBorder="1" applyAlignment="1">
      <alignment horizontal="center" vertical="center"/>
    </xf>
    <xf numFmtId="0" fontId="153" fillId="0" borderId="0" xfId="0" applyFont="1" applyFill="1" applyBorder="1" applyAlignment="1">
      <alignment vertical="center"/>
    </xf>
    <xf numFmtId="0" fontId="149" fillId="0" borderId="0" xfId="0" applyFont="1" applyFill="1" applyBorder="1" applyAlignment="1">
      <alignment horizontal="center" vertical="center"/>
    </xf>
    <xf numFmtId="0" fontId="33" fillId="0" borderId="0" xfId="0" applyFont="1" applyFill="1" applyBorder="1">
      <alignment vertical="center"/>
    </xf>
    <xf numFmtId="0" fontId="33" fillId="0" borderId="0" xfId="0" applyFont="1" applyFill="1" applyBorder="1" applyAlignment="1">
      <alignment vertical="center"/>
    </xf>
    <xf numFmtId="0" fontId="154" fillId="0" borderId="0" xfId="0" applyFont="1" applyFill="1" applyBorder="1" applyAlignment="1">
      <alignment horizontal="center" vertical="center"/>
    </xf>
    <xf numFmtId="0" fontId="87" fillId="0" borderId="0" xfId="0" applyFont="1" applyBorder="1" applyAlignment="1">
      <alignment horizontal="center" vertical="center"/>
    </xf>
    <xf numFmtId="0" fontId="100" fillId="0" borderId="0" xfId="0" applyFont="1" applyBorder="1" applyAlignment="1">
      <alignment horizontal="center" vertical="center"/>
    </xf>
    <xf numFmtId="0" fontId="52" fillId="0" borderId="0" xfId="0" applyFont="1" applyFill="1" applyBorder="1" applyAlignment="1">
      <alignment horizontal="center" vertical="center"/>
    </xf>
    <xf numFmtId="0" fontId="52" fillId="0" borderId="0" xfId="0" applyFont="1" applyFill="1" applyBorder="1">
      <alignment vertical="center"/>
    </xf>
    <xf numFmtId="0" fontId="52" fillId="0" borderId="0" xfId="0" applyFont="1" applyBorder="1" applyAlignment="1">
      <alignment vertical="center" wrapText="1"/>
    </xf>
    <xf numFmtId="0" fontId="52" fillId="0" borderId="0" xfId="0" applyFont="1" applyBorder="1" applyAlignment="1">
      <alignment horizontal="right" vertical="center"/>
    </xf>
    <xf numFmtId="6" fontId="112" fillId="0" borderId="53" xfId="4" applyFont="1" applyBorder="1" applyAlignment="1" applyProtection="1">
      <alignment horizontal="center" vertical="center" shrinkToFit="1"/>
    </xf>
    <xf numFmtId="6" fontId="134" fillId="0" borderId="53" xfId="4" applyFont="1" applyBorder="1" applyAlignment="1" applyProtection="1">
      <alignment horizontal="center" vertical="center" shrinkToFit="1"/>
    </xf>
    <xf numFmtId="178" fontId="33" fillId="0" borderId="0" xfId="0" applyNumberFormat="1" applyFont="1" applyBorder="1" applyAlignment="1" applyProtection="1">
      <alignment horizontal="right" vertical="center"/>
    </xf>
    <xf numFmtId="178" fontId="103" fillId="0" borderId="2" xfId="0" applyNumberFormat="1" applyFont="1" applyBorder="1" applyAlignment="1" applyProtection="1">
      <alignment horizontal="center" vertical="center"/>
    </xf>
    <xf numFmtId="0" fontId="80" fillId="0" borderId="232" xfId="0" applyFont="1" applyBorder="1" applyProtection="1">
      <alignment vertical="center"/>
    </xf>
    <xf numFmtId="0" fontId="80" fillId="0" borderId="0" xfId="0" applyFont="1" applyBorder="1" applyProtection="1">
      <alignment vertical="center"/>
    </xf>
    <xf numFmtId="0" fontId="80" fillId="0" borderId="3" xfId="0" applyFont="1" applyBorder="1">
      <alignment vertical="center"/>
    </xf>
    <xf numFmtId="189" fontId="94" fillId="0" borderId="33" xfId="0" applyNumberFormat="1" applyFont="1" applyFill="1" applyBorder="1" applyAlignment="1" applyProtection="1">
      <alignment horizontal="center" vertical="center" shrinkToFit="1"/>
    </xf>
    <xf numFmtId="181" fontId="109" fillId="4" borderId="77" xfId="0" applyNumberFormat="1" applyFont="1" applyFill="1" applyBorder="1" applyAlignment="1" applyProtection="1">
      <alignment vertical="center" shrinkToFit="1"/>
      <protection locked="0"/>
    </xf>
    <xf numFmtId="0" fontId="79" fillId="0" borderId="0" xfId="0" applyNumberFormat="1" applyFont="1" applyBorder="1" applyAlignment="1" applyProtection="1">
      <alignment horizontal="center" vertical="center"/>
      <protection locked="0"/>
    </xf>
    <xf numFmtId="0" fontId="80" fillId="0" borderId="10" xfId="0" applyFont="1" applyBorder="1" applyAlignment="1" applyProtection="1">
      <alignment horizontal="center" vertical="center"/>
    </xf>
    <xf numFmtId="0" fontId="80" fillId="0" borderId="0" xfId="0" applyFont="1" applyBorder="1" applyAlignment="1" applyProtection="1">
      <alignment horizontal="center" vertical="center"/>
    </xf>
    <xf numFmtId="0" fontId="158" fillId="0" borderId="0" xfId="0" applyFont="1" applyAlignment="1" applyProtection="1">
      <alignment horizontal="center" vertical="center"/>
    </xf>
    <xf numFmtId="0" fontId="158" fillId="0" borderId="0" xfId="0" applyFont="1" applyAlignment="1" applyProtection="1">
      <alignment vertical="center"/>
    </xf>
    <xf numFmtId="49" fontId="158" fillId="0" borderId="0" xfId="0" applyNumberFormat="1" applyFont="1" applyAlignment="1" applyProtection="1">
      <alignment vertical="center"/>
    </xf>
    <xf numFmtId="0" fontId="85" fillId="0" borderId="0" xfId="0" applyFont="1" applyAlignment="1" applyProtection="1">
      <alignment vertical="center"/>
    </xf>
    <xf numFmtId="0" fontId="80" fillId="0" borderId="0" xfId="0" applyFont="1" applyAlignment="1">
      <alignment vertical="center"/>
    </xf>
    <xf numFmtId="0" fontId="96" fillId="0" borderId="0" xfId="0" applyFont="1" applyBorder="1" applyAlignment="1" applyProtection="1">
      <alignment horizontal="center" vertical="center"/>
    </xf>
    <xf numFmtId="0" fontId="110" fillId="0" borderId="0" xfId="0" applyNumberFormat="1" applyFont="1" applyBorder="1" applyAlignment="1" applyProtection="1">
      <alignment horizontal="center" vertical="center" shrinkToFit="1"/>
    </xf>
    <xf numFmtId="181" fontId="106" fillId="0" borderId="0" xfId="0" applyNumberFormat="1" applyFont="1" applyBorder="1" applyAlignment="1" applyProtection="1">
      <alignment horizontal="center" vertical="center" shrinkToFit="1"/>
    </xf>
    <xf numFmtId="181" fontId="106" fillId="0" borderId="10" xfId="0" applyNumberFormat="1" applyFont="1" applyBorder="1" applyAlignment="1" applyProtection="1">
      <alignment horizontal="center" vertical="center" shrinkToFit="1"/>
    </xf>
    <xf numFmtId="0" fontId="103" fillId="0" borderId="0" xfId="0" applyFont="1" applyBorder="1" applyAlignment="1" applyProtection="1">
      <alignment horizontal="center" vertical="center"/>
    </xf>
    <xf numFmtId="0" fontId="108" fillId="0" borderId="0" xfId="7" applyFont="1" applyBorder="1" applyProtection="1">
      <alignment vertical="center"/>
    </xf>
    <xf numFmtId="0" fontId="93" fillId="0" borderId="0" xfId="7" applyFont="1" applyBorder="1" applyProtection="1">
      <alignment vertical="center"/>
    </xf>
    <xf numFmtId="0" fontId="108" fillId="0" borderId="0" xfId="7" applyFont="1" applyProtection="1">
      <alignment vertical="center"/>
    </xf>
    <xf numFmtId="0" fontId="108" fillId="0" borderId="0" xfId="7" applyFont="1">
      <alignment vertical="center"/>
    </xf>
    <xf numFmtId="0" fontId="93" fillId="0" borderId="0" xfId="7" applyFont="1" applyProtection="1">
      <alignment vertical="center"/>
    </xf>
    <xf numFmtId="0" fontId="93" fillId="0" borderId="0" xfId="7" applyFont="1" applyBorder="1" applyAlignment="1" applyProtection="1">
      <alignment horizontal="right" vertical="center"/>
    </xf>
    <xf numFmtId="20" fontId="93" fillId="0" borderId="0" xfId="7" applyNumberFormat="1" applyFont="1" applyBorder="1" applyAlignment="1" applyProtection="1">
      <alignment vertical="center"/>
    </xf>
    <xf numFmtId="0" fontId="108" fillId="0" borderId="0" xfId="7" applyFont="1" applyBorder="1" applyAlignment="1">
      <alignment vertical="top" textRotation="255"/>
    </xf>
    <xf numFmtId="0" fontId="99" fillId="0" borderId="10" xfId="7" applyFont="1" applyFill="1" applyBorder="1" applyAlignment="1" applyProtection="1">
      <alignment vertical="top" wrapText="1"/>
      <protection locked="0"/>
    </xf>
    <xf numFmtId="0" fontId="169" fillId="0" borderId="15" xfId="7" applyFont="1" applyFill="1" applyBorder="1" applyAlignment="1" applyProtection="1">
      <alignment vertical="center" textRotation="255"/>
      <protection locked="0"/>
    </xf>
    <xf numFmtId="0" fontId="169" fillId="0" borderId="10" xfId="7" applyFont="1" applyFill="1" applyBorder="1" applyAlignment="1" applyProtection="1">
      <alignment vertical="center" textRotation="255"/>
      <protection locked="0"/>
    </xf>
    <xf numFmtId="0" fontId="169" fillId="0" borderId="15" xfId="7" applyFont="1" applyFill="1" applyBorder="1" applyAlignment="1" applyProtection="1">
      <alignment vertical="center" wrapText="1"/>
      <protection locked="0"/>
    </xf>
    <xf numFmtId="0" fontId="169" fillId="0" borderId="10" xfId="7" applyFont="1" applyFill="1" applyBorder="1" applyAlignment="1" applyProtection="1">
      <alignment vertical="center"/>
      <protection locked="0"/>
    </xf>
    <xf numFmtId="0" fontId="169" fillId="0" borderId="0" xfId="7" applyFont="1" applyFill="1" applyBorder="1" applyAlignment="1" applyProtection="1">
      <alignment vertical="center"/>
      <protection locked="0"/>
    </xf>
    <xf numFmtId="0" fontId="169" fillId="0" borderId="14" xfId="7" applyFont="1" applyFill="1" applyBorder="1" applyAlignment="1" applyProtection="1">
      <alignment vertical="center"/>
      <protection locked="0"/>
    </xf>
    <xf numFmtId="0" fontId="169" fillId="0" borderId="15" xfId="7" applyFont="1" applyFill="1" applyBorder="1" applyAlignment="1" applyProtection="1">
      <alignment vertical="center"/>
      <protection locked="0"/>
    </xf>
    <xf numFmtId="0" fontId="169" fillId="0" borderId="0" xfId="7" applyFont="1" applyFill="1" applyBorder="1" applyAlignment="1" applyProtection="1">
      <alignment vertical="center" textRotation="255"/>
      <protection locked="0"/>
    </xf>
    <xf numFmtId="0" fontId="169" fillId="0" borderId="12" xfId="7" applyFont="1" applyFill="1" applyBorder="1" applyAlignment="1" applyProtection="1">
      <alignment vertical="center" textRotation="255"/>
      <protection locked="0"/>
    </xf>
    <xf numFmtId="0" fontId="169" fillId="0" borderId="0" xfId="7" applyFont="1" applyFill="1" applyBorder="1" applyProtection="1">
      <alignment vertical="center"/>
    </xf>
    <xf numFmtId="0" fontId="99" fillId="0" borderId="0" xfId="7" applyFont="1" applyFill="1" applyBorder="1" applyAlignment="1" applyProtection="1">
      <alignment vertical="top" wrapText="1"/>
      <protection locked="0"/>
    </xf>
    <xf numFmtId="0" fontId="169" fillId="0" borderId="265" xfId="7" applyFont="1" applyFill="1" applyBorder="1" applyAlignment="1" applyProtection="1">
      <alignment vertical="center" textRotation="255"/>
      <protection locked="0"/>
    </xf>
    <xf numFmtId="0" fontId="169" fillId="0" borderId="265" xfId="7" applyFont="1" applyFill="1" applyBorder="1" applyAlignment="1" applyProtection="1">
      <alignment vertical="center"/>
      <protection locked="0"/>
    </xf>
    <xf numFmtId="0" fontId="108" fillId="0" borderId="0" xfId="7" applyFont="1" applyBorder="1" applyAlignment="1" applyProtection="1">
      <alignment vertical="center"/>
    </xf>
    <xf numFmtId="0" fontId="99" fillId="0" borderId="2" xfId="7" applyFont="1" applyFill="1" applyBorder="1" applyAlignment="1" applyProtection="1">
      <alignment vertical="top" wrapText="1"/>
      <protection locked="0"/>
    </xf>
    <xf numFmtId="0" fontId="169" fillId="0" borderId="2" xfId="7" applyFont="1" applyFill="1" applyBorder="1" applyAlignment="1" applyProtection="1">
      <alignment vertical="center" textRotation="255"/>
      <protection locked="0"/>
    </xf>
    <xf numFmtId="0" fontId="169" fillId="0" borderId="264" xfId="7" applyFont="1" applyFill="1" applyBorder="1" applyAlignment="1" applyProtection="1">
      <alignment vertical="center" textRotation="255"/>
      <protection locked="0"/>
    </xf>
    <xf numFmtId="0" fontId="169" fillId="0" borderId="2" xfId="7" applyFont="1" applyFill="1" applyBorder="1" applyAlignment="1" applyProtection="1">
      <alignment vertical="center"/>
      <protection locked="0"/>
    </xf>
    <xf numFmtId="0" fontId="169" fillId="0" borderId="264" xfId="7" applyFont="1" applyFill="1" applyBorder="1" applyAlignment="1" applyProtection="1">
      <alignment vertical="center"/>
      <protection locked="0"/>
    </xf>
    <xf numFmtId="0" fontId="169" fillId="0" borderId="3" xfId="7" applyFont="1" applyFill="1" applyBorder="1" applyAlignment="1" applyProtection="1">
      <alignment vertical="center" textRotation="255"/>
      <protection locked="0"/>
    </xf>
    <xf numFmtId="0" fontId="169" fillId="0" borderId="0" xfId="7" applyFont="1" applyBorder="1" applyAlignment="1" applyProtection="1">
      <alignment vertical="center"/>
    </xf>
    <xf numFmtId="0" fontId="169" fillId="0" borderId="10" xfId="7" applyFont="1" applyFill="1" applyBorder="1" applyProtection="1">
      <alignment vertical="center"/>
      <protection locked="0"/>
    </xf>
    <xf numFmtId="0" fontId="169" fillId="0" borderId="266" xfId="7" applyFont="1" applyFill="1" applyBorder="1" applyProtection="1">
      <alignment vertical="center"/>
      <protection locked="0"/>
    </xf>
    <xf numFmtId="0" fontId="169" fillId="0" borderId="10" xfId="7" applyFont="1" applyFill="1" applyBorder="1" applyAlignment="1" applyProtection="1">
      <alignment vertical="center" wrapText="1"/>
      <protection locked="0"/>
    </xf>
    <xf numFmtId="0" fontId="169" fillId="0" borderId="266" xfId="7" applyFont="1" applyFill="1" applyBorder="1" applyAlignment="1" applyProtection="1">
      <alignment vertical="center"/>
      <protection locked="0"/>
    </xf>
    <xf numFmtId="0" fontId="169" fillId="0" borderId="14" xfId="7" applyFont="1" applyFill="1" applyBorder="1" applyProtection="1">
      <alignment vertical="center"/>
      <protection locked="0"/>
    </xf>
    <xf numFmtId="0" fontId="169" fillId="0" borderId="0" xfId="7" applyFont="1" applyFill="1" applyBorder="1" applyProtection="1">
      <alignment vertical="center"/>
      <protection locked="0"/>
    </xf>
    <xf numFmtId="0" fontId="169" fillId="0" borderId="265" xfId="7" applyFont="1" applyFill="1" applyBorder="1" applyProtection="1">
      <alignment vertical="center"/>
      <protection locked="0"/>
    </xf>
    <xf numFmtId="0" fontId="169" fillId="0" borderId="265" xfId="7" applyFont="1" applyBorder="1" applyAlignment="1" applyProtection="1">
      <alignment vertical="center"/>
      <protection locked="0"/>
    </xf>
    <xf numFmtId="0" fontId="169" fillId="0" borderId="0" xfId="7" applyFont="1" applyBorder="1" applyAlignment="1" applyProtection="1">
      <alignment vertical="center"/>
      <protection locked="0"/>
    </xf>
    <xf numFmtId="0" fontId="169" fillId="0" borderId="2" xfId="7" applyFont="1" applyBorder="1" applyAlignment="1" applyProtection="1">
      <alignment vertical="center"/>
      <protection locked="0"/>
    </xf>
    <xf numFmtId="0" fontId="169" fillId="0" borderId="264" xfId="7" applyFont="1" applyBorder="1" applyAlignment="1" applyProtection="1">
      <alignment vertical="center"/>
      <protection locked="0"/>
    </xf>
    <xf numFmtId="0" fontId="169" fillId="0" borderId="13" xfId="7" applyFont="1" applyBorder="1" applyAlignment="1" applyProtection="1">
      <alignment vertical="center" textRotation="255" wrapText="1"/>
      <protection locked="0"/>
    </xf>
    <xf numFmtId="0" fontId="169" fillId="0" borderId="0" xfId="7" applyFont="1" applyBorder="1" applyAlignment="1" applyProtection="1">
      <alignment vertical="center" textRotation="255" wrapText="1"/>
      <protection locked="0"/>
    </xf>
    <xf numFmtId="0" fontId="169" fillId="0" borderId="0" xfId="7" applyFont="1" applyFill="1" applyBorder="1" applyAlignment="1" applyProtection="1">
      <alignment vertical="center" textRotation="255" wrapText="1"/>
      <protection locked="0"/>
    </xf>
    <xf numFmtId="0" fontId="169" fillId="0" borderId="0" xfId="7" applyFont="1" applyFill="1" applyBorder="1" applyAlignment="1" applyProtection="1">
      <alignment vertical="center" wrapText="1"/>
      <protection locked="0"/>
    </xf>
    <xf numFmtId="0" fontId="169" fillId="0" borderId="11" xfId="7" applyFont="1" applyBorder="1" applyAlignment="1" applyProtection="1">
      <alignment vertical="center" textRotation="255" wrapText="1"/>
      <protection locked="0"/>
    </xf>
    <xf numFmtId="0" fontId="169" fillId="0" borderId="2" xfId="7" applyFont="1" applyBorder="1" applyAlignment="1" applyProtection="1">
      <alignment vertical="center" textRotation="255" wrapText="1"/>
      <protection locked="0"/>
    </xf>
    <xf numFmtId="0" fontId="169" fillId="0" borderId="3" xfId="7" applyFont="1" applyBorder="1" applyAlignment="1" applyProtection="1">
      <alignment vertical="center"/>
      <protection locked="0"/>
    </xf>
    <xf numFmtId="0" fontId="169" fillId="0" borderId="15" xfId="7" applyFont="1" applyBorder="1" applyAlignment="1" applyProtection="1">
      <alignment vertical="center" textRotation="255" wrapText="1"/>
      <protection locked="0"/>
    </xf>
    <xf numFmtId="0" fontId="169" fillId="0" borderId="10" xfId="7" applyFont="1" applyBorder="1" applyAlignment="1" applyProtection="1">
      <alignment vertical="center" textRotation="255" wrapText="1"/>
      <protection locked="0"/>
    </xf>
    <xf numFmtId="0" fontId="169" fillId="0" borderId="266" xfId="7" applyFont="1" applyBorder="1" applyAlignment="1" applyProtection="1">
      <alignment vertical="center"/>
      <protection locked="0"/>
    </xf>
    <xf numFmtId="0" fontId="169" fillId="0" borderId="10" xfId="7" applyFont="1" applyBorder="1" applyAlignment="1" applyProtection="1">
      <alignment vertical="center"/>
      <protection locked="0"/>
    </xf>
    <xf numFmtId="0" fontId="169" fillId="0" borderId="266" xfId="7" applyFont="1" applyFill="1" applyBorder="1" applyAlignment="1" applyProtection="1">
      <alignment vertical="center" textRotation="255"/>
      <protection locked="0"/>
    </xf>
    <xf numFmtId="0" fontId="169" fillId="0" borderId="279" xfId="7" applyFont="1" applyBorder="1" applyAlignment="1" applyProtection="1">
      <alignment vertical="center"/>
      <protection locked="0"/>
    </xf>
    <xf numFmtId="0" fontId="169" fillId="0" borderId="279" xfId="7" applyFont="1" applyFill="1" applyBorder="1" applyProtection="1">
      <alignment vertical="center"/>
      <protection locked="0"/>
    </xf>
    <xf numFmtId="0" fontId="169" fillId="0" borderId="11" xfId="7" applyFont="1" applyBorder="1" applyAlignment="1" applyProtection="1">
      <alignment vertical="center"/>
      <protection locked="0"/>
    </xf>
    <xf numFmtId="0" fontId="169" fillId="0" borderId="11" xfId="7" applyFont="1" applyFill="1" applyBorder="1" applyAlignment="1" applyProtection="1">
      <alignment vertical="center"/>
      <protection locked="0"/>
    </xf>
    <xf numFmtId="0" fontId="169" fillId="0" borderId="11" xfId="7" applyFont="1" applyFill="1" applyBorder="1" applyAlignment="1" applyProtection="1">
      <alignment vertical="center" textRotation="255"/>
      <protection locked="0"/>
    </xf>
    <xf numFmtId="0" fontId="108" fillId="0" borderId="0" xfId="7" applyFont="1" applyBorder="1" applyAlignment="1" applyProtection="1">
      <alignment vertical="center" wrapText="1"/>
    </xf>
    <xf numFmtId="0" fontId="108" fillId="0" borderId="0" xfId="7" applyFont="1" applyBorder="1" applyAlignment="1">
      <alignment vertical="center"/>
    </xf>
    <xf numFmtId="0" fontId="80" fillId="0" borderId="0" xfId="0" applyFont="1" applyBorder="1" applyAlignment="1" applyProtection="1">
      <alignment horizontal="center" vertical="center"/>
    </xf>
    <xf numFmtId="0" fontId="80" fillId="0" borderId="0" xfId="0" applyFont="1" applyBorder="1" applyAlignment="1" applyProtection="1">
      <alignment horizontal="left" vertical="center" wrapText="1"/>
    </xf>
    <xf numFmtId="0" fontId="80" fillId="0" borderId="0" xfId="0" applyFont="1" applyBorder="1" applyAlignment="1">
      <alignment horizontal="center" vertical="center"/>
    </xf>
    <xf numFmtId="0" fontId="80" fillId="0" borderId="0" xfId="0" applyFont="1" applyBorder="1" applyAlignment="1" applyProtection="1">
      <alignment horizontal="center" vertical="center" wrapText="1"/>
    </xf>
    <xf numFmtId="0" fontId="80" fillId="0" borderId="0" xfId="0" applyFont="1" applyBorder="1" applyAlignment="1">
      <alignment horizontal="center" vertical="center" wrapText="1"/>
    </xf>
    <xf numFmtId="38" fontId="134" fillId="11" borderId="2" xfId="2" applyFont="1" applyFill="1" applyBorder="1" applyAlignment="1" applyProtection="1">
      <alignment vertical="center" shrinkToFit="1"/>
    </xf>
    <xf numFmtId="38" fontId="134" fillId="11" borderId="3" xfId="2" applyFont="1" applyFill="1" applyBorder="1" applyAlignment="1" applyProtection="1">
      <alignment vertical="center" shrinkToFit="1"/>
    </xf>
    <xf numFmtId="0" fontId="80" fillId="0" borderId="0" xfId="0" applyFont="1" applyBorder="1" applyAlignment="1" applyProtection="1">
      <alignment horizontal="center" vertical="center" textRotation="255"/>
    </xf>
    <xf numFmtId="0" fontId="80" fillId="0" borderId="0" xfId="0" applyFont="1" applyBorder="1" applyAlignment="1">
      <alignment horizontal="center" vertical="center" textRotation="255"/>
    </xf>
    <xf numFmtId="38" fontId="112" fillId="0" borderId="64" xfId="2" applyFont="1" applyBorder="1" applyAlignment="1" applyProtection="1">
      <alignment vertical="center" shrinkToFit="1"/>
    </xf>
    <xf numFmtId="38" fontId="112" fillId="0" borderId="63" xfId="2" applyFont="1" applyBorder="1" applyAlignment="1" applyProtection="1">
      <alignment vertical="center" shrinkToFit="1"/>
    </xf>
    <xf numFmtId="38" fontId="112" fillId="0" borderId="267" xfId="2" applyFont="1" applyBorder="1" applyAlignment="1" applyProtection="1">
      <alignment vertical="center" shrinkToFit="1"/>
    </xf>
    <xf numFmtId="38" fontId="112" fillId="0" borderId="65" xfId="2" applyFont="1" applyBorder="1" applyAlignment="1" applyProtection="1">
      <alignment vertical="center" shrinkToFit="1"/>
    </xf>
    <xf numFmtId="181" fontId="106" fillId="0" borderId="0" xfId="0" applyNumberFormat="1" applyFont="1" applyBorder="1" applyAlignment="1" applyProtection="1">
      <alignment horizontal="center" vertical="center" shrinkToFit="1"/>
    </xf>
    <xf numFmtId="0" fontId="80" fillId="0" borderId="0" xfId="0" applyFont="1" applyBorder="1" applyAlignment="1" applyProtection="1">
      <alignment horizontal="center" vertical="center"/>
    </xf>
    <xf numFmtId="0" fontId="80" fillId="0" borderId="0" xfId="0" applyFont="1" applyBorder="1" applyProtection="1">
      <alignment vertical="center"/>
    </xf>
    <xf numFmtId="0" fontId="96" fillId="0" borderId="0" xfId="0" applyFont="1" applyBorder="1" applyAlignment="1" applyProtection="1">
      <alignment horizontal="center" vertical="center"/>
    </xf>
    <xf numFmtId="0" fontId="110" fillId="0" borderId="0" xfId="0" applyNumberFormat="1" applyFont="1" applyBorder="1" applyAlignment="1" applyProtection="1">
      <alignment horizontal="center" vertical="center" shrinkToFit="1"/>
    </xf>
    <xf numFmtId="0" fontId="169" fillId="0" borderId="0" xfId="7" applyFont="1" applyFill="1" applyBorder="1" applyAlignment="1" applyProtection="1">
      <alignment vertical="center" textRotation="255"/>
      <protection locked="0"/>
    </xf>
    <xf numFmtId="0" fontId="169" fillId="0" borderId="12" xfId="7" applyFont="1" applyFill="1" applyBorder="1" applyAlignment="1" applyProtection="1">
      <alignment vertical="center" textRotation="255"/>
      <protection locked="0"/>
    </xf>
    <xf numFmtId="0" fontId="169" fillId="0" borderId="11" xfId="7" applyFont="1" applyFill="1" applyBorder="1" applyAlignment="1" applyProtection="1">
      <alignment vertical="center" textRotation="255"/>
      <protection locked="0"/>
    </xf>
    <xf numFmtId="0" fontId="169" fillId="0" borderId="2" xfId="7" applyFont="1" applyFill="1" applyBorder="1" applyAlignment="1" applyProtection="1">
      <alignment vertical="center" textRotation="255"/>
      <protection locked="0"/>
    </xf>
    <xf numFmtId="0" fontId="169" fillId="0" borderId="3" xfId="7" applyFont="1" applyFill="1" applyBorder="1" applyAlignment="1" applyProtection="1">
      <alignment vertical="center" textRotation="255"/>
      <protection locked="0"/>
    </xf>
    <xf numFmtId="0" fontId="80" fillId="0" borderId="10" xfId="0" applyFont="1" applyBorder="1" applyAlignment="1" applyProtection="1">
      <alignment horizontal="center" vertical="center"/>
    </xf>
    <xf numFmtId="0" fontId="169" fillId="0" borderId="15" xfId="7" applyFont="1" applyFill="1" applyBorder="1" applyAlignment="1" applyProtection="1">
      <alignment vertical="center" textRotation="255"/>
      <protection locked="0"/>
    </xf>
    <xf numFmtId="0" fontId="169" fillId="0" borderId="10" xfId="7" applyFont="1" applyFill="1" applyBorder="1" applyAlignment="1" applyProtection="1">
      <alignment vertical="center" textRotation="255"/>
      <protection locked="0"/>
    </xf>
    <xf numFmtId="0" fontId="169" fillId="0" borderId="0" xfId="7" applyFont="1" applyFill="1" applyBorder="1" applyAlignment="1" applyProtection="1">
      <alignment vertical="center" textRotation="255"/>
      <protection locked="0"/>
    </xf>
    <xf numFmtId="0" fontId="169" fillId="0" borderId="12" xfId="7" applyFont="1" applyFill="1" applyBorder="1" applyAlignment="1" applyProtection="1">
      <alignment vertical="center" textRotation="255"/>
      <protection locked="0"/>
    </xf>
    <xf numFmtId="0" fontId="169" fillId="0" borderId="11" xfId="7" applyFont="1" applyFill="1" applyBorder="1" applyAlignment="1" applyProtection="1">
      <alignment vertical="center" textRotation="255"/>
      <protection locked="0"/>
    </xf>
    <xf numFmtId="0" fontId="169" fillId="0" borderId="2" xfId="7" applyFont="1" applyFill="1" applyBorder="1" applyAlignment="1" applyProtection="1">
      <alignment vertical="center" textRotation="255"/>
      <protection locked="0"/>
    </xf>
    <xf numFmtId="0" fontId="169" fillId="0" borderId="3" xfId="7" applyFont="1" applyFill="1" applyBorder="1" applyAlignment="1" applyProtection="1">
      <alignment vertical="center" textRotation="255"/>
      <protection locked="0"/>
    </xf>
    <xf numFmtId="0" fontId="80" fillId="0" borderId="0" xfId="0" applyFont="1" applyBorder="1" applyAlignment="1" applyProtection="1">
      <alignment horizontal="center" vertical="center"/>
    </xf>
    <xf numFmtId="181" fontId="106" fillId="0" borderId="0" xfId="0" applyNumberFormat="1" applyFont="1" applyBorder="1" applyAlignment="1" applyProtection="1">
      <alignment horizontal="center" vertical="center" shrinkToFit="1"/>
    </xf>
    <xf numFmtId="0" fontId="80" fillId="0" borderId="0" xfId="0" applyFont="1" applyBorder="1" applyProtection="1">
      <alignment vertical="center"/>
    </xf>
    <xf numFmtId="0" fontId="96" fillId="0" borderId="0" xfId="0" applyFont="1" applyBorder="1" applyAlignment="1" applyProtection="1">
      <alignment horizontal="center" vertical="center"/>
    </xf>
    <xf numFmtId="0" fontId="110" fillId="0" borderId="0" xfId="0" applyNumberFormat="1" applyFont="1" applyBorder="1" applyAlignment="1" applyProtection="1">
      <alignment horizontal="center" vertical="center" shrinkToFit="1"/>
    </xf>
    <xf numFmtId="0" fontId="80" fillId="0" borderId="10" xfId="0" applyFont="1" applyBorder="1" applyAlignment="1" applyProtection="1">
      <alignment horizontal="center" vertical="center"/>
    </xf>
    <xf numFmtId="0" fontId="33" fillId="0" borderId="0" xfId="0" applyFont="1" applyBorder="1" applyAlignment="1" applyProtection="1">
      <alignment vertical="center"/>
    </xf>
    <xf numFmtId="178" fontId="33" fillId="0" borderId="0" xfId="0" applyNumberFormat="1" applyFont="1" applyBorder="1" applyAlignment="1" applyProtection="1">
      <alignment vertical="center"/>
    </xf>
    <xf numFmtId="0" fontId="102" fillId="0" borderId="0" xfId="0" applyFont="1">
      <alignment vertical="center"/>
    </xf>
    <xf numFmtId="0" fontId="78" fillId="0" borderId="0" xfId="0" applyFont="1" applyFill="1" applyBorder="1" applyAlignment="1" applyProtection="1">
      <alignment horizontal="center" vertical="center"/>
      <protection locked="0"/>
    </xf>
    <xf numFmtId="0" fontId="116" fillId="20" borderId="23" xfId="0" applyFont="1" applyFill="1" applyBorder="1" applyAlignment="1" applyProtection="1">
      <alignment horizontal="center" vertical="center"/>
      <protection locked="0"/>
    </xf>
    <xf numFmtId="0" fontId="116" fillId="20" borderId="22" xfId="0" applyFont="1" applyFill="1" applyBorder="1" applyAlignment="1" applyProtection="1">
      <alignment horizontal="center" vertical="center"/>
      <protection locked="0"/>
    </xf>
    <xf numFmtId="178" fontId="78" fillId="0" borderId="17" xfId="0" applyNumberFormat="1" applyFont="1" applyBorder="1" applyAlignment="1">
      <alignment horizontal="center" vertical="center" shrinkToFit="1"/>
    </xf>
    <xf numFmtId="178" fontId="78" fillId="0" borderId="0" xfId="0" applyNumberFormat="1" applyFont="1" applyFill="1" applyBorder="1" applyAlignment="1" applyProtection="1">
      <alignment horizontal="center" vertical="center" shrinkToFit="1"/>
      <protection locked="0"/>
    </xf>
    <xf numFmtId="49" fontId="158" fillId="0" borderId="0" xfId="0" applyNumberFormat="1" applyFont="1" applyAlignment="1" applyProtection="1">
      <alignment horizontal="left" vertical="center"/>
    </xf>
    <xf numFmtId="49" fontId="158" fillId="0" borderId="0" xfId="0" applyNumberFormat="1" applyFont="1" applyAlignment="1" applyProtection="1">
      <alignment horizontal="center" vertical="center"/>
    </xf>
    <xf numFmtId="0" fontId="80" fillId="0" borderId="0" xfId="0" applyFont="1">
      <alignment vertical="center"/>
    </xf>
    <xf numFmtId="0" fontId="80" fillId="0" borderId="0" xfId="0" applyFont="1" applyAlignment="1">
      <alignment horizontal="left" vertical="center"/>
    </xf>
    <xf numFmtId="0" fontId="47" fillId="0" borderId="0" xfId="0" applyFont="1" applyBorder="1" applyAlignment="1" applyProtection="1">
      <alignment vertical="center"/>
    </xf>
    <xf numFmtId="0" fontId="126" fillId="0" borderId="0" xfId="0" applyFont="1" applyFill="1" applyBorder="1" applyAlignment="1" applyProtection="1">
      <alignment horizontal="left" vertical="center" wrapText="1"/>
    </xf>
    <xf numFmtId="178" fontId="99" fillId="0" borderId="60" xfId="0" applyNumberFormat="1" applyFont="1" applyFill="1" applyBorder="1" applyAlignment="1" applyProtection="1">
      <alignment horizontal="center" vertical="center" wrapText="1" shrinkToFit="1"/>
    </xf>
    <xf numFmtId="178" fontId="99" fillId="0" borderId="64" xfId="0" applyNumberFormat="1" applyFont="1" applyFill="1" applyBorder="1" applyAlignment="1" applyProtection="1">
      <alignment horizontal="center" vertical="center" shrinkToFit="1"/>
    </xf>
    <xf numFmtId="178" fontId="126" fillId="0" borderId="35" xfId="0" applyNumberFormat="1" applyFont="1" applyFill="1" applyBorder="1" applyAlignment="1" applyProtection="1">
      <alignment horizontal="center" vertical="center"/>
    </xf>
    <xf numFmtId="180" fontId="90" fillId="0" borderId="109" xfId="0" applyNumberFormat="1" applyFont="1" applyFill="1" applyBorder="1" applyAlignment="1" applyProtection="1">
      <alignment horizontal="center" vertical="center" shrinkToFit="1"/>
      <protection locked="0"/>
    </xf>
    <xf numFmtId="0" fontId="108" fillId="0" borderId="21" xfId="0" applyFont="1" applyFill="1" applyBorder="1" applyAlignment="1" applyProtection="1">
      <alignment horizontal="center" vertical="center" wrapText="1"/>
    </xf>
    <xf numFmtId="0" fontId="108" fillId="0" borderId="60" xfId="0" applyFont="1" applyFill="1" applyBorder="1" applyAlignment="1" applyProtection="1">
      <alignment horizontal="center" vertical="center" wrapText="1" shrinkToFit="1"/>
    </xf>
    <xf numFmtId="0" fontId="108" fillId="0" borderId="34" xfId="0" applyFont="1" applyFill="1" applyBorder="1" applyAlignment="1" applyProtection="1">
      <alignment horizontal="center" vertical="center"/>
    </xf>
    <xf numFmtId="180" fontId="90" fillId="0" borderId="41" xfId="0" applyNumberFormat="1" applyFont="1" applyFill="1" applyBorder="1" applyAlignment="1" applyProtection="1">
      <alignment horizontal="center" vertical="center" shrinkToFit="1"/>
      <protection locked="0"/>
    </xf>
    <xf numFmtId="180" fontId="90" fillId="0" borderId="44" xfId="0" applyNumberFormat="1" applyFont="1" applyFill="1" applyBorder="1" applyAlignment="1" applyProtection="1">
      <alignment horizontal="center" vertical="center" shrinkToFit="1"/>
      <protection locked="0"/>
    </xf>
    <xf numFmtId="180" fontId="90" fillId="0" borderId="110" xfId="0" applyNumberFormat="1" applyFont="1" applyFill="1" applyBorder="1" applyAlignment="1" applyProtection="1">
      <alignment horizontal="center" vertical="center" shrinkToFit="1"/>
      <protection locked="0"/>
    </xf>
    <xf numFmtId="38" fontId="134" fillId="11" borderId="2" xfId="2" applyFont="1" applyFill="1" applyBorder="1" applyAlignment="1" applyProtection="1">
      <alignment vertical="center" shrinkToFit="1"/>
    </xf>
    <xf numFmtId="38" fontId="134" fillId="11" borderId="3" xfId="2" applyFont="1" applyFill="1" applyBorder="1" applyAlignment="1" applyProtection="1">
      <alignment vertical="center" shrinkToFit="1"/>
    </xf>
    <xf numFmtId="38" fontId="134" fillId="0" borderId="13" xfId="2" applyFont="1" applyFill="1" applyBorder="1" applyAlignment="1" applyProtection="1">
      <alignment horizontal="right" vertical="center" shrinkToFit="1"/>
    </xf>
    <xf numFmtId="0" fontId="126" fillId="0" borderId="0" xfId="0" applyFont="1" applyFill="1" applyAlignment="1" applyProtection="1">
      <alignment horizontal="left" vertical="center"/>
    </xf>
    <xf numFmtId="179" fontId="95" fillId="0" borderId="322" xfId="3" applyNumberFormat="1" applyFont="1" applyFill="1" applyBorder="1" applyAlignment="1" applyProtection="1">
      <alignment horizontal="right" vertical="center" shrinkToFit="1"/>
    </xf>
    <xf numFmtId="189" fontId="94" fillId="0" borderId="323" xfId="0" applyNumberFormat="1" applyFont="1" applyFill="1" applyBorder="1" applyAlignment="1" applyProtection="1">
      <alignment horizontal="center" vertical="center" shrinkToFit="1"/>
    </xf>
    <xf numFmtId="0" fontId="94" fillId="0" borderId="227" xfId="0" applyFont="1" applyFill="1" applyBorder="1" applyAlignment="1" applyProtection="1">
      <alignment horizontal="center" vertical="center"/>
      <protection locked="0"/>
    </xf>
    <xf numFmtId="189" fontId="94" fillId="0" borderId="328" xfId="0" applyNumberFormat="1" applyFont="1" applyFill="1" applyBorder="1" applyAlignment="1" applyProtection="1">
      <alignment horizontal="center" vertical="center" shrinkToFit="1"/>
    </xf>
    <xf numFmtId="180" fontId="90" fillId="0" borderId="330" xfId="0" applyNumberFormat="1" applyFont="1" applyFill="1" applyBorder="1" applyAlignment="1" applyProtection="1">
      <alignment horizontal="center" vertical="center" shrinkToFit="1"/>
      <protection locked="0"/>
    </xf>
    <xf numFmtId="179" fontId="95" fillId="0" borderId="330" xfId="3" applyNumberFormat="1" applyFont="1" applyFill="1" applyBorder="1" applyAlignment="1" applyProtection="1">
      <alignment horizontal="right" vertical="center" shrinkToFit="1"/>
    </xf>
    <xf numFmtId="179" fontId="95" fillId="0" borderId="334" xfId="3" applyNumberFormat="1" applyFont="1" applyFill="1" applyBorder="1" applyAlignment="1" applyProtection="1">
      <alignment horizontal="right" vertical="center" shrinkToFit="1"/>
    </xf>
    <xf numFmtId="180" fontId="90" fillId="0" borderId="336" xfId="0" applyNumberFormat="1" applyFont="1" applyFill="1" applyBorder="1" applyAlignment="1" applyProtection="1">
      <alignment horizontal="center" vertical="center" shrinkToFit="1"/>
      <protection locked="0"/>
    </xf>
    <xf numFmtId="189" fontId="94" fillId="0" borderId="323" xfId="0" applyNumberFormat="1" applyFont="1" applyFill="1" applyBorder="1" applyAlignment="1" applyProtection="1">
      <alignment horizontal="center" vertical="center"/>
    </xf>
    <xf numFmtId="49" fontId="158" fillId="0" borderId="0" xfId="0" applyNumberFormat="1" applyFont="1" applyAlignment="1" applyProtection="1">
      <alignment horizontal="left" vertical="center"/>
    </xf>
    <xf numFmtId="0" fontId="80" fillId="0" borderId="0" xfId="0" applyFont="1">
      <alignment vertical="center"/>
    </xf>
    <xf numFmtId="0" fontId="109" fillId="4" borderId="60" xfId="0" applyNumberFormat="1" applyFont="1" applyFill="1" applyBorder="1" applyAlignment="1" applyProtection="1">
      <alignment horizontal="center" vertical="center" shrinkToFit="1"/>
      <protection locked="0"/>
    </xf>
    <xf numFmtId="0" fontId="109" fillId="4" borderId="78" xfId="0" applyNumberFormat="1" applyFont="1" applyFill="1" applyBorder="1" applyAlignment="1" applyProtection="1">
      <alignment horizontal="center" vertical="center" shrinkToFit="1"/>
      <protection locked="0"/>
    </xf>
    <xf numFmtId="0" fontId="116" fillId="0" borderId="81" xfId="0" applyFont="1" applyBorder="1" applyAlignment="1" applyProtection="1">
      <alignment horizontal="center" vertical="center" shrinkToFit="1"/>
    </xf>
    <xf numFmtId="0" fontId="92" fillId="0" borderId="312" xfId="0" applyFont="1" applyBorder="1" applyAlignment="1">
      <alignment vertical="center" wrapText="1"/>
    </xf>
    <xf numFmtId="181" fontId="109" fillId="4" borderId="79" xfId="0" applyNumberFormat="1" applyFont="1" applyFill="1" applyBorder="1" applyAlignment="1" applyProtection="1">
      <alignment vertical="center" shrinkToFit="1"/>
      <protection locked="0"/>
    </xf>
    <xf numFmtId="178" fontId="116" fillId="0" borderId="83" xfId="0" applyNumberFormat="1" applyFont="1" applyBorder="1" applyAlignment="1" applyProtection="1">
      <alignment horizontal="center" vertical="center" shrinkToFit="1"/>
    </xf>
    <xf numFmtId="178" fontId="109" fillId="0" borderId="17" xfId="0" applyNumberFormat="1" applyFont="1" applyBorder="1" applyAlignment="1" applyProtection="1">
      <alignment horizontal="center" vertical="center" shrinkToFit="1"/>
    </xf>
    <xf numFmtId="178" fontId="116" fillId="0" borderId="17" xfId="0" applyNumberFormat="1" applyFont="1" applyBorder="1" applyAlignment="1" applyProtection="1">
      <alignment horizontal="center" vertical="center" shrinkToFit="1"/>
    </xf>
    <xf numFmtId="181" fontId="109" fillId="4" borderId="74" xfId="0" applyNumberFormat="1" applyFont="1" applyFill="1" applyBorder="1" applyAlignment="1" applyProtection="1">
      <alignment vertical="center" shrinkToFit="1"/>
      <protection locked="0"/>
    </xf>
    <xf numFmtId="0" fontId="89" fillId="4" borderId="78" xfId="0" applyNumberFormat="1" applyFont="1" applyFill="1" applyBorder="1" applyAlignment="1" applyProtection="1">
      <alignment horizontal="center" vertical="center" shrinkToFit="1"/>
    </xf>
    <xf numFmtId="0" fontId="52" fillId="0" borderId="0" xfId="0" applyFont="1" applyBorder="1" applyAlignment="1">
      <alignment horizontal="center" vertical="center"/>
    </xf>
    <xf numFmtId="0" fontId="52" fillId="0" borderId="0" xfId="0" applyFont="1" applyProtection="1">
      <alignment vertical="center"/>
      <protection hidden="1"/>
    </xf>
    <xf numFmtId="0" fontId="52" fillId="0" borderId="0" xfId="0" applyFont="1" applyProtection="1">
      <alignment vertical="center"/>
    </xf>
    <xf numFmtId="0" fontId="52" fillId="0" borderId="0" xfId="0" applyNumberFormat="1" applyFont="1" applyFill="1" applyBorder="1" applyAlignment="1" applyProtection="1">
      <alignment vertical="center"/>
      <protection hidden="1"/>
    </xf>
    <xf numFmtId="0" fontId="52" fillId="0" borderId="0" xfId="0" applyFont="1" applyBorder="1" applyProtection="1">
      <alignment vertical="center"/>
      <protection hidden="1"/>
    </xf>
    <xf numFmtId="0" fontId="180" fillId="0" borderId="0" xfId="0" applyFont="1" applyFill="1" applyBorder="1" applyAlignment="1" applyProtection="1">
      <alignment horizontal="left" vertical="center" wrapText="1"/>
    </xf>
    <xf numFmtId="0" fontId="180" fillId="0" borderId="0" xfId="0" applyFont="1" applyFill="1" applyBorder="1" applyAlignment="1" applyProtection="1">
      <alignment horizontal="center" vertical="center"/>
    </xf>
    <xf numFmtId="0" fontId="52" fillId="0" borderId="0" xfId="0" applyFont="1" applyAlignment="1">
      <alignment vertical="center"/>
    </xf>
    <xf numFmtId="0" fontId="52" fillId="0" borderId="0" xfId="0" applyFont="1" applyAlignment="1">
      <alignment horizontal="left" vertical="center"/>
    </xf>
    <xf numFmtId="0" fontId="180" fillId="0" borderId="0" xfId="0" applyFont="1" applyFill="1" applyAlignment="1" applyProtection="1">
      <alignment horizontal="center" vertical="center"/>
    </xf>
    <xf numFmtId="0" fontId="180" fillId="0" borderId="21" xfId="0" applyFont="1" applyFill="1" applyBorder="1" applyAlignment="1" applyProtection="1">
      <alignment horizontal="center" vertical="center"/>
    </xf>
    <xf numFmtId="0" fontId="180" fillId="0" borderId="21" xfId="0" applyFont="1" applyFill="1" applyBorder="1" applyAlignment="1" applyProtection="1">
      <alignment horizontal="left" vertical="center"/>
    </xf>
    <xf numFmtId="0" fontId="180" fillId="0" borderId="0" xfId="0" applyFont="1" applyFill="1" applyBorder="1" applyAlignment="1" applyProtection="1">
      <alignment horizontal="left" vertical="center"/>
    </xf>
    <xf numFmtId="0" fontId="52" fillId="0" borderId="21" xfId="0" applyFont="1" applyBorder="1" applyProtection="1">
      <alignment vertical="center"/>
    </xf>
    <xf numFmtId="0" fontId="180" fillId="0" borderId="0" xfId="0" applyFont="1" applyFill="1" applyBorder="1" applyAlignment="1" applyProtection="1">
      <alignment vertical="center"/>
    </xf>
    <xf numFmtId="0" fontId="180" fillId="0" borderId="21" xfId="0" applyFont="1" applyFill="1" applyBorder="1" applyAlignment="1" applyProtection="1">
      <alignment vertical="center"/>
    </xf>
    <xf numFmtId="0" fontId="181" fillId="0" borderId="21" xfId="0" applyFont="1" applyFill="1" applyBorder="1" applyAlignment="1" applyProtection="1">
      <alignment vertical="center"/>
    </xf>
    <xf numFmtId="0" fontId="52" fillId="0" borderId="0" xfId="0" applyFont="1" applyBorder="1" applyProtection="1">
      <alignment vertical="center"/>
    </xf>
    <xf numFmtId="0" fontId="182" fillId="0" borderId="21" xfId="0" applyFont="1" applyBorder="1" applyProtection="1">
      <alignment vertical="center"/>
    </xf>
    <xf numFmtId="178" fontId="95" fillId="0" borderId="15" xfId="3" applyNumberFormat="1" applyFont="1" applyFill="1" applyBorder="1" applyAlignment="1" applyProtection="1">
      <alignment horizontal="center" vertical="center" shrinkToFit="1"/>
    </xf>
    <xf numFmtId="178" fontId="92" fillId="0" borderId="11" xfId="3" applyNumberFormat="1" applyFont="1" applyFill="1" applyBorder="1" applyAlignment="1" applyProtection="1">
      <alignment horizontal="center" vertical="center" shrinkToFit="1"/>
    </xf>
    <xf numFmtId="176" fontId="129" fillId="0" borderId="25" xfId="3" applyNumberFormat="1" applyFont="1" applyFill="1" applyBorder="1" applyAlignment="1" applyProtection="1">
      <alignment horizontal="right" vertical="center" shrinkToFit="1"/>
    </xf>
    <xf numFmtId="176" fontId="129" fillId="0" borderId="340" xfId="3" applyNumberFormat="1" applyFont="1" applyFill="1" applyBorder="1" applyAlignment="1" applyProtection="1">
      <alignment horizontal="right" vertical="center" shrinkToFit="1"/>
    </xf>
    <xf numFmtId="184" fontId="134" fillId="0" borderId="341" xfId="3" applyNumberFormat="1" applyFont="1" applyFill="1" applyBorder="1" applyAlignment="1" applyProtection="1">
      <alignment horizontal="right" vertical="center" shrinkToFit="1"/>
    </xf>
    <xf numFmtId="184" fontId="134" fillId="0" borderId="146" xfId="3" applyNumberFormat="1" applyFont="1" applyFill="1" applyBorder="1" applyAlignment="1" applyProtection="1">
      <alignment horizontal="right" vertical="center" shrinkToFit="1"/>
    </xf>
    <xf numFmtId="184" fontId="134" fillId="11" borderId="156" xfId="4" applyNumberFormat="1" applyFont="1" applyFill="1" applyBorder="1" applyAlignment="1" applyProtection="1">
      <alignment horizontal="center" vertical="center" shrinkToFit="1"/>
    </xf>
    <xf numFmtId="184" fontId="110" fillId="0" borderId="173" xfId="0" applyNumberFormat="1" applyFont="1" applyBorder="1" applyAlignment="1" applyProtection="1">
      <alignment horizontal="center" vertical="center" shrinkToFit="1"/>
    </xf>
    <xf numFmtId="184" fontId="134" fillId="11" borderId="155" xfId="3" applyNumberFormat="1" applyFont="1" applyFill="1" applyBorder="1" applyAlignment="1" applyProtection="1">
      <alignment horizontal="center" vertical="center" shrinkToFit="1"/>
    </xf>
    <xf numFmtId="184" fontId="104" fillId="0" borderId="173" xfId="3" applyNumberFormat="1" applyFont="1" applyBorder="1" applyAlignment="1" applyProtection="1">
      <alignment horizontal="center" vertical="center" shrinkToFit="1"/>
    </xf>
    <xf numFmtId="0" fontId="54" fillId="0" borderId="0" xfId="0" applyFont="1" applyBorder="1">
      <alignment vertical="center"/>
    </xf>
    <xf numFmtId="0" fontId="58" fillId="0" borderId="0" xfId="0" applyFont="1" applyBorder="1" applyAlignment="1">
      <alignment vertical="center"/>
    </xf>
    <xf numFmtId="0" fontId="52" fillId="0" borderId="0"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0" xfId="0" applyFont="1" applyBorder="1" applyAlignment="1">
      <alignment horizontal="center" vertical="center"/>
    </xf>
    <xf numFmtId="181" fontId="52" fillId="0" borderId="0" xfId="0" applyNumberFormat="1" applyFont="1" applyBorder="1" applyAlignment="1">
      <alignment vertical="center"/>
    </xf>
    <xf numFmtId="0" fontId="58" fillId="0" borderId="0" xfId="0" applyFont="1" applyBorder="1" applyAlignment="1">
      <alignment vertical="center" shrinkToFit="1"/>
    </xf>
    <xf numFmtId="38" fontId="52" fillId="0" borderId="0" xfId="1" applyFont="1" applyBorder="1" applyAlignment="1">
      <alignment horizontal="center" vertical="center"/>
    </xf>
    <xf numFmtId="0" fontId="177" fillId="0" borderId="0" xfId="0" applyFont="1" applyBorder="1" applyAlignment="1">
      <alignment vertical="center"/>
    </xf>
    <xf numFmtId="0" fontId="52" fillId="3" borderId="0" xfId="0" applyFont="1" applyFill="1" applyBorder="1">
      <alignment vertical="center"/>
    </xf>
    <xf numFmtId="0" fontId="52" fillId="13" borderId="0" xfId="0" applyFont="1" applyFill="1" applyBorder="1">
      <alignment vertical="center"/>
    </xf>
    <xf numFmtId="189" fontId="52" fillId="0" borderId="0" xfId="0" applyNumberFormat="1" applyFont="1" applyBorder="1" applyAlignment="1">
      <alignment horizontal="right" vertical="center"/>
    </xf>
    <xf numFmtId="0" fontId="52" fillId="16" borderId="0" xfId="0" applyFont="1" applyFill="1" applyBorder="1">
      <alignment vertical="center"/>
    </xf>
    <xf numFmtId="0" fontId="52" fillId="0" borderId="0" xfId="0" applyFont="1" applyFill="1" applyBorder="1" applyAlignment="1">
      <alignment horizontal="center" vertical="center" wrapText="1"/>
    </xf>
    <xf numFmtId="185" fontId="52" fillId="0" borderId="0" xfId="0" applyNumberFormat="1" applyFont="1" applyBorder="1">
      <alignment vertical="center"/>
    </xf>
    <xf numFmtId="0" fontId="52" fillId="3" borderId="0" xfId="0" applyFont="1" applyFill="1" applyBorder="1" applyAlignment="1">
      <alignment horizontal="center" vertical="center"/>
    </xf>
    <xf numFmtId="185" fontId="52" fillId="3" borderId="0" xfId="1" applyNumberFormat="1" applyFont="1" applyFill="1" applyBorder="1">
      <alignment vertical="center"/>
    </xf>
    <xf numFmtId="185" fontId="52" fillId="3" borderId="0" xfId="0" applyNumberFormat="1" applyFont="1" applyFill="1" applyBorder="1">
      <alignment vertical="center"/>
    </xf>
    <xf numFmtId="185" fontId="52" fillId="0" borderId="0" xfId="1" applyNumberFormat="1" applyFont="1" applyBorder="1">
      <alignment vertical="center"/>
    </xf>
    <xf numFmtId="185" fontId="52" fillId="0" borderId="0" xfId="0" applyNumberFormat="1" applyFont="1" applyFill="1" applyBorder="1">
      <alignment vertical="center"/>
    </xf>
    <xf numFmtId="0" fontId="52" fillId="5" borderId="0" xfId="0" applyFont="1" applyFill="1" applyBorder="1" applyAlignment="1">
      <alignment horizontal="center" vertical="center"/>
    </xf>
    <xf numFmtId="185" fontId="52" fillId="5" borderId="0" xfId="0" applyNumberFormat="1" applyFont="1" applyFill="1" applyBorder="1">
      <alignment vertical="center"/>
    </xf>
    <xf numFmtId="185" fontId="52" fillId="5" borderId="0" xfId="1" applyNumberFormat="1" applyFont="1" applyFill="1" applyBorder="1">
      <alignment vertical="center"/>
    </xf>
    <xf numFmtId="0" fontId="52" fillId="5" borderId="0" xfId="0" applyFont="1" applyFill="1" applyBorder="1">
      <alignment vertical="center"/>
    </xf>
    <xf numFmtId="0" fontId="54" fillId="0" borderId="0" xfId="0" applyFont="1" applyFill="1" applyBorder="1" applyAlignment="1">
      <alignment horizontal="center" vertical="center"/>
    </xf>
    <xf numFmtId="185" fontId="54" fillId="0" borderId="0" xfId="0" applyNumberFormat="1" applyFont="1" applyBorder="1">
      <alignment vertical="center"/>
    </xf>
    <xf numFmtId="0" fontId="52" fillId="14" borderId="0" xfId="0" applyFont="1" applyFill="1" applyBorder="1">
      <alignment vertical="center"/>
    </xf>
    <xf numFmtId="177" fontId="52" fillId="0" borderId="0" xfId="0" applyNumberFormat="1" applyFont="1" applyBorder="1">
      <alignment vertical="center"/>
    </xf>
    <xf numFmtId="0" fontId="177" fillId="0" borderId="0" xfId="0" applyFont="1" applyBorder="1">
      <alignment vertical="center"/>
    </xf>
    <xf numFmtId="0" fontId="52" fillId="15" borderId="0" xfId="0" applyFont="1" applyFill="1" applyBorder="1">
      <alignment vertical="center"/>
    </xf>
    <xf numFmtId="0" fontId="184" fillId="0" borderId="0" xfId="0" applyFont="1" applyBorder="1" applyAlignment="1">
      <alignment horizontal="center" vertical="center" wrapText="1"/>
    </xf>
    <xf numFmtId="0" fontId="52" fillId="0" borderId="0" xfId="0" applyFont="1" applyFill="1" applyBorder="1" applyAlignment="1">
      <alignment horizontal="right" vertical="center"/>
    </xf>
    <xf numFmtId="0" fontId="176" fillId="0" borderId="0" xfId="0" applyFont="1" applyBorder="1">
      <alignment vertical="center"/>
    </xf>
    <xf numFmtId="0" fontId="176" fillId="0" borderId="0" xfId="0" applyFont="1" applyBorder="1" applyAlignment="1">
      <alignment horizontal="center" vertical="center"/>
    </xf>
    <xf numFmtId="0" fontId="178" fillId="0" borderId="0" xfId="0" applyFont="1" applyBorder="1" applyAlignment="1">
      <alignment vertical="center"/>
    </xf>
    <xf numFmtId="0" fontId="187" fillId="0" borderId="0" xfId="0" applyFont="1" applyBorder="1" applyAlignment="1">
      <alignment vertical="center"/>
    </xf>
    <xf numFmtId="0" fontId="185" fillId="0" borderId="0" xfId="0" applyFont="1" applyBorder="1" applyAlignment="1">
      <alignment horizontal="center" vertical="center"/>
    </xf>
    <xf numFmtId="0" fontId="189" fillId="0" borderId="0" xfId="0" applyFont="1" applyBorder="1" applyAlignment="1">
      <alignment vertical="center"/>
    </xf>
    <xf numFmtId="178" fontId="188" fillId="0" borderId="0" xfId="0" applyNumberFormat="1" applyFont="1" applyBorder="1" applyAlignment="1">
      <alignment horizontal="center" vertical="center"/>
    </xf>
    <xf numFmtId="0" fontId="188" fillId="0" borderId="0" xfId="0" applyFont="1" applyBorder="1" applyAlignment="1">
      <alignment horizontal="center" vertical="center"/>
    </xf>
    <xf numFmtId="0" fontId="190" fillId="0" borderId="0" xfId="0" applyFont="1" applyBorder="1" applyAlignment="1">
      <alignment vertical="center"/>
    </xf>
    <xf numFmtId="0" fontId="178" fillId="0" borderId="0" xfId="0" applyFont="1" applyBorder="1">
      <alignment vertical="center"/>
    </xf>
    <xf numFmtId="49" fontId="191" fillId="0" borderId="0" xfId="0" applyNumberFormat="1" applyFont="1" applyBorder="1" applyAlignment="1">
      <alignment horizontal="center" vertical="center"/>
    </xf>
    <xf numFmtId="0" fontId="191" fillId="0" borderId="0" xfId="0" applyFont="1" applyBorder="1" applyAlignment="1">
      <alignment horizontal="center" vertical="center"/>
    </xf>
    <xf numFmtId="0" fontId="191" fillId="0" borderId="0" xfId="0" applyFont="1" applyBorder="1" applyAlignment="1">
      <alignment horizontal="center" vertical="center" shrinkToFit="1"/>
    </xf>
    <xf numFmtId="0" fontId="186" fillId="0" borderId="0" xfId="0" applyFont="1" applyFill="1" applyBorder="1" applyAlignment="1">
      <alignment vertical="center"/>
    </xf>
    <xf numFmtId="0" fontId="155" fillId="0" borderId="0" xfId="0" applyFont="1" applyFill="1" applyBorder="1" applyAlignment="1">
      <alignment vertical="top" wrapText="1"/>
    </xf>
    <xf numFmtId="0" fontId="191" fillId="0" borderId="0" xfId="0" applyFont="1" applyBorder="1" applyAlignment="1" applyProtection="1">
      <alignment horizontal="center" vertical="center"/>
      <protection locked="0"/>
    </xf>
    <xf numFmtId="0" fontId="181" fillId="0" borderId="0" xfId="0" applyFont="1" applyFill="1" applyBorder="1" applyAlignment="1" applyProtection="1">
      <alignment vertical="center"/>
    </xf>
    <xf numFmtId="0" fontId="182" fillId="0" borderId="0" xfId="0" applyFont="1" applyBorder="1" applyProtection="1">
      <alignment vertical="center"/>
    </xf>
    <xf numFmtId="0" fontId="74" fillId="0" borderId="0" xfId="0" applyFont="1" applyBorder="1" applyAlignment="1">
      <alignment horizontal="center" vertical="center"/>
    </xf>
    <xf numFmtId="0" fontId="183" fillId="0" borderId="0" xfId="0" applyFont="1" applyBorder="1" applyAlignment="1">
      <alignment horizontal="center" vertical="center"/>
    </xf>
    <xf numFmtId="0" fontId="74" fillId="0" borderId="0" xfId="0" applyFont="1" applyFill="1" applyBorder="1" applyAlignment="1">
      <alignment horizontal="center" vertical="center"/>
    </xf>
    <xf numFmtId="0" fontId="100" fillId="0" borderId="0" xfId="0" applyFont="1" applyBorder="1" applyAlignment="1" applyProtection="1">
      <alignment horizontal="center" vertical="center" wrapText="1"/>
      <protection locked="0"/>
    </xf>
    <xf numFmtId="0" fontId="80" fillId="0" borderId="0" xfId="0" applyFont="1" applyAlignment="1" applyProtection="1">
      <alignment horizontal="center" vertical="center"/>
      <protection locked="0"/>
    </xf>
    <xf numFmtId="178" fontId="126" fillId="0" borderId="35" xfId="0" applyNumberFormat="1" applyFont="1" applyFill="1" applyBorder="1" applyAlignment="1" applyProtection="1">
      <alignment horizontal="center" vertical="center"/>
    </xf>
    <xf numFmtId="0" fontId="40" fillId="0" borderId="0" xfId="0" applyNumberFormat="1" applyFont="1" applyProtection="1">
      <alignment vertical="center"/>
      <protection hidden="1"/>
    </xf>
    <xf numFmtId="0" fontId="14" fillId="0" borderId="0" xfId="0" applyNumberFormat="1" applyFont="1" applyProtection="1">
      <alignment vertical="center"/>
      <protection hidden="1"/>
    </xf>
    <xf numFmtId="0" fontId="40" fillId="0" borderId="0" xfId="0" applyFont="1" applyProtection="1">
      <alignment vertical="center"/>
      <protection hidden="1"/>
    </xf>
    <xf numFmtId="0" fontId="193" fillId="0" borderId="0" xfId="0" applyNumberFormat="1" applyFont="1" applyFill="1" applyBorder="1" applyAlignment="1" applyProtection="1">
      <alignment horizontal="left" vertical="center" wrapText="1"/>
      <protection hidden="1"/>
    </xf>
    <xf numFmtId="0" fontId="40" fillId="0" borderId="0" xfId="0" applyNumberFormat="1" applyFont="1" applyBorder="1" applyProtection="1">
      <alignment vertical="center"/>
      <protection hidden="1"/>
    </xf>
    <xf numFmtId="0" fontId="14" fillId="0" borderId="0" xfId="0" applyNumberFormat="1" applyFont="1" applyBorder="1" applyProtection="1">
      <alignment vertical="center"/>
      <protection hidden="1"/>
    </xf>
    <xf numFmtId="0" fontId="40" fillId="0" borderId="0" xfId="0" applyFont="1" applyBorder="1" applyProtection="1">
      <alignment vertical="center"/>
      <protection hidden="1"/>
    </xf>
    <xf numFmtId="0" fontId="40" fillId="0" borderId="0" xfId="0" applyNumberFormat="1" applyFont="1" applyFill="1" applyBorder="1" applyAlignment="1" applyProtection="1">
      <alignment vertical="center"/>
      <protection hidden="1"/>
    </xf>
    <xf numFmtId="0" fontId="14" fillId="0" borderId="0" xfId="0" applyNumberFormat="1" applyFont="1" applyFill="1" applyBorder="1" applyAlignment="1" applyProtection="1">
      <alignment vertical="center"/>
      <protection hidden="1"/>
    </xf>
    <xf numFmtId="0" fontId="15" fillId="0" borderId="0" xfId="0" applyNumberFormat="1" applyFont="1" applyFill="1" applyBorder="1" applyAlignment="1" applyProtection="1">
      <alignment vertical="center" shrinkToFit="1"/>
      <protection hidden="1"/>
    </xf>
    <xf numFmtId="0" fontId="15" fillId="0" borderId="0" xfId="0" applyNumberFormat="1" applyFont="1" applyBorder="1" applyAlignment="1" applyProtection="1">
      <alignment horizontal="center" vertical="center" shrinkToFit="1"/>
      <protection hidden="1"/>
    </xf>
    <xf numFmtId="0" fontId="15" fillId="0" borderId="0" xfId="0" applyFont="1" applyBorder="1" applyAlignment="1" applyProtection="1">
      <alignment horizontal="center" vertical="center" shrinkToFit="1"/>
      <protection hidden="1"/>
    </xf>
    <xf numFmtId="0" fontId="193" fillId="0" borderId="0" xfId="0" applyNumberFormat="1" applyFont="1" applyFill="1" applyBorder="1" applyAlignment="1" applyProtection="1">
      <alignment horizontal="left" vertical="center"/>
      <protection hidden="1"/>
    </xf>
    <xf numFmtId="0" fontId="108" fillId="0" borderId="0" xfId="0" applyNumberFormat="1" applyFont="1" applyBorder="1" applyAlignment="1" applyProtection="1">
      <alignment horizontal="center" vertical="center"/>
      <protection hidden="1"/>
    </xf>
    <xf numFmtId="0" fontId="99" fillId="0" borderId="0" xfId="0" applyNumberFormat="1" applyFont="1" applyFill="1" applyBorder="1" applyAlignment="1" applyProtection="1">
      <alignment horizontal="left" vertical="center" wrapText="1"/>
      <protection hidden="1"/>
    </xf>
    <xf numFmtId="190" fontId="40" fillId="0" borderId="0" xfId="0" applyNumberFormat="1" applyFont="1" applyBorder="1" applyProtection="1">
      <alignment vertical="center"/>
      <protection hidden="1"/>
    </xf>
    <xf numFmtId="0" fontId="99" fillId="0" borderId="0" xfId="0" applyNumberFormat="1" applyFont="1" applyFill="1" applyBorder="1" applyAlignment="1" applyProtection="1">
      <alignment vertical="center" wrapText="1"/>
      <protection hidden="1"/>
    </xf>
    <xf numFmtId="0" fontId="14" fillId="0" borderId="0" xfId="0" applyNumberFormat="1" applyFont="1" applyBorder="1" applyAlignment="1" applyProtection="1">
      <alignment horizontal="center" vertical="center"/>
      <protection hidden="1"/>
    </xf>
    <xf numFmtId="0" fontId="108" fillId="0" borderId="0" xfId="0" applyFont="1" applyBorder="1" applyProtection="1">
      <alignment vertical="center"/>
    </xf>
    <xf numFmtId="0" fontId="108" fillId="0" borderId="0" xfId="0" applyNumberFormat="1" applyFont="1" applyBorder="1" applyProtection="1">
      <alignment vertical="center"/>
      <protection hidden="1"/>
    </xf>
    <xf numFmtId="0" fontId="40" fillId="0" borderId="0" xfId="0" applyFont="1" applyFill="1" applyBorder="1" applyProtection="1">
      <alignment vertical="center"/>
      <protection hidden="1"/>
    </xf>
    <xf numFmtId="0" fontId="194" fillId="0" borderId="0" xfId="0" applyFont="1" applyFill="1" applyBorder="1" applyAlignment="1" applyProtection="1">
      <alignment horizontal="left" vertical="center"/>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left" vertical="center"/>
      <protection hidden="1"/>
    </xf>
    <xf numFmtId="0" fontId="40" fillId="0" borderId="0" xfId="0" applyFont="1" applyBorder="1" applyAlignment="1" applyProtection="1">
      <alignment horizontal="left" vertical="center"/>
      <protection hidden="1"/>
    </xf>
    <xf numFmtId="0" fontId="18" fillId="0" borderId="0" xfId="0" applyFont="1" applyFill="1" applyBorder="1" applyAlignment="1" applyProtection="1">
      <alignment horizontal="left" vertical="center" wrapText="1"/>
      <protection hidden="1"/>
    </xf>
    <xf numFmtId="0" fontId="195" fillId="0" borderId="0" xfId="0" applyFont="1" applyFill="1" applyBorder="1" applyAlignment="1" applyProtection="1">
      <alignment horizontal="left" vertical="center"/>
      <protection hidden="1"/>
    </xf>
    <xf numFmtId="0" fontId="193" fillId="0" borderId="0" xfId="0" applyNumberFormat="1" applyFont="1" applyFill="1" applyBorder="1" applyAlignment="1" applyProtection="1">
      <alignment vertical="center" wrapText="1"/>
      <protection hidden="1"/>
    </xf>
    <xf numFmtId="3" fontId="18" fillId="0" borderId="0" xfId="0" applyNumberFormat="1" applyFont="1" applyFill="1" applyBorder="1" applyAlignment="1" applyProtection="1">
      <alignment horizontal="center" vertical="center"/>
    </xf>
    <xf numFmtId="0" fontId="194" fillId="0" borderId="0" xfId="0" applyFont="1" applyFill="1" applyBorder="1" applyAlignment="1" applyProtection="1">
      <alignment horizontal="left" vertical="center"/>
    </xf>
    <xf numFmtId="0" fontId="194" fillId="0" borderId="0" xfId="0" applyFont="1" applyFill="1" applyAlignment="1" applyProtection="1">
      <alignment horizontal="left" vertical="center"/>
    </xf>
    <xf numFmtId="0" fontId="19" fillId="0" borderId="0" xfId="0" applyFont="1" applyFill="1" applyBorder="1" applyAlignment="1" applyProtection="1"/>
    <xf numFmtId="0" fontId="194"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wrapText="1"/>
    </xf>
    <xf numFmtId="0" fontId="194" fillId="0" borderId="0" xfId="0" applyFont="1" applyFill="1" applyBorder="1" applyAlignment="1" applyProtection="1">
      <alignment vertical="center"/>
    </xf>
    <xf numFmtId="0" fontId="194" fillId="3" borderId="0" xfId="0" applyFont="1" applyFill="1" applyBorder="1" applyAlignment="1" applyProtection="1">
      <alignment vertical="center"/>
    </xf>
    <xf numFmtId="0" fontId="18" fillId="3" borderId="0" xfId="0" applyFont="1" applyFill="1" applyBorder="1" applyAlignment="1" applyProtection="1">
      <alignment horizontal="center" vertical="center"/>
    </xf>
    <xf numFmtId="178" fontId="95" fillId="0" borderId="248" xfId="3" applyNumberFormat="1" applyFont="1" applyFill="1" applyBorder="1" applyAlignment="1" applyProtection="1">
      <alignment vertical="center" shrinkToFit="1"/>
    </xf>
    <xf numFmtId="178" fontId="95" fillId="0" borderId="342" xfId="0" applyNumberFormat="1" applyFont="1" applyFill="1" applyBorder="1" applyAlignment="1" applyProtection="1">
      <alignment vertical="center" shrinkToFit="1"/>
    </xf>
    <xf numFmtId="178" fontId="95" fillId="0" borderId="342" xfId="0" applyNumberFormat="1" applyFont="1" applyFill="1" applyBorder="1" applyAlignment="1" applyProtection="1">
      <alignment horizontal="center" vertical="center" shrinkToFit="1"/>
    </xf>
    <xf numFmtId="178" fontId="95" fillId="0" borderId="342" xfId="3" applyNumberFormat="1" applyFont="1" applyFill="1" applyBorder="1" applyAlignment="1" applyProtection="1">
      <alignment vertical="center" shrinkToFit="1"/>
    </xf>
    <xf numFmtId="0" fontId="197" fillId="0" borderId="0" xfId="0" applyFont="1" applyBorder="1">
      <alignment vertical="center"/>
    </xf>
    <xf numFmtId="0" fontId="198" fillId="0" borderId="0" xfId="0" applyFont="1" applyBorder="1">
      <alignment vertical="center"/>
    </xf>
    <xf numFmtId="0" fontId="199" fillId="0" borderId="0" xfId="0" applyFont="1" applyBorder="1" applyAlignment="1">
      <alignment horizontal="justify" vertical="center"/>
    </xf>
    <xf numFmtId="0" fontId="200" fillId="0" borderId="0" xfId="0" applyFont="1" applyBorder="1" applyAlignment="1">
      <alignment vertical="center" wrapText="1"/>
    </xf>
    <xf numFmtId="0" fontId="197" fillId="17" borderId="0" xfId="0" applyFont="1" applyFill="1" applyBorder="1" applyAlignment="1">
      <alignment vertical="center" wrapText="1"/>
    </xf>
    <xf numFmtId="0" fontId="201" fillId="17" borderId="0" xfId="12" applyFont="1" applyFill="1" applyBorder="1" applyAlignment="1">
      <alignment vertical="center" wrapText="1"/>
    </xf>
    <xf numFmtId="0" fontId="201" fillId="17" borderId="298" xfId="12" applyFont="1" applyFill="1" applyBorder="1" applyAlignment="1">
      <alignment vertical="center" wrapText="1"/>
    </xf>
    <xf numFmtId="0" fontId="197" fillId="17" borderId="284" xfId="0" applyFont="1" applyFill="1" applyBorder="1" applyAlignment="1">
      <alignment vertical="center" wrapText="1"/>
    </xf>
    <xf numFmtId="0" fontId="197" fillId="17" borderId="287" xfId="0" applyFont="1" applyFill="1" applyBorder="1" applyAlignment="1">
      <alignment vertical="center" wrapText="1"/>
    </xf>
    <xf numFmtId="0" fontId="197" fillId="17" borderId="286" xfId="0" applyFont="1" applyFill="1" applyBorder="1" applyAlignment="1">
      <alignment vertical="center" wrapText="1"/>
    </xf>
    <xf numFmtId="0" fontId="101" fillId="0" borderId="0" xfId="0" applyFont="1" applyBorder="1" applyAlignment="1" applyProtection="1">
      <alignment horizontal="center" vertical="center" wrapText="1"/>
      <protection locked="0"/>
    </xf>
    <xf numFmtId="0" fontId="101" fillId="0" borderId="0" xfId="0" applyFont="1" applyBorder="1" applyAlignment="1" applyProtection="1">
      <alignment horizontal="center" vertical="center" wrapText="1"/>
    </xf>
    <xf numFmtId="180" fontId="99" fillId="0" borderId="30" xfId="3" applyNumberFormat="1" applyFont="1" applyFill="1" applyBorder="1" applyAlignment="1" applyProtection="1">
      <alignment horizontal="center" vertical="center" shrinkToFit="1"/>
    </xf>
    <xf numFmtId="180" fontId="95" fillId="0" borderId="57" xfId="3" applyNumberFormat="1" applyFont="1" applyFill="1" applyBorder="1" applyAlignment="1" applyProtection="1">
      <alignment vertical="center" shrinkToFit="1"/>
      <protection locked="0"/>
    </xf>
    <xf numFmtId="176" fontId="94" fillId="0" borderId="349" xfId="0" applyNumberFormat="1" applyFont="1" applyFill="1" applyBorder="1" applyAlignment="1" applyProtection="1">
      <alignment horizontal="center" vertical="center" shrinkToFit="1"/>
    </xf>
    <xf numFmtId="176" fontId="94" fillId="0" borderId="2" xfId="0" applyNumberFormat="1" applyFont="1" applyFill="1" applyBorder="1" applyAlignment="1" applyProtection="1">
      <alignment horizontal="center" vertical="center" shrinkToFit="1"/>
    </xf>
    <xf numFmtId="0" fontId="169" fillId="0" borderId="10" xfId="7" applyFont="1" applyFill="1" applyBorder="1" applyAlignment="1" applyProtection="1">
      <alignment vertical="center" textRotation="255"/>
      <protection locked="0"/>
    </xf>
    <xf numFmtId="0" fontId="169" fillId="0" borderId="0" xfId="7" applyFont="1" applyFill="1" applyBorder="1" applyAlignment="1" applyProtection="1">
      <alignment vertical="center" textRotation="255"/>
      <protection locked="0"/>
    </xf>
    <xf numFmtId="0" fontId="169" fillId="0" borderId="2" xfId="7" applyFont="1" applyFill="1" applyBorder="1" applyAlignment="1" applyProtection="1">
      <alignment vertical="center" textRotation="255"/>
      <protection locked="0"/>
    </xf>
    <xf numFmtId="0" fontId="169" fillId="0" borderId="3" xfId="7" applyFont="1" applyFill="1" applyBorder="1" applyAlignment="1" applyProtection="1">
      <alignment vertical="center" textRotation="255"/>
      <protection locked="0"/>
    </xf>
    <xf numFmtId="176" fontId="94" fillId="0" borderId="199" xfId="0" applyNumberFormat="1" applyFont="1" applyFill="1" applyBorder="1" applyAlignment="1" applyProtection="1">
      <alignment horizontal="center" vertical="center" shrinkToFit="1"/>
    </xf>
    <xf numFmtId="180" fontId="99" fillId="0" borderId="88" xfId="3" applyNumberFormat="1" applyFont="1" applyFill="1" applyBorder="1" applyAlignment="1" applyProtection="1">
      <alignment horizontal="center" vertical="center" shrinkToFit="1"/>
    </xf>
    <xf numFmtId="180" fontId="99" fillId="0" borderId="89" xfId="3" applyNumberFormat="1" applyFont="1" applyFill="1" applyBorder="1" applyAlignment="1" applyProtection="1">
      <alignment horizontal="center" vertical="center" shrinkToFit="1"/>
    </xf>
    <xf numFmtId="176" fontId="90" fillId="0" borderId="28" xfId="0" applyNumberFormat="1" applyFont="1" applyFill="1" applyBorder="1" applyAlignment="1" applyProtection="1">
      <alignment vertical="center" shrinkToFit="1"/>
      <protection locked="0"/>
    </xf>
    <xf numFmtId="180" fontId="129" fillId="0" borderId="231" xfId="3" applyNumberFormat="1" applyFont="1" applyFill="1" applyBorder="1" applyAlignment="1" applyProtection="1">
      <alignment horizontal="right" vertical="center" shrinkToFit="1"/>
    </xf>
    <xf numFmtId="0" fontId="18" fillId="0" borderId="0" xfId="0" applyFont="1" applyFill="1" applyBorder="1" applyAlignment="1" applyProtection="1">
      <alignment horizontal="center" vertical="center"/>
    </xf>
    <xf numFmtId="180" fontId="99" fillId="0" borderId="347" xfId="3" applyNumberFormat="1" applyFont="1" applyFill="1" applyBorder="1" applyAlignment="1" applyProtection="1">
      <alignment vertical="center" shrinkToFit="1"/>
    </xf>
    <xf numFmtId="180" fontId="129" fillId="0" borderId="194" xfId="3" applyNumberFormat="1" applyFont="1" applyFill="1" applyBorder="1" applyAlignment="1" applyProtection="1">
      <alignment horizontal="right" vertical="center" shrinkToFit="1"/>
    </xf>
    <xf numFmtId="176" fontId="90" fillId="0" borderId="30" xfId="0" applyNumberFormat="1" applyFont="1" applyFill="1" applyBorder="1" applyAlignment="1" applyProtection="1">
      <alignment horizontal="center" vertical="center" shrinkToFit="1"/>
      <protection locked="0"/>
    </xf>
    <xf numFmtId="38" fontId="134" fillId="11" borderId="2" xfId="2" applyFont="1" applyFill="1" applyBorder="1" applyAlignment="1" applyProtection="1">
      <alignment vertical="center" shrinkToFit="1"/>
    </xf>
    <xf numFmtId="0" fontId="18" fillId="0" borderId="0" xfId="0" applyFont="1" applyFill="1" applyBorder="1" applyAlignment="1" applyProtection="1">
      <alignment horizontal="center" vertical="center"/>
    </xf>
    <xf numFmtId="0" fontId="169" fillId="0" borderId="15" xfId="7" applyFont="1" applyFill="1" applyBorder="1" applyAlignment="1" applyProtection="1">
      <alignment vertical="center" textRotation="255"/>
      <protection locked="0"/>
    </xf>
    <xf numFmtId="0" fontId="169" fillId="0" borderId="10" xfId="7" applyFont="1" applyFill="1" applyBorder="1" applyAlignment="1" applyProtection="1">
      <alignment vertical="center" textRotation="255"/>
      <protection locked="0"/>
    </xf>
    <xf numFmtId="0" fontId="169" fillId="0" borderId="14" xfId="7" applyFont="1" applyFill="1" applyBorder="1" applyAlignment="1" applyProtection="1">
      <alignment vertical="center" textRotation="255"/>
      <protection locked="0"/>
    </xf>
    <xf numFmtId="0" fontId="169" fillId="0" borderId="0" xfId="7" applyFont="1" applyFill="1" applyBorder="1" applyAlignment="1" applyProtection="1">
      <alignment vertical="center" textRotation="255"/>
      <protection locked="0"/>
    </xf>
    <xf numFmtId="0" fontId="169" fillId="0" borderId="12" xfId="7" applyFont="1" applyFill="1" applyBorder="1" applyAlignment="1" applyProtection="1">
      <alignment vertical="center" textRotation="255"/>
      <protection locked="0"/>
    </xf>
    <xf numFmtId="0" fontId="169" fillId="0" borderId="11" xfId="7" applyFont="1" applyFill="1" applyBorder="1" applyAlignment="1" applyProtection="1">
      <alignment vertical="center" textRotation="255"/>
      <protection locked="0"/>
    </xf>
    <xf numFmtId="0" fontId="169" fillId="0" borderId="2" xfId="7" applyFont="1" applyFill="1" applyBorder="1" applyAlignment="1" applyProtection="1">
      <alignment vertical="center" textRotation="255"/>
      <protection locked="0"/>
    </xf>
    <xf numFmtId="0" fontId="169" fillId="0" borderId="3" xfId="7" applyFont="1" applyFill="1" applyBorder="1" applyAlignment="1" applyProtection="1">
      <alignment vertical="center" textRotation="255"/>
      <protection locked="0"/>
    </xf>
    <xf numFmtId="0" fontId="80" fillId="0" borderId="0" xfId="0" applyFont="1">
      <alignment vertical="center"/>
    </xf>
    <xf numFmtId="181" fontId="106" fillId="0" borderId="0" xfId="0" applyNumberFormat="1" applyFont="1" applyBorder="1" applyAlignment="1" applyProtection="1">
      <alignment horizontal="center" vertical="center" shrinkToFit="1"/>
    </xf>
    <xf numFmtId="0" fontId="80" fillId="0" borderId="0" xfId="0" applyFont="1" applyBorder="1" applyAlignment="1" applyProtection="1">
      <alignment horizontal="center" vertical="center"/>
    </xf>
    <xf numFmtId="0" fontId="80" fillId="0" borderId="0" xfId="0" applyFont="1" applyBorder="1" applyProtection="1">
      <alignment vertical="center"/>
    </xf>
    <xf numFmtId="0" fontId="96" fillId="0" borderId="0" xfId="0" applyFont="1" applyBorder="1" applyAlignment="1" applyProtection="1">
      <alignment horizontal="center" vertical="center"/>
    </xf>
    <xf numFmtId="0" fontId="110" fillId="0" borderId="0" xfId="0" applyNumberFormat="1" applyFont="1" applyBorder="1" applyAlignment="1" applyProtection="1">
      <alignment horizontal="center" vertical="center" shrinkToFit="1"/>
    </xf>
    <xf numFmtId="0" fontId="80" fillId="0" borderId="10" xfId="0" applyFont="1" applyBorder="1" applyAlignment="1" applyProtection="1">
      <alignment horizontal="center" vertical="center"/>
    </xf>
    <xf numFmtId="0" fontId="204" fillId="0" borderId="0" xfId="0" applyFont="1" applyBorder="1">
      <alignment vertical="center"/>
    </xf>
    <xf numFmtId="0" fontId="204" fillId="0" borderId="0" xfId="0" applyFont="1" applyBorder="1" applyAlignment="1">
      <alignment horizontal="center" vertical="center"/>
    </xf>
    <xf numFmtId="0" fontId="204" fillId="0" borderId="0" xfId="0" applyFont="1" applyFill="1" applyBorder="1" applyAlignment="1">
      <alignment horizontal="center" vertical="center"/>
    </xf>
    <xf numFmtId="186" fontId="204" fillId="0" borderId="0" xfId="0" applyNumberFormat="1" applyFont="1" applyBorder="1">
      <alignment vertical="center"/>
    </xf>
    <xf numFmtId="187" fontId="204" fillId="0" borderId="0" xfId="0" applyNumberFormat="1" applyFont="1" applyBorder="1" applyAlignment="1">
      <alignment horizontal="center" vertical="center"/>
    </xf>
    <xf numFmtId="188" fontId="204" fillId="0" borderId="0" xfId="0" applyNumberFormat="1" applyFont="1" applyFill="1" applyBorder="1" applyAlignment="1">
      <alignment horizontal="center" vertical="center"/>
    </xf>
    <xf numFmtId="0" fontId="204" fillId="0" borderId="0" xfId="0" applyFont="1" applyBorder="1" applyAlignment="1">
      <alignment horizontal="center" vertical="center" textRotation="255"/>
    </xf>
    <xf numFmtId="0" fontId="204" fillId="0" borderId="0" xfId="0" applyFont="1" applyFill="1" applyBorder="1">
      <alignment vertical="center"/>
    </xf>
    <xf numFmtId="187" fontId="204" fillId="0" borderId="0" xfId="0" applyNumberFormat="1" applyFont="1" applyBorder="1">
      <alignment vertical="center"/>
    </xf>
    <xf numFmtId="188" fontId="204" fillId="0" borderId="0" xfId="0" applyNumberFormat="1" applyFont="1" applyFill="1" applyBorder="1">
      <alignment vertical="center"/>
    </xf>
    <xf numFmtId="188" fontId="204" fillId="0" borderId="0" xfId="0" applyNumberFormat="1" applyFont="1" applyBorder="1">
      <alignment vertical="center"/>
    </xf>
    <xf numFmtId="0" fontId="204" fillId="0" borderId="0" xfId="0" applyFont="1" applyBorder="1" applyAlignment="1">
      <alignment vertical="center" wrapText="1"/>
    </xf>
    <xf numFmtId="187" fontId="204" fillId="0" borderId="0" xfId="0" applyNumberFormat="1" applyFont="1" applyFill="1" applyBorder="1">
      <alignment vertical="center"/>
    </xf>
    <xf numFmtId="0" fontId="204" fillId="0" borderId="0" xfId="0" applyFont="1" applyBorder="1" applyAlignment="1">
      <alignment horizontal="left" vertical="center" wrapText="1"/>
    </xf>
    <xf numFmtId="187" fontId="204" fillId="0" borderId="0" xfId="0" applyNumberFormat="1" applyFont="1" applyBorder="1" applyAlignment="1">
      <alignment vertical="center"/>
    </xf>
    <xf numFmtId="188" fontId="204" fillId="0" borderId="0" xfId="0" applyNumberFormat="1" applyFont="1" applyBorder="1" applyAlignment="1">
      <alignment horizontal="left" vertical="center"/>
    </xf>
    <xf numFmtId="0" fontId="205" fillId="0" borderId="0" xfId="0" applyFont="1" applyBorder="1">
      <alignment vertical="center"/>
    </xf>
    <xf numFmtId="0" fontId="205" fillId="0" borderId="0" xfId="0" applyFont="1" applyBorder="1" applyAlignment="1">
      <alignment horizontal="right" vertical="center"/>
    </xf>
    <xf numFmtId="0" fontId="206" fillId="0" borderId="0" xfId="0" applyFont="1" applyBorder="1">
      <alignment vertical="center"/>
    </xf>
    <xf numFmtId="0" fontId="204" fillId="0" borderId="0" xfId="0" applyFont="1" applyBorder="1" applyAlignment="1">
      <alignment horizontal="right" vertical="center"/>
    </xf>
    <xf numFmtId="0" fontId="204" fillId="0" borderId="0" xfId="0" applyFont="1" applyBorder="1" applyAlignment="1">
      <alignment horizontal="justify" vertical="center"/>
    </xf>
    <xf numFmtId="0" fontId="207" fillId="0" borderId="0" xfId="0" applyFont="1" applyBorder="1" applyAlignment="1">
      <alignment vertical="center" wrapText="1"/>
    </xf>
    <xf numFmtId="0" fontId="208" fillId="0" borderId="0" xfId="0" applyFont="1" applyBorder="1" applyAlignment="1">
      <alignment vertical="center" wrapText="1"/>
    </xf>
    <xf numFmtId="188" fontId="204" fillId="0" borderId="0" xfId="0" applyNumberFormat="1" applyFont="1" applyBorder="1" applyAlignment="1">
      <alignment vertical="center" wrapText="1"/>
    </xf>
    <xf numFmtId="0" fontId="204" fillId="17" borderId="0" xfId="0" applyFont="1" applyFill="1" applyBorder="1" applyAlignment="1">
      <alignment vertical="center" wrapText="1"/>
    </xf>
    <xf numFmtId="188" fontId="208" fillId="0" borderId="0" xfId="0" applyNumberFormat="1" applyFont="1" applyBorder="1" applyAlignment="1">
      <alignment vertical="center" wrapText="1"/>
    </xf>
    <xf numFmtId="187" fontId="205" fillId="0" borderId="0" xfId="0" applyNumberFormat="1" applyFont="1" applyBorder="1" applyAlignment="1">
      <alignment horizontal="right" vertical="center"/>
    </xf>
    <xf numFmtId="187" fontId="204" fillId="0" borderId="0" xfId="0" applyNumberFormat="1" applyFont="1" applyBorder="1" applyAlignment="1">
      <alignment horizontal="right" vertical="center"/>
    </xf>
    <xf numFmtId="187" fontId="205" fillId="0" borderId="0" xfId="0" applyNumberFormat="1" applyFont="1" applyBorder="1">
      <alignment vertical="center"/>
    </xf>
    <xf numFmtId="0" fontId="209" fillId="0" borderId="0" xfId="0" applyFont="1" applyBorder="1" applyAlignment="1">
      <alignment horizontal="justify" vertical="center"/>
    </xf>
    <xf numFmtId="56" fontId="204" fillId="0" borderId="0" xfId="0" applyNumberFormat="1" applyFont="1" applyBorder="1">
      <alignment vertical="center"/>
    </xf>
    <xf numFmtId="0" fontId="204" fillId="0" borderId="39" xfId="0" applyFont="1" applyBorder="1">
      <alignment vertical="center"/>
    </xf>
    <xf numFmtId="0" fontId="204" fillId="0" borderId="21" xfId="0" applyFont="1" applyBorder="1">
      <alignment vertical="center"/>
    </xf>
    <xf numFmtId="0" fontId="204" fillId="0" borderId="0" xfId="0" applyFont="1">
      <alignment vertical="center"/>
    </xf>
    <xf numFmtId="0" fontId="80" fillId="0" borderId="0" xfId="8" applyFont="1">
      <alignment vertical="center"/>
    </xf>
    <xf numFmtId="0" fontId="132" fillId="0" borderId="0" xfId="8" applyFont="1">
      <alignment vertical="center"/>
    </xf>
    <xf numFmtId="0" fontId="210" fillId="0" borderId="3" xfId="8" applyFont="1" applyBorder="1" applyAlignment="1">
      <alignment horizontal="center" vertical="center"/>
    </xf>
    <xf numFmtId="0" fontId="210" fillId="0" borderId="2" xfId="8" applyFont="1" applyBorder="1" applyAlignment="1">
      <alignment horizontal="center" vertical="center"/>
    </xf>
    <xf numFmtId="0" fontId="210" fillId="0" borderId="11" xfId="8" applyFont="1" applyBorder="1" applyAlignment="1">
      <alignment horizontal="center" vertical="center"/>
    </xf>
    <xf numFmtId="0" fontId="211" fillId="0" borderId="39" xfId="8" applyFont="1" applyBorder="1" applyAlignment="1">
      <alignment horizontal="center" vertical="center" shrinkToFit="1"/>
    </xf>
    <xf numFmtId="0" fontId="210" fillId="0" borderId="3" xfId="8" applyFont="1" applyBorder="1" applyAlignment="1" applyProtection="1">
      <alignment horizontal="center" vertical="center"/>
      <protection locked="0"/>
    </xf>
    <xf numFmtId="0" fontId="210" fillId="0" borderId="2" xfId="8" applyFont="1" applyBorder="1" applyAlignment="1" applyProtection="1">
      <alignment horizontal="center" vertical="center"/>
      <protection locked="0"/>
    </xf>
    <xf numFmtId="0" fontId="210" fillId="0" borderId="1" xfId="8" applyFont="1" applyBorder="1" applyAlignment="1" applyProtection="1">
      <alignment horizontal="center" vertical="center"/>
      <protection locked="0"/>
    </xf>
    <xf numFmtId="0" fontId="210" fillId="0" borderId="11" xfId="8" applyFont="1" applyBorder="1" applyAlignment="1" applyProtection="1">
      <alignment horizontal="center" vertical="center"/>
      <protection locked="0"/>
    </xf>
    <xf numFmtId="0" fontId="210" fillId="0" borderId="12" xfId="8" applyFont="1" applyBorder="1" applyAlignment="1">
      <alignment horizontal="center" vertical="center"/>
    </xf>
    <xf numFmtId="0" fontId="210" fillId="0" borderId="0" xfId="8" applyFont="1" applyAlignment="1">
      <alignment horizontal="center" vertical="center"/>
    </xf>
    <xf numFmtId="0" fontId="210" fillId="0" borderId="13" xfId="8" applyFont="1" applyBorder="1" applyAlignment="1">
      <alignment horizontal="center" vertical="center"/>
    </xf>
    <xf numFmtId="0" fontId="210" fillId="0" borderId="360" xfId="8" applyFont="1" applyBorder="1" applyAlignment="1">
      <alignment horizontal="center" vertical="center"/>
    </xf>
    <xf numFmtId="0" fontId="210" fillId="0" borderId="361" xfId="8" applyFont="1" applyBorder="1" applyAlignment="1">
      <alignment horizontal="center" vertical="center"/>
    </xf>
    <xf numFmtId="0" fontId="210" fillId="0" borderId="60" xfId="8" applyFont="1" applyBorder="1" applyAlignment="1" applyProtection="1">
      <alignment horizontal="center" vertical="center"/>
      <protection locked="0"/>
    </xf>
    <xf numFmtId="0" fontId="210" fillId="0" borderId="362" xfId="8" applyFont="1" applyBorder="1" applyAlignment="1">
      <alignment horizontal="center" vertical="center"/>
    </xf>
    <xf numFmtId="0" fontId="210" fillId="0" borderId="363" xfId="8" applyFont="1" applyBorder="1" applyAlignment="1">
      <alignment horizontal="center" vertical="center"/>
    </xf>
    <xf numFmtId="0" fontId="210" fillId="0" borderId="14" xfId="8" applyFont="1" applyBorder="1" applyAlignment="1">
      <alignment horizontal="center" vertical="center"/>
    </xf>
    <xf numFmtId="0" fontId="210" fillId="0" borderId="10" xfId="8" applyFont="1" applyBorder="1" applyAlignment="1">
      <alignment horizontal="center" vertical="center"/>
    </xf>
    <xf numFmtId="0" fontId="210" fillId="0" borderId="15" xfId="8" applyFont="1" applyBorder="1" applyAlignment="1">
      <alignment horizontal="center" vertical="center"/>
    </xf>
    <xf numFmtId="0" fontId="210" fillId="0" borderId="17" xfId="8" applyFont="1" applyBorder="1" applyAlignment="1">
      <alignment horizontal="center" vertical="center"/>
    </xf>
    <xf numFmtId="0" fontId="210" fillId="0" borderId="61" xfId="8" applyFont="1" applyBorder="1" applyAlignment="1" applyProtection="1">
      <alignment horizontal="center" vertical="center"/>
      <protection locked="0"/>
    </xf>
    <xf numFmtId="0" fontId="80" fillId="0" borderId="0" xfId="8" applyFont="1" applyAlignment="1">
      <alignment horizontal="center" vertical="center"/>
    </xf>
    <xf numFmtId="0" fontId="210" fillId="0" borderId="0" xfId="8" applyFont="1" applyAlignment="1">
      <alignment horizontal="center" vertical="center" wrapText="1"/>
    </xf>
    <xf numFmtId="0" fontId="100" fillId="0" borderId="0" xfId="8" applyFont="1" applyAlignment="1">
      <alignment horizontal="center" vertical="center" textRotation="255"/>
    </xf>
    <xf numFmtId="0" fontId="91" fillId="0" borderId="366" xfId="8" applyFont="1" applyBorder="1" applyAlignment="1">
      <alignment horizontal="center" vertical="center" textRotation="255"/>
    </xf>
    <xf numFmtId="0" fontId="100" fillId="0" borderId="4" xfId="8" applyFont="1" applyBorder="1">
      <alignment vertical="center"/>
    </xf>
    <xf numFmtId="0" fontId="100" fillId="0" borderId="125" xfId="8" applyFont="1" applyBorder="1" applyAlignment="1">
      <alignment horizontal="left" vertical="center"/>
    </xf>
    <xf numFmtId="0" fontId="100" fillId="0" borderId="125" xfId="8" applyFont="1" applyBorder="1" applyAlignment="1">
      <alignment horizontal="right" vertical="center"/>
    </xf>
    <xf numFmtId="0" fontId="100" fillId="0" borderId="125" xfId="8" applyFont="1" applyBorder="1">
      <alignment vertical="center"/>
    </xf>
    <xf numFmtId="49" fontId="100" fillId="0" borderId="125" xfId="8" applyNumberFormat="1" applyFont="1" applyBorder="1" applyAlignment="1">
      <alignment horizontal="center" vertical="center"/>
    </xf>
    <xf numFmtId="0" fontId="100" fillId="0" borderId="17" xfId="8" applyFont="1" applyBorder="1" applyAlignment="1">
      <alignment horizontal="left" vertical="center"/>
    </xf>
    <xf numFmtId="0" fontId="91" fillId="0" borderId="369" xfId="8" applyFont="1" applyBorder="1" applyAlignment="1">
      <alignment horizontal="center" vertical="center" textRotation="255"/>
    </xf>
    <xf numFmtId="49" fontId="80" fillId="0" borderId="0" xfId="8" applyNumberFormat="1" applyFont="1" applyAlignment="1">
      <alignment horizontal="right" vertical="center"/>
    </xf>
    <xf numFmtId="180" fontId="99" fillId="0" borderId="347" xfId="3" applyNumberFormat="1" applyFont="1" applyFill="1" applyBorder="1" applyAlignment="1" applyProtection="1">
      <alignment horizontal="center" vertical="center" shrinkToFit="1"/>
    </xf>
    <xf numFmtId="38" fontId="134" fillId="11" borderId="2" xfId="2" applyFont="1" applyFill="1" applyBorder="1" applyAlignment="1" applyProtection="1">
      <alignment vertical="center" shrinkToFit="1"/>
    </xf>
    <xf numFmtId="0" fontId="108" fillId="0" borderId="0" xfId="0" applyFont="1" applyBorder="1" applyProtection="1">
      <alignment vertical="center"/>
      <protection hidden="1"/>
    </xf>
    <xf numFmtId="0" fontId="178" fillId="0" borderId="0" xfId="0" applyFont="1" applyBorder="1" applyProtection="1">
      <alignment vertical="center"/>
      <protection hidden="1"/>
    </xf>
    <xf numFmtId="0" fontId="178" fillId="0" borderId="0" xfId="0" applyFont="1" applyBorder="1" applyProtection="1">
      <alignment vertical="center"/>
    </xf>
    <xf numFmtId="0" fontId="99" fillId="0" borderId="0" xfId="0" applyNumberFormat="1" applyFont="1" applyFill="1" applyBorder="1" applyAlignment="1" applyProtection="1">
      <alignment horizontal="left" vertical="center"/>
      <protection hidden="1"/>
    </xf>
    <xf numFmtId="0" fontId="14" fillId="0" borderId="0" xfId="0" applyNumberFormat="1" applyFont="1" applyFill="1" applyBorder="1" applyAlignment="1" applyProtection="1">
      <alignment horizontal="center" vertical="center" shrinkToFit="1"/>
    </xf>
    <xf numFmtId="0" fontId="15" fillId="0" borderId="0" xfId="0" applyNumberFormat="1" applyFont="1" applyFill="1" applyBorder="1" applyAlignment="1" applyProtection="1">
      <alignment horizontal="center" vertical="center" shrinkToFit="1"/>
      <protection locked="0"/>
    </xf>
    <xf numFmtId="0" fontId="212" fillId="0" borderId="0" xfId="0" applyFont="1" applyBorder="1" applyAlignment="1" applyProtection="1">
      <alignment vertical="center"/>
      <protection hidden="1"/>
    </xf>
    <xf numFmtId="0" fontId="212" fillId="0" borderId="0" xfId="0" applyFont="1" applyBorder="1" applyAlignment="1" applyProtection="1">
      <alignment vertical="center"/>
    </xf>
    <xf numFmtId="0" fontId="213" fillId="0" borderId="0" xfId="0" applyFont="1" applyProtection="1">
      <alignment vertical="center"/>
      <protection hidden="1"/>
    </xf>
    <xf numFmtId="0" fontId="213" fillId="0" borderId="0" xfId="0" applyFont="1" applyProtection="1">
      <alignment vertical="center"/>
    </xf>
    <xf numFmtId="0" fontId="40" fillId="0" borderId="0" xfId="0" applyFont="1" applyFill="1" applyProtection="1">
      <alignment vertical="center"/>
      <protection hidden="1"/>
    </xf>
    <xf numFmtId="0" fontId="40" fillId="0" borderId="0" xfId="0" applyFont="1" applyFill="1" applyProtection="1">
      <alignment vertical="center"/>
    </xf>
    <xf numFmtId="0" fontId="40" fillId="0" borderId="0" xfId="0" applyFont="1" applyFill="1" applyAlignment="1" applyProtection="1">
      <alignment vertical="center" shrinkToFit="1"/>
      <protection hidden="1"/>
    </xf>
    <xf numFmtId="38" fontId="19" fillId="0" borderId="0" xfId="3" applyFont="1" applyFill="1" applyBorder="1" applyAlignment="1" applyProtection="1">
      <alignment horizontal="left" shrinkToFit="1"/>
      <protection hidden="1"/>
    </xf>
    <xf numFmtId="0" fontId="4" fillId="0" borderId="0" xfId="0" applyFont="1" applyFill="1" applyProtection="1">
      <alignment vertical="center"/>
      <protection hidden="1"/>
    </xf>
    <xf numFmtId="0" fontId="177" fillId="0" borderId="0" xfId="0" applyNumberFormat="1" applyFont="1" applyFill="1" applyBorder="1" applyAlignment="1" applyProtection="1">
      <alignment vertical="center" shrinkToFit="1"/>
    </xf>
    <xf numFmtId="0" fontId="176" fillId="0" borderId="0" xfId="0" applyNumberFormat="1" applyFont="1" applyFill="1" applyBorder="1" applyAlignment="1" applyProtection="1">
      <alignment horizontal="center" vertical="center" shrinkToFit="1"/>
    </xf>
    <xf numFmtId="0" fontId="95" fillId="0" borderId="0" xfId="0" applyFont="1" applyFill="1" applyBorder="1" applyAlignment="1" applyProtection="1">
      <alignment vertical="center" justifyLastLine="1"/>
    </xf>
    <xf numFmtId="0" fontId="44" fillId="0" borderId="0" xfId="0" applyFont="1" applyBorder="1" applyProtection="1">
      <alignment vertical="center"/>
    </xf>
    <xf numFmtId="178" fontId="95" fillId="0" borderId="14" xfId="3" applyNumberFormat="1" applyFont="1" applyFill="1" applyBorder="1" applyAlignment="1" applyProtection="1">
      <alignment horizontal="center" vertical="center" shrinkToFit="1"/>
    </xf>
    <xf numFmtId="178" fontId="92" fillId="0" borderId="3" xfId="3" applyNumberFormat="1" applyFont="1" applyFill="1" applyBorder="1" applyAlignment="1" applyProtection="1">
      <alignment horizontal="center" vertical="center" shrinkToFit="1"/>
    </xf>
    <xf numFmtId="181" fontId="129" fillId="0" borderId="26" xfId="3" applyNumberFormat="1" applyFont="1" applyFill="1" applyBorder="1" applyAlignment="1" applyProtection="1">
      <alignment horizontal="right" vertical="center" shrinkToFit="1"/>
    </xf>
    <xf numFmtId="181" fontId="129" fillId="0" borderId="382" xfId="3" applyNumberFormat="1" applyFont="1" applyFill="1" applyBorder="1" applyAlignment="1" applyProtection="1">
      <alignment horizontal="right" vertical="center" shrinkToFit="1"/>
    </xf>
    <xf numFmtId="191" fontId="95" fillId="0" borderId="15" xfId="0" applyNumberFormat="1" applyFont="1" applyFill="1" applyBorder="1" applyAlignment="1" applyProtection="1">
      <alignment horizontal="center" vertical="center" wrapText="1" justifyLastLine="1"/>
    </xf>
    <xf numFmtId="191" fontId="95" fillId="0" borderId="79" xfId="0" applyNumberFormat="1" applyFont="1" applyFill="1" applyBorder="1" applyAlignment="1" applyProtection="1">
      <alignment vertical="center" textRotation="255" wrapText="1"/>
    </xf>
    <xf numFmtId="191" fontId="95" fillId="0" borderId="60" xfId="0" applyNumberFormat="1" applyFont="1" applyFill="1" applyBorder="1" applyAlignment="1" applyProtection="1">
      <alignment horizontal="center" vertical="center" justifyLastLine="1"/>
    </xf>
    <xf numFmtId="191" fontId="95" fillId="0" borderId="10" xfId="0" applyNumberFormat="1" applyFont="1" applyFill="1" applyBorder="1" applyAlignment="1" applyProtection="1">
      <alignment horizontal="center" vertical="center" justifyLastLine="1"/>
    </xf>
    <xf numFmtId="191" fontId="96" fillId="0" borderId="14" xfId="0" applyNumberFormat="1" applyFont="1" applyBorder="1" applyAlignment="1" applyProtection="1">
      <alignment horizontal="center" vertical="center"/>
    </xf>
    <xf numFmtId="191" fontId="96" fillId="0" borderId="15" xfId="0" applyNumberFormat="1" applyFont="1" applyBorder="1" applyAlignment="1" applyProtection="1">
      <alignment horizontal="center" vertical="center"/>
    </xf>
    <xf numFmtId="191" fontId="95" fillId="0" borderId="14" xfId="0" applyNumberFormat="1" applyFont="1" applyFill="1" applyBorder="1" applyAlignment="1" applyProtection="1">
      <alignment horizontal="center" vertical="center" justifyLastLine="1"/>
    </xf>
    <xf numFmtId="191" fontId="95" fillId="0" borderId="15" xfId="0" applyNumberFormat="1" applyFont="1" applyFill="1" applyBorder="1" applyAlignment="1" applyProtection="1">
      <alignment horizontal="center" vertical="center" justifyLastLine="1"/>
    </xf>
    <xf numFmtId="191" fontId="108" fillId="0" borderId="15" xfId="0" applyNumberFormat="1" applyFont="1" applyFill="1" applyBorder="1" applyAlignment="1" applyProtection="1">
      <alignment vertical="center" justifyLastLine="1"/>
    </xf>
    <xf numFmtId="191" fontId="95" fillId="0" borderId="10" xfId="0" applyNumberFormat="1" applyFont="1" applyFill="1" applyBorder="1" applyAlignment="1" applyProtection="1">
      <alignment vertical="center" justifyLastLine="1"/>
    </xf>
    <xf numFmtId="191" fontId="95" fillId="0" borderId="311" xfId="0" applyNumberFormat="1" applyFont="1" applyFill="1" applyBorder="1" applyAlignment="1" applyProtection="1">
      <alignment vertical="center" justifyLastLine="1"/>
    </xf>
    <xf numFmtId="191" fontId="95" fillId="0" borderId="75" xfId="0" applyNumberFormat="1" applyFont="1" applyFill="1" applyBorder="1" applyAlignment="1" applyProtection="1">
      <alignment vertical="center" textRotation="255" wrapText="1"/>
    </xf>
    <xf numFmtId="191" fontId="95" fillId="0" borderId="80" xfId="0" applyNumberFormat="1" applyFont="1" applyFill="1" applyBorder="1" applyAlignment="1" applyProtection="1">
      <alignment horizontal="center" vertical="center" justifyLastLine="1"/>
    </xf>
    <xf numFmtId="191" fontId="95" fillId="0" borderId="139" xfId="0" applyNumberFormat="1" applyFont="1" applyFill="1" applyBorder="1" applyAlignment="1" applyProtection="1">
      <alignment horizontal="center" vertical="center" wrapText="1" justifyLastLine="1"/>
    </xf>
    <xf numFmtId="191" fontId="95" fillId="0" borderId="81" xfId="0" applyNumberFormat="1" applyFont="1" applyFill="1" applyBorder="1" applyAlignment="1" applyProtection="1">
      <alignment horizontal="center" vertical="center" wrapText="1" justifyLastLine="1"/>
    </xf>
    <xf numFmtId="191" fontId="95" fillId="0" borderId="80" xfId="0" applyNumberFormat="1" applyFont="1" applyFill="1" applyBorder="1" applyAlignment="1" applyProtection="1">
      <alignment horizontal="center" vertical="center" wrapText="1" justifyLastLine="1"/>
    </xf>
    <xf numFmtId="191" fontId="80" fillId="0" borderId="139" xfId="0" applyNumberFormat="1" applyFont="1" applyFill="1" applyBorder="1" applyAlignment="1" applyProtection="1">
      <alignment vertical="center" shrinkToFit="1"/>
    </xf>
    <xf numFmtId="191" fontId="95" fillId="0" borderId="81" xfId="0" applyNumberFormat="1" applyFont="1" applyFill="1" applyBorder="1" applyAlignment="1" applyProtection="1">
      <alignment horizontal="left" vertical="center"/>
    </xf>
    <xf numFmtId="191" fontId="96" fillId="0" borderId="81" xfId="0" applyNumberFormat="1" applyFont="1" applyBorder="1" applyProtection="1">
      <alignment vertical="center"/>
    </xf>
    <xf numFmtId="191" fontId="96" fillId="0" borderId="18" xfId="0" applyNumberFormat="1" applyFont="1" applyBorder="1" applyAlignment="1" applyProtection="1">
      <alignment horizontal="left" vertical="center"/>
    </xf>
    <xf numFmtId="0" fontId="101" fillId="0" borderId="11" xfId="8" applyFont="1" applyBorder="1" applyAlignment="1" applyProtection="1">
      <alignment horizontal="center" vertical="center"/>
      <protection locked="0"/>
    </xf>
    <xf numFmtId="0" fontId="80" fillId="0" borderId="11" xfId="8" applyFont="1" applyBorder="1" applyAlignment="1" applyProtection="1">
      <alignment horizontal="center" vertical="center"/>
      <protection locked="0"/>
    </xf>
    <xf numFmtId="0" fontId="80" fillId="0" borderId="2" xfId="8" applyFont="1" applyBorder="1" applyAlignment="1">
      <alignment horizontal="center" vertical="center"/>
    </xf>
    <xf numFmtId="0" fontId="80" fillId="0" borderId="1" xfId="8" applyFont="1" applyBorder="1" applyAlignment="1" applyProtection="1">
      <alignment horizontal="center" vertical="center"/>
      <protection locked="0"/>
    </xf>
    <xf numFmtId="0" fontId="80" fillId="0" borderId="2" xfId="8" applyFont="1" applyBorder="1" applyAlignment="1" applyProtection="1">
      <alignment horizontal="center" vertical="center"/>
      <protection locked="0"/>
    </xf>
    <xf numFmtId="0" fontId="80" fillId="0" borderId="3" xfId="8" applyFont="1" applyBorder="1" applyAlignment="1" applyProtection="1">
      <alignment horizontal="center" vertical="center"/>
      <protection locked="0"/>
    </xf>
    <xf numFmtId="0" fontId="80" fillId="0" borderId="60" xfId="8" applyFont="1" applyBorder="1" applyAlignment="1" applyProtection="1">
      <alignment horizontal="center" vertical="center"/>
      <protection locked="0"/>
    </xf>
    <xf numFmtId="49" fontId="158" fillId="0" borderId="0" xfId="0" applyNumberFormat="1" applyFont="1" applyAlignment="1" applyProtection="1">
      <alignment horizontal="left" vertical="center"/>
    </xf>
    <xf numFmtId="0" fontId="80" fillId="0" borderId="0" xfId="0" applyFont="1">
      <alignment vertical="center"/>
    </xf>
    <xf numFmtId="49" fontId="158" fillId="0" borderId="21" xfId="0" applyNumberFormat="1" applyFont="1" applyFill="1" applyBorder="1" applyAlignment="1">
      <alignment horizontal="left" vertical="center"/>
    </xf>
    <xf numFmtId="49" fontId="158" fillId="3" borderId="21" xfId="0" applyNumberFormat="1" applyFont="1" applyFill="1" applyBorder="1" applyAlignment="1">
      <alignment horizontal="left" vertical="center" wrapText="1"/>
    </xf>
    <xf numFmtId="49" fontId="158" fillId="0" borderId="21" xfId="0" applyNumberFormat="1" applyFont="1" applyBorder="1" applyAlignment="1">
      <alignment horizontal="left" vertical="center" wrapText="1"/>
    </xf>
    <xf numFmtId="49" fontId="158" fillId="0" borderId="15" xfId="0" applyNumberFormat="1" applyFont="1" applyBorder="1" applyAlignment="1">
      <alignment horizontal="left" vertical="center" wrapText="1"/>
    </xf>
    <xf numFmtId="49" fontId="158" fillId="0" borderId="10" xfId="0" applyNumberFormat="1" applyFont="1" applyBorder="1" applyAlignment="1">
      <alignment horizontal="left" vertical="center" wrapText="1"/>
    </xf>
    <xf numFmtId="49" fontId="158" fillId="0" borderId="14" xfId="0" applyNumberFormat="1" applyFont="1" applyBorder="1" applyAlignment="1">
      <alignment horizontal="left" vertical="center" wrapText="1"/>
    </xf>
    <xf numFmtId="49" fontId="158" fillId="0" borderId="13" xfId="0" applyNumberFormat="1" applyFont="1" applyBorder="1" applyAlignment="1">
      <alignment horizontal="left" vertical="center" wrapText="1"/>
    </xf>
    <xf numFmtId="49" fontId="158" fillId="0" borderId="0" xfId="0" applyNumberFormat="1" applyFont="1" applyAlignment="1">
      <alignment horizontal="left" vertical="center" wrapText="1"/>
    </xf>
    <xf numFmtId="49" fontId="158" fillId="0" borderId="12" xfId="0" applyNumberFormat="1" applyFont="1" applyBorder="1" applyAlignment="1">
      <alignment horizontal="left" vertical="center" wrapText="1"/>
    </xf>
    <xf numFmtId="49" fontId="158" fillId="0" borderId="11" xfId="0" applyNumberFormat="1" applyFont="1" applyBorder="1" applyAlignment="1">
      <alignment horizontal="left" vertical="center" wrapText="1"/>
    </xf>
    <xf numFmtId="49" fontId="158" fillId="0" borderId="2" xfId="0" applyNumberFormat="1" applyFont="1" applyBorder="1" applyAlignment="1">
      <alignment horizontal="left" vertical="center" wrapText="1"/>
    </xf>
    <xf numFmtId="49" fontId="158" fillId="0" borderId="3" xfId="0" applyNumberFormat="1" applyFont="1" applyBorder="1" applyAlignment="1">
      <alignment horizontal="left" vertical="center" wrapText="1"/>
    </xf>
    <xf numFmtId="49" fontId="163" fillId="19" borderId="61" xfId="0" applyNumberFormat="1" applyFont="1" applyFill="1" applyBorder="1" applyAlignment="1">
      <alignment horizontal="left" vertical="center"/>
    </xf>
    <xf numFmtId="49" fontId="163" fillId="19" borderId="17" xfId="0" applyNumberFormat="1" applyFont="1" applyFill="1" applyBorder="1" applyAlignment="1">
      <alignment horizontal="left" vertical="center"/>
    </xf>
    <xf numFmtId="49" fontId="163" fillId="19" borderId="60" xfId="0" applyNumberFormat="1" applyFont="1" applyFill="1" applyBorder="1" applyAlignment="1">
      <alignment horizontal="left" vertical="center"/>
    </xf>
    <xf numFmtId="49" fontId="158" fillId="18" borderId="61" xfId="0" applyNumberFormat="1" applyFont="1" applyFill="1" applyBorder="1" applyAlignment="1">
      <alignment horizontal="left" vertical="center"/>
    </xf>
    <xf numFmtId="49" fontId="158" fillId="18" borderId="17" xfId="0" applyNumberFormat="1" applyFont="1" applyFill="1" applyBorder="1" applyAlignment="1">
      <alignment horizontal="left" vertical="center"/>
    </xf>
    <xf numFmtId="49" fontId="158" fillId="18" borderId="60" xfId="0" applyNumberFormat="1" applyFont="1" applyFill="1" applyBorder="1" applyAlignment="1">
      <alignment horizontal="left" vertical="center"/>
    </xf>
    <xf numFmtId="49" fontId="158" fillId="0" borderId="61" xfId="0" applyNumberFormat="1" applyFont="1" applyBorder="1" applyAlignment="1">
      <alignment horizontal="left" vertical="center" wrapText="1"/>
    </xf>
    <xf numFmtId="49" fontId="158" fillId="0" borderId="17" xfId="0" applyNumberFormat="1" applyFont="1" applyBorder="1" applyAlignment="1">
      <alignment horizontal="left" vertical="center" wrapText="1"/>
    </xf>
    <xf numFmtId="49" fontId="158" fillId="0" borderId="60" xfId="0" applyNumberFormat="1" applyFont="1" applyBorder="1" applyAlignment="1">
      <alignment horizontal="left" vertical="center" wrapText="1"/>
    </xf>
    <xf numFmtId="49" fontId="158" fillId="3" borderId="61" xfId="0" applyNumberFormat="1" applyFont="1" applyFill="1" applyBorder="1" applyAlignment="1">
      <alignment horizontal="left" vertical="center"/>
    </xf>
    <xf numFmtId="49" fontId="158" fillId="3" borderId="17" xfId="0" applyNumberFormat="1" applyFont="1" applyFill="1" applyBorder="1" applyAlignment="1">
      <alignment horizontal="left" vertical="center"/>
    </xf>
    <xf numFmtId="49" fontId="158" fillId="3" borderId="60" xfId="0" applyNumberFormat="1" applyFont="1" applyFill="1" applyBorder="1" applyAlignment="1">
      <alignment horizontal="left" vertical="center"/>
    </xf>
    <xf numFmtId="0" fontId="96" fillId="0" borderId="0" xfId="0" applyFont="1" applyAlignment="1" applyProtection="1">
      <alignment horizontal="center" vertical="center"/>
    </xf>
    <xf numFmtId="49" fontId="159" fillId="0" borderId="0" xfId="0" applyNumberFormat="1" applyFont="1" applyAlignment="1" applyProtection="1">
      <alignment horizontal="left" vertical="center"/>
    </xf>
    <xf numFmtId="49" fontId="158" fillId="0" borderId="0" xfId="0" applyNumberFormat="1" applyFont="1" applyAlignment="1" applyProtection="1">
      <alignment horizontal="left" vertical="center"/>
    </xf>
    <xf numFmtId="49" fontId="158" fillId="0" borderId="0" xfId="0" applyNumberFormat="1" applyFont="1" applyAlignment="1" applyProtection="1">
      <alignment horizontal="center" vertical="center"/>
    </xf>
    <xf numFmtId="49" fontId="158" fillId="0" borderId="61" xfId="0" applyNumberFormat="1" applyFont="1" applyBorder="1" applyAlignment="1" applyProtection="1">
      <alignment horizontal="center" vertical="center"/>
    </xf>
    <xf numFmtId="49" fontId="158" fillId="0" borderId="17" xfId="0" applyNumberFormat="1" applyFont="1" applyBorder="1" applyAlignment="1" applyProtection="1">
      <alignment horizontal="center" vertical="center"/>
    </xf>
    <xf numFmtId="49" fontId="158" fillId="0" borderId="60" xfId="0" applyNumberFormat="1" applyFont="1" applyBorder="1" applyAlignment="1" applyProtection="1">
      <alignment horizontal="center" vertical="center"/>
    </xf>
    <xf numFmtId="0" fontId="135" fillId="0" borderId="0" xfId="0" applyFont="1" applyFill="1" applyAlignment="1" applyProtection="1">
      <alignment horizontal="center" vertical="center"/>
    </xf>
    <xf numFmtId="0" fontId="158" fillId="6" borderId="0" xfId="0" applyFont="1" applyFill="1" applyAlignment="1" applyProtection="1">
      <alignment horizontal="center" vertical="center"/>
    </xf>
    <xf numFmtId="49" fontId="158" fillId="20" borderId="0" xfId="0" applyNumberFormat="1" applyFont="1" applyFill="1" applyAlignment="1" applyProtection="1">
      <alignment horizontal="center" vertical="center"/>
    </xf>
    <xf numFmtId="49" fontId="159" fillId="0" borderId="0" xfId="0" applyNumberFormat="1" applyFont="1" applyAlignment="1" applyProtection="1">
      <alignment horizontal="left" vertical="center" wrapText="1"/>
    </xf>
    <xf numFmtId="49" fontId="158" fillId="0" borderId="21" xfId="0" applyNumberFormat="1" applyFont="1" applyBorder="1" applyAlignment="1" applyProtection="1">
      <alignment horizontal="center" vertical="center"/>
    </xf>
    <xf numFmtId="0" fontId="158" fillId="0" borderId="0" xfId="0" applyFont="1" applyBorder="1" applyAlignment="1">
      <alignment horizontal="left" vertical="center"/>
    </xf>
    <xf numFmtId="49" fontId="158" fillId="0" borderId="61" xfId="0" applyNumberFormat="1" applyFont="1" applyBorder="1" applyAlignment="1" applyProtection="1">
      <alignment horizontal="left" vertical="center"/>
    </xf>
    <xf numFmtId="49" fontId="158" fillId="0" borderId="17" xfId="0" applyNumberFormat="1" applyFont="1" applyBorder="1" applyAlignment="1" applyProtection="1">
      <alignment horizontal="left" vertical="center"/>
    </xf>
    <xf numFmtId="49" fontId="158" fillId="0" borderId="60" xfId="0" applyNumberFormat="1" applyFont="1" applyBorder="1" applyAlignment="1" applyProtection="1">
      <alignment horizontal="left" vertical="center"/>
    </xf>
    <xf numFmtId="49" fontId="192" fillId="0" borderId="104" xfId="12" applyNumberFormat="1" applyFont="1" applyBorder="1" applyAlignment="1" applyProtection="1">
      <alignment horizontal="left" vertical="center"/>
    </xf>
    <xf numFmtId="49" fontId="159" fillId="0" borderId="104" xfId="0" applyNumberFormat="1" applyFont="1" applyBorder="1" applyAlignment="1" applyProtection="1">
      <alignment horizontal="left" vertical="center"/>
    </xf>
    <xf numFmtId="49" fontId="159" fillId="0" borderId="116" xfId="0" applyNumberFormat="1" applyFont="1" applyBorder="1" applyAlignment="1" applyProtection="1">
      <alignment horizontal="left" vertical="center"/>
    </xf>
    <xf numFmtId="49" fontId="158" fillId="0" borderId="0" xfId="0" applyNumberFormat="1" applyFont="1" applyAlignment="1">
      <alignment horizontal="center" vertical="center"/>
    </xf>
    <xf numFmtId="49" fontId="159" fillId="0" borderId="0" xfId="0" applyNumberFormat="1" applyFont="1" applyBorder="1" applyAlignment="1" applyProtection="1">
      <alignment horizontal="center" vertical="center"/>
    </xf>
    <xf numFmtId="49" fontId="158" fillId="0" borderId="0" xfId="0" applyNumberFormat="1" applyFont="1" applyBorder="1" applyAlignment="1" applyProtection="1">
      <alignment horizontal="center" vertical="center"/>
    </xf>
    <xf numFmtId="49" fontId="159" fillId="0" borderId="67" xfId="0" applyNumberFormat="1" applyFont="1" applyBorder="1" applyAlignment="1" applyProtection="1">
      <alignment horizontal="center" vertical="center" shrinkToFit="1"/>
    </xf>
    <xf numFmtId="49" fontId="159" fillId="0" borderId="166" xfId="0" applyNumberFormat="1" applyFont="1" applyBorder="1" applyAlignment="1" applyProtection="1">
      <alignment horizontal="center" vertical="center" shrinkToFit="1"/>
    </xf>
    <xf numFmtId="49" fontId="158" fillId="0" borderId="0" xfId="0" applyNumberFormat="1" applyFont="1" applyAlignment="1">
      <alignment horizontal="left" vertical="center"/>
    </xf>
    <xf numFmtId="0" fontId="165" fillId="0" borderId="0" xfId="0" applyFont="1" applyBorder="1" applyAlignment="1">
      <alignment horizontal="left" vertical="center"/>
    </xf>
    <xf numFmtId="49" fontId="162" fillId="7" borderId="61" xfId="0" applyNumberFormat="1" applyFont="1" applyFill="1" applyBorder="1" applyAlignment="1">
      <alignment horizontal="left" vertical="center"/>
    </xf>
    <xf numFmtId="49" fontId="162" fillId="7" borderId="17" xfId="0" applyNumberFormat="1" applyFont="1" applyFill="1" applyBorder="1" applyAlignment="1">
      <alignment horizontal="left" vertical="center"/>
    </xf>
    <xf numFmtId="49" fontId="162" fillId="7" borderId="60" xfId="0" applyNumberFormat="1" applyFont="1" applyFill="1" applyBorder="1" applyAlignment="1">
      <alignment horizontal="left" vertical="center"/>
    </xf>
    <xf numFmtId="49" fontId="163" fillId="7" borderId="21" xfId="0" applyNumberFormat="1" applyFont="1" applyFill="1" applyBorder="1" applyAlignment="1">
      <alignment horizontal="left" vertical="center" wrapText="1"/>
    </xf>
    <xf numFmtId="49" fontId="168" fillId="0" borderId="21" xfId="0" applyNumberFormat="1" applyFont="1" applyBorder="1" applyAlignment="1">
      <alignment horizontal="left" vertical="center" wrapText="1"/>
    </xf>
    <xf numFmtId="0" fontId="95" fillId="0" borderId="8" xfId="0" applyNumberFormat="1" applyFont="1" applyBorder="1" applyAlignment="1" applyProtection="1">
      <alignment horizontal="center" vertical="center"/>
      <protection locked="0"/>
    </xf>
    <xf numFmtId="0" fontId="204" fillId="0" borderId="0" xfId="0" applyFont="1" applyBorder="1" applyAlignment="1">
      <alignment horizontal="center" vertical="center" textRotation="255"/>
    </xf>
    <xf numFmtId="0" fontId="100" fillId="0" borderId="0" xfId="0" applyFont="1" applyBorder="1" applyAlignment="1" applyProtection="1">
      <alignment horizontal="center" vertical="center" wrapText="1"/>
    </xf>
    <xf numFmtId="0" fontId="100" fillId="0" borderId="2" xfId="0" applyFont="1" applyBorder="1" applyAlignment="1" applyProtection="1">
      <alignment horizontal="center" vertical="center"/>
    </xf>
    <xf numFmtId="178" fontId="95" fillId="0" borderId="8" xfId="0" applyNumberFormat="1" applyFont="1" applyBorder="1" applyAlignment="1" applyProtection="1">
      <alignment horizontal="center" vertical="center"/>
    </xf>
    <xf numFmtId="0" fontId="96" fillId="0" borderId="8" xfId="0" applyFont="1" applyBorder="1" applyAlignment="1">
      <alignment horizontal="left" vertical="center"/>
    </xf>
    <xf numFmtId="0" fontId="96" fillId="0" borderId="127" xfId="0" applyFont="1" applyBorder="1" applyAlignment="1">
      <alignment horizontal="left" vertical="center"/>
    </xf>
    <xf numFmtId="49" fontId="92" fillId="0" borderId="8" xfId="0" applyNumberFormat="1" applyFont="1" applyBorder="1" applyAlignment="1" applyProtection="1">
      <alignment horizontal="left" vertical="center"/>
    </xf>
    <xf numFmtId="49" fontId="92" fillId="0" borderId="127" xfId="0" applyNumberFormat="1" applyFont="1" applyBorder="1" applyAlignment="1" applyProtection="1">
      <alignment horizontal="left" vertical="center"/>
    </xf>
    <xf numFmtId="49" fontId="94" fillId="0" borderId="121" xfId="0" applyNumberFormat="1" applyFont="1" applyBorder="1" applyAlignment="1" applyProtection="1">
      <alignment horizontal="center" vertical="center" shrinkToFit="1"/>
      <protection locked="0"/>
    </xf>
    <xf numFmtId="49" fontId="94" fillId="0" borderId="118" xfId="0" applyNumberFormat="1" applyFont="1" applyBorder="1" applyAlignment="1" applyProtection="1">
      <alignment horizontal="center" vertical="center" shrinkToFit="1"/>
      <protection locked="0"/>
    </xf>
    <xf numFmtId="49" fontId="94" fillId="0" borderId="120" xfId="0" applyNumberFormat="1" applyFont="1" applyBorder="1" applyAlignment="1" applyProtection="1">
      <alignment horizontal="center" vertical="center" shrinkToFit="1"/>
      <protection locked="0"/>
    </xf>
    <xf numFmtId="49" fontId="94" fillId="0" borderId="6" xfId="0" applyNumberFormat="1" applyFont="1" applyBorder="1" applyAlignment="1" applyProtection="1">
      <alignment horizontal="center" vertical="center" shrinkToFit="1"/>
      <protection locked="0"/>
    </xf>
    <xf numFmtId="49" fontId="95" fillId="0" borderId="132" xfId="0" applyNumberFormat="1" applyFont="1" applyBorder="1" applyAlignment="1">
      <alignment horizontal="center" vertical="center"/>
    </xf>
    <xf numFmtId="49" fontId="95" fillId="0" borderId="125" xfId="0" applyNumberFormat="1" applyFont="1" applyBorder="1" applyAlignment="1">
      <alignment horizontal="center" vertical="center"/>
    </xf>
    <xf numFmtId="49" fontId="95" fillId="0" borderId="4" xfId="0" applyNumberFormat="1" applyFont="1" applyBorder="1" applyAlignment="1">
      <alignment horizontal="center" vertical="center"/>
    </xf>
    <xf numFmtId="0" fontId="96" fillId="0" borderId="2" xfId="0" applyFont="1" applyBorder="1" applyAlignment="1" applyProtection="1">
      <alignment horizontal="center" vertical="center"/>
    </xf>
    <xf numFmtId="0" fontId="101" fillId="0" borderId="61" xfId="0" applyFont="1" applyBorder="1" applyAlignment="1" applyProtection="1">
      <alignment horizontal="center" vertical="center" wrapText="1"/>
    </xf>
    <xf numFmtId="0" fontId="101" fillId="0" borderId="17" xfId="0" applyFont="1" applyBorder="1" applyAlignment="1" applyProtection="1">
      <alignment horizontal="center" vertical="center" wrapText="1"/>
    </xf>
    <xf numFmtId="0" fontId="101" fillId="0" borderId="60" xfId="0" applyFont="1" applyBorder="1" applyAlignment="1" applyProtection="1">
      <alignment horizontal="center" vertical="center" wrapText="1"/>
    </xf>
    <xf numFmtId="0" fontId="92" fillId="0" borderId="0" xfId="0" applyFont="1" applyBorder="1" applyAlignment="1" applyProtection="1">
      <alignment horizontal="center" vertical="center" wrapText="1"/>
    </xf>
    <xf numFmtId="0" fontId="101" fillId="0" borderId="0" xfId="0" applyFont="1" applyBorder="1" applyAlignment="1" applyProtection="1">
      <alignment horizontal="center" vertical="center" wrapText="1"/>
    </xf>
    <xf numFmtId="49" fontId="99" fillId="0" borderId="313" xfId="0" applyNumberFormat="1" applyFont="1" applyBorder="1" applyAlignment="1" applyProtection="1">
      <alignment horizontal="center" vertical="center" wrapText="1"/>
    </xf>
    <xf numFmtId="49" fontId="99" fillId="0" borderId="314" xfId="0" applyNumberFormat="1" applyFont="1" applyBorder="1" applyAlignment="1" applyProtection="1">
      <alignment horizontal="center" vertical="center" wrapText="1"/>
    </xf>
    <xf numFmtId="49" fontId="99" fillId="0" borderId="315" xfId="0" applyNumberFormat="1" applyFont="1" applyBorder="1" applyAlignment="1" applyProtection="1">
      <alignment horizontal="center" vertical="center" wrapText="1"/>
    </xf>
    <xf numFmtId="49" fontId="99" fillId="0" borderId="316" xfId="0" applyNumberFormat="1" applyFont="1" applyBorder="1" applyAlignment="1" applyProtection="1">
      <alignment horizontal="center" vertical="center" wrapText="1"/>
    </xf>
    <xf numFmtId="49" fontId="99" fillId="0" borderId="317" xfId="0" applyNumberFormat="1" applyFont="1" applyBorder="1" applyAlignment="1" applyProtection="1">
      <alignment horizontal="center" vertical="center" wrapText="1"/>
    </xf>
    <xf numFmtId="49" fontId="99" fillId="0" borderId="318" xfId="0" applyNumberFormat="1" applyFont="1" applyBorder="1" applyAlignment="1" applyProtection="1">
      <alignment horizontal="center" vertical="center" wrapText="1"/>
    </xf>
    <xf numFmtId="49" fontId="99" fillId="0" borderId="319" xfId="0" applyNumberFormat="1" applyFont="1" applyBorder="1" applyAlignment="1" applyProtection="1">
      <alignment horizontal="center" vertical="center" wrapText="1"/>
    </xf>
    <xf numFmtId="49" fontId="99" fillId="0" borderId="320" xfId="0" applyNumberFormat="1" applyFont="1" applyBorder="1" applyAlignment="1" applyProtection="1">
      <alignment horizontal="center" vertical="center" wrapText="1"/>
    </xf>
    <xf numFmtId="49" fontId="99" fillId="0" borderId="321" xfId="0" applyNumberFormat="1" applyFont="1" applyBorder="1" applyAlignment="1" applyProtection="1">
      <alignment horizontal="center" vertical="center" wrapText="1"/>
    </xf>
    <xf numFmtId="0" fontId="95" fillId="0" borderId="6" xfId="0" applyNumberFormat="1" applyFont="1" applyBorder="1" applyAlignment="1" applyProtection="1">
      <alignment horizontal="center" vertical="center"/>
    </xf>
    <xf numFmtId="0" fontId="101" fillId="0" borderId="0" xfId="0" applyFont="1" applyBorder="1" applyAlignment="1" applyProtection="1">
      <alignment horizontal="center" vertical="center"/>
      <protection locked="0"/>
    </xf>
    <xf numFmtId="0" fontId="92" fillId="0" borderId="0" xfId="0" applyFont="1" applyBorder="1" applyAlignment="1" applyProtection="1">
      <alignment horizontal="left" vertical="center" wrapText="1"/>
    </xf>
    <xf numFmtId="0" fontId="204" fillId="0" borderId="0" xfId="0" applyFont="1" applyBorder="1" applyAlignment="1">
      <alignment horizontal="center" vertical="center"/>
    </xf>
    <xf numFmtId="49" fontId="95" fillId="0" borderId="118" xfId="0" applyNumberFormat="1" applyFont="1" applyBorder="1" applyAlignment="1">
      <alignment horizontal="center" vertical="center"/>
    </xf>
    <xf numFmtId="49" fontId="95" fillId="0" borderId="6" xfId="0" applyNumberFormat="1" applyFont="1" applyBorder="1" applyAlignment="1">
      <alignment horizontal="center" vertical="center"/>
    </xf>
    <xf numFmtId="49" fontId="95" fillId="0" borderId="130" xfId="0" applyNumberFormat="1" applyFont="1" applyBorder="1" applyAlignment="1">
      <alignment horizontal="center" vertical="center"/>
    </xf>
    <xf numFmtId="49" fontId="95" fillId="0" borderId="7" xfId="0" applyNumberFormat="1" applyFont="1" applyBorder="1" applyAlignment="1">
      <alignment horizontal="center" vertical="center"/>
    </xf>
    <xf numFmtId="49" fontId="95" fillId="0" borderId="118" xfId="0" applyNumberFormat="1" applyFont="1" applyBorder="1" applyAlignment="1" applyProtection="1">
      <alignment horizontal="center" vertical="center"/>
      <protection locked="0"/>
    </xf>
    <xf numFmtId="49" fontId="95" fillId="0" borderId="6" xfId="0" applyNumberFormat="1" applyFont="1" applyBorder="1" applyAlignment="1" applyProtection="1">
      <alignment horizontal="center" vertical="center"/>
      <protection locked="0"/>
    </xf>
    <xf numFmtId="49" fontId="99" fillId="0" borderId="8" xfId="0" applyNumberFormat="1" applyFont="1" applyBorder="1" applyAlignment="1" applyProtection="1">
      <alignment horizontal="center" vertical="center"/>
      <protection locked="0"/>
    </xf>
    <xf numFmtId="49" fontId="94" fillId="0" borderId="118" xfId="0" applyNumberFormat="1" applyFont="1" applyBorder="1" applyAlignment="1" applyProtection="1">
      <alignment horizontal="center" vertical="center"/>
    </xf>
    <xf numFmtId="49" fontId="94" fillId="0" borderId="6" xfId="0" applyNumberFormat="1" applyFont="1" applyBorder="1" applyAlignment="1" applyProtection="1">
      <alignment horizontal="center" vertical="center"/>
    </xf>
    <xf numFmtId="49" fontId="95" fillId="0" borderId="118" xfId="0" applyNumberFormat="1" applyFont="1" applyBorder="1" applyAlignment="1" applyProtection="1">
      <alignment horizontal="center" vertical="center"/>
    </xf>
    <xf numFmtId="49" fontId="95" fillId="0" borderId="6" xfId="0" applyNumberFormat="1" applyFont="1" applyBorder="1" applyAlignment="1" applyProtection="1">
      <alignment horizontal="center" vertical="center"/>
    </xf>
    <xf numFmtId="49" fontId="92" fillId="0" borderId="131" xfId="0" applyNumberFormat="1" applyFont="1" applyBorder="1" applyAlignment="1" applyProtection="1">
      <alignment horizontal="center" vertical="center" textRotation="255"/>
    </xf>
    <xf numFmtId="49" fontId="92" fillId="0" borderId="123" xfId="0" applyNumberFormat="1" applyFont="1" applyBorder="1" applyAlignment="1" applyProtection="1">
      <alignment horizontal="center" vertical="center" textRotation="255"/>
    </xf>
    <xf numFmtId="49" fontId="95" fillId="0" borderId="122" xfId="0" applyNumberFormat="1" applyFont="1" applyBorder="1" applyAlignment="1" applyProtection="1">
      <alignment horizontal="center" vertical="center"/>
      <protection locked="0"/>
    </xf>
    <xf numFmtId="49" fontId="95" fillId="0" borderId="8" xfId="0" applyNumberFormat="1" applyFont="1" applyBorder="1" applyAlignment="1" applyProtection="1">
      <alignment horizontal="center" vertical="center"/>
      <protection locked="0"/>
    </xf>
    <xf numFmtId="49" fontId="99" fillId="0" borderId="121" xfId="0" applyNumberFormat="1" applyFont="1" applyBorder="1" applyAlignment="1">
      <alignment horizontal="center" vertical="center" wrapText="1"/>
    </xf>
    <xf numFmtId="49" fontId="99" fillId="0" borderId="118" xfId="0" applyNumberFormat="1" applyFont="1" applyBorder="1" applyAlignment="1">
      <alignment horizontal="center" vertical="center" wrapText="1"/>
    </xf>
    <xf numFmtId="49" fontId="99" fillId="0" borderId="135" xfId="0" applyNumberFormat="1" applyFont="1" applyBorder="1" applyAlignment="1">
      <alignment horizontal="center" vertical="center" wrapText="1"/>
    </xf>
    <xf numFmtId="49" fontId="99" fillId="0" borderId="283" xfId="0" applyNumberFormat="1" applyFont="1" applyBorder="1" applyAlignment="1">
      <alignment horizontal="center" vertical="center" wrapText="1"/>
    </xf>
    <xf numFmtId="49" fontId="99" fillId="0" borderId="0" xfId="0" applyNumberFormat="1" applyFont="1" applyBorder="1" applyAlignment="1">
      <alignment horizontal="center" vertical="center" wrapText="1"/>
    </xf>
    <xf numFmtId="49" fontId="99" fillId="0" borderId="12" xfId="0" applyNumberFormat="1" applyFont="1" applyBorder="1" applyAlignment="1">
      <alignment horizontal="center" vertical="center" wrapText="1"/>
    </xf>
    <xf numFmtId="49" fontId="99" fillId="0" borderId="120" xfId="0" applyNumberFormat="1" applyFont="1" applyBorder="1" applyAlignment="1">
      <alignment horizontal="center" vertical="center" wrapText="1"/>
    </xf>
    <xf numFmtId="49" fontId="99" fillId="0" borderId="6" xfId="0" applyNumberFormat="1" applyFont="1" applyBorder="1" applyAlignment="1">
      <alignment horizontal="center" vertical="center" wrapText="1"/>
    </xf>
    <xf numFmtId="49" fontId="99" fillId="0" borderId="5" xfId="0" applyNumberFormat="1" applyFont="1" applyBorder="1" applyAlignment="1">
      <alignment horizontal="center" vertical="center" wrapText="1"/>
    </xf>
    <xf numFmtId="49" fontId="99" fillId="0" borderId="130" xfId="0" applyNumberFormat="1" applyFont="1" applyBorder="1" applyAlignment="1">
      <alignment horizontal="center" vertical="center" wrapText="1"/>
    </xf>
    <xf numFmtId="49" fontId="99" fillId="0" borderId="114" xfId="0" applyNumberFormat="1" applyFont="1" applyBorder="1" applyAlignment="1">
      <alignment horizontal="center" vertical="center" wrapText="1"/>
    </xf>
    <xf numFmtId="49" fontId="99" fillId="0" borderId="7" xfId="0" applyNumberFormat="1" applyFont="1" applyBorder="1" applyAlignment="1">
      <alignment horizontal="center" vertical="center" wrapText="1"/>
    </xf>
    <xf numFmtId="49" fontId="99" fillId="0" borderId="122" xfId="0" applyNumberFormat="1" applyFont="1" applyBorder="1" applyAlignment="1">
      <alignment horizontal="center" vertical="center"/>
    </xf>
    <xf numFmtId="49" fontId="99" fillId="0" borderId="8" xfId="0" applyNumberFormat="1" applyFont="1" applyBorder="1" applyAlignment="1">
      <alignment horizontal="center" vertical="center"/>
    </xf>
    <xf numFmtId="0" fontId="96" fillId="0" borderId="0" xfId="0" applyFont="1" applyBorder="1" applyAlignment="1" applyProtection="1">
      <alignment horizontal="center" vertical="center" wrapText="1"/>
      <protection locked="0"/>
    </xf>
    <xf numFmtId="49" fontId="92" fillId="0" borderId="131" xfId="0" applyNumberFormat="1" applyFont="1" applyBorder="1" applyAlignment="1">
      <alignment horizontal="center" vertical="center" textRotation="255"/>
    </xf>
    <xf numFmtId="49" fontId="92" fillId="0" borderId="123" xfId="0" applyNumberFormat="1" applyFont="1" applyBorder="1" applyAlignment="1">
      <alignment horizontal="center" vertical="center" textRotation="255"/>
    </xf>
    <xf numFmtId="49" fontId="93" fillId="0" borderId="10" xfId="0" applyNumberFormat="1" applyFont="1" applyBorder="1" applyAlignment="1" applyProtection="1">
      <alignment horizontal="center" vertical="center"/>
    </xf>
    <xf numFmtId="0" fontId="93" fillId="0" borderId="10" xfId="0" applyNumberFormat="1" applyFont="1" applyBorder="1" applyAlignment="1" applyProtection="1">
      <alignment horizontal="center" vertical="center"/>
      <protection locked="0"/>
    </xf>
    <xf numFmtId="0" fontId="93" fillId="0" borderId="14" xfId="0" applyNumberFormat="1"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shrinkToFit="1"/>
      <protection locked="0"/>
    </xf>
    <xf numFmtId="49" fontId="94" fillId="0" borderId="3" xfId="0" applyNumberFormat="1" applyFont="1" applyBorder="1" applyAlignment="1" applyProtection="1">
      <alignment horizontal="center" vertical="center" shrinkToFit="1"/>
      <protection locked="0"/>
    </xf>
    <xf numFmtId="49" fontId="74" fillId="0" borderId="0" xfId="0" applyNumberFormat="1" applyFont="1" applyBorder="1" applyAlignment="1" applyProtection="1">
      <alignment horizontal="left" vertical="center"/>
      <protection locked="0"/>
    </xf>
    <xf numFmtId="0" fontId="92" fillId="0" borderId="2" xfId="0" applyFont="1" applyBorder="1" applyAlignment="1" applyProtection="1">
      <alignment horizontal="center" vertical="center"/>
    </xf>
    <xf numFmtId="0" fontId="92" fillId="0" borderId="39" xfId="0" applyFont="1" applyBorder="1" applyAlignment="1" applyProtection="1">
      <alignment horizontal="center" vertical="center" wrapText="1"/>
    </xf>
    <xf numFmtId="0" fontId="92" fillId="0" borderId="39" xfId="0" applyFont="1" applyBorder="1" applyAlignment="1" applyProtection="1">
      <alignment horizontal="center" vertical="center"/>
    </xf>
    <xf numFmtId="0" fontId="92" fillId="0" borderId="124" xfId="0" applyFont="1" applyBorder="1" applyAlignment="1" applyProtection="1">
      <alignment horizontal="center" vertical="center"/>
    </xf>
    <xf numFmtId="0" fontId="92" fillId="0" borderId="21" xfId="0" applyFont="1" applyBorder="1" applyAlignment="1" applyProtection="1">
      <alignment horizontal="center" vertical="center"/>
    </xf>
    <xf numFmtId="0" fontId="92" fillId="0" borderId="22" xfId="0" applyFont="1" applyBorder="1" applyAlignment="1" applyProtection="1">
      <alignment horizontal="center" vertical="center"/>
    </xf>
    <xf numFmtId="49" fontId="92" fillId="0" borderId="1" xfId="0" applyNumberFormat="1" applyFont="1" applyBorder="1" applyAlignment="1">
      <alignment horizontal="center" vertical="center" textRotation="255"/>
    </xf>
    <xf numFmtId="49" fontId="92" fillId="0" borderId="126" xfId="0" applyNumberFormat="1" applyFont="1" applyBorder="1" applyAlignment="1">
      <alignment horizontal="center" vertical="center" textRotation="255"/>
    </xf>
    <xf numFmtId="0" fontId="92" fillId="0" borderId="8" xfId="0" applyFont="1" applyBorder="1" applyAlignment="1" applyProtection="1">
      <alignment horizontal="center" vertical="center"/>
    </xf>
    <xf numFmtId="0" fontId="92" fillId="0" borderId="6" xfId="0" applyFont="1" applyBorder="1" applyAlignment="1" applyProtection="1">
      <alignment horizontal="center" vertical="center"/>
    </xf>
    <xf numFmtId="0" fontId="92" fillId="0" borderId="0" xfId="0" applyFont="1" applyBorder="1" applyAlignment="1" applyProtection="1">
      <alignment horizontal="center" vertical="center"/>
    </xf>
    <xf numFmtId="49" fontId="92" fillId="0" borderId="128" xfId="0" applyNumberFormat="1" applyFont="1" applyBorder="1" applyAlignment="1">
      <alignment horizontal="center" vertical="center" textRotation="255"/>
    </xf>
    <xf numFmtId="49" fontId="92" fillId="0" borderId="129" xfId="0" applyNumberFormat="1" applyFont="1" applyBorder="1" applyAlignment="1">
      <alignment horizontal="center" vertical="center" textRotation="255"/>
    </xf>
    <xf numFmtId="49" fontId="95" fillId="0" borderId="133" xfId="0" applyNumberFormat="1" applyFont="1" applyBorder="1" applyAlignment="1" applyProtection="1">
      <alignment horizontal="center" vertical="center"/>
      <protection locked="0"/>
    </xf>
    <xf numFmtId="49" fontId="95" fillId="0" borderId="134" xfId="0" applyNumberFormat="1" applyFont="1" applyBorder="1" applyAlignment="1" applyProtection="1">
      <alignment horizontal="center" vertical="center"/>
      <protection locked="0"/>
    </xf>
    <xf numFmtId="49" fontId="95" fillId="0" borderId="10" xfId="0" applyNumberFormat="1" applyFont="1" applyBorder="1" applyAlignment="1">
      <alignment horizontal="center" vertical="center"/>
    </xf>
    <xf numFmtId="49" fontId="95" fillId="0" borderId="117" xfId="0" applyNumberFormat="1" applyFont="1" applyBorder="1" applyAlignment="1">
      <alignment horizontal="center" vertical="center"/>
    </xf>
    <xf numFmtId="0" fontId="80" fillId="0" borderId="125" xfId="0" applyFont="1" applyBorder="1">
      <alignment vertical="center"/>
    </xf>
    <xf numFmtId="0" fontId="80" fillId="0" borderId="126" xfId="0" applyFont="1" applyBorder="1">
      <alignment vertical="center"/>
    </xf>
    <xf numFmtId="0" fontId="93" fillId="0" borderId="0" xfId="0" applyFont="1" applyBorder="1" applyAlignment="1" applyProtection="1">
      <alignment horizontal="center" vertical="center"/>
      <protection locked="0"/>
    </xf>
    <xf numFmtId="0" fontId="93" fillId="0" borderId="12" xfId="0" applyFont="1" applyBorder="1" applyAlignment="1" applyProtection="1">
      <alignment horizontal="center" vertical="center"/>
      <protection locked="0"/>
    </xf>
    <xf numFmtId="0" fontId="95" fillId="0" borderId="2" xfId="0" applyFont="1" applyBorder="1" applyAlignment="1" applyProtection="1">
      <alignment horizontal="center" vertical="center"/>
      <protection locked="0"/>
    </xf>
    <xf numFmtId="0" fontId="95" fillId="0" borderId="3" xfId="0" applyFont="1" applyBorder="1" applyAlignment="1" applyProtection="1">
      <alignment horizontal="center" vertical="center"/>
      <protection locked="0"/>
    </xf>
    <xf numFmtId="0" fontId="95" fillId="0" borderId="6" xfId="0" applyFont="1" applyBorder="1" applyAlignment="1" applyProtection="1">
      <alignment horizontal="center" vertical="center"/>
      <protection locked="0"/>
    </xf>
    <xf numFmtId="0" fontId="95" fillId="0" borderId="5" xfId="0" applyFont="1" applyBorder="1" applyAlignment="1" applyProtection="1">
      <alignment horizontal="center" vertical="center"/>
      <protection locked="0"/>
    </xf>
    <xf numFmtId="0" fontId="93" fillId="0" borderId="0" xfId="0" applyFont="1" applyBorder="1" applyAlignment="1" applyProtection="1">
      <alignment horizontal="center" vertical="center"/>
    </xf>
    <xf numFmtId="49" fontId="92" fillId="0" borderId="8" xfId="0" applyNumberFormat="1" applyFont="1" applyBorder="1" applyAlignment="1" applyProtection="1">
      <alignment horizontal="right" vertical="center"/>
    </xf>
    <xf numFmtId="0" fontId="101" fillId="0" borderId="123" xfId="0" applyFont="1" applyBorder="1" applyAlignment="1" applyProtection="1">
      <alignment horizontal="center" vertical="center" textRotation="255"/>
    </xf>
    <xf numFmtId="0" fontId="101" fillId="0" borderId="124" xfId="0" applyFont="1" applyBorder="1" applyAlignment="1" applyProtection="1">
      <alignment horizontal="center" vertical="center" textRotation="255"/>
    </xf>
    <xf numFmtId="0" fontId="100" fillId="0" borderId="0" xfId="0" applyFont="1" applyBorder="1" applyAlignment="1" applyProtection="1">
      <alignment horizontal="left" vertical="center"/>
    </xf>
    <xf numFmtId="0" fontId="100" fillId="0" borderId="114" xfId="0" applyFont="1" applyBorder="1" applyAlignment="1" applyProtection="1">
      <alignment horizontal="left" vertical="center"/>
    </xf>
    <xf numFmtId="0" fontId="174" fillId="0" borderId="119" xfId="0" applyFont="1" applyBorder="1" applyAlignment="1" applyProtection="1">
      <alignment horizontal="left" vertical="center" wrapText="1"/>
    </xf>
    <xf numFmtId="0" fontId="174" fillId="0" borderId="10" xfId="0" applyFont="1" applyBorder="1" applyAlignment="1" applyProtection="1">
      <alignment horizontal="left" vertical="center" wrapText="1"/>
    </xf>
    <xf numFmtId="0" fontId="174" fillId="0" borderId="14" xfId="0" applyFont="1" applyBorder="1" applyAlignment="1" applyProtection="1">
      <alignment horizontal="left" vertical="center" wrapText="1"/>
    </xf>
    <xf numFmtId="0" fontId="174" fillId="0" borderId="283" xfId="0" applyFont="1" applyBorder="1" applyAlignment="1" applyProtection="1">
      <alignment horizontal="left" vertical="center" wrapText="1"/>
    </xf>
    <xf numFmtId="0" fontId="174" fillId="0" borderId="0" xfId="0" applyFont="1" applyBorder="1" applyAlignment="1" applyProtection="1">
      <alignment horizontal="left" vertical="center" wrapText="1"/>
    </xf>
    <xf numFmtId="0" fontId="174" fillId="0" borderId="12" xfId="0" applyFont="1" applyBorder="1" applyAlignment="1" applyProtection="1">
      <alignment horizontal="left" vertical="center" wrapText="1"/>
    </xf>
    <xf numFmtId="0" fontId="174" fillId="0" borderId="312" xfId="0" applyFont="1" applyBorder="1" applyAlignment="1" applyProtection="1">
      <alignment horizontal="left" vertical="center" wrapText="1"/>
    </xf>
    <xf numFmtId="0" fontId="174" fillId="0" borderId="2" xfId="0" applyFont="1" applyBorder="1" applyAlignment="1" applyProtection="1">
      <alignment horizontal="left" vertical="center" wrapText="1"/>
    </xf>
    <xf numFmtId="0" fontId="174" fillId="0" borderId="3" xfId="0" applyFont="1" applyBorder="1" applyAlignment="1" applyProtection="1">
      <alignment horizontal="left" vertical="center" wrapText="1"/>
    </xf>
    <xf numFmtId="0" fontId="101" fillId="0" borderId="15" xfId="0" applyFont="1" applyBorder="1" applyAlignment="1" applyProtection="1">
      <alignment horizontal="center" vertical="center"/>
      <protection locked="0"/>
    </xf>
    <xf numFmtId="0" fontId="101" fillId="0" borderId="10" xfId="0" applyFont="1" applyBorder="1" applyAlignment="1" applyProtection="1">
      <alignment horizontal="center" vertical="center"/>
      <protection locked="0"/>
    </xf>
    <xf numFmtId="0" fontId="101" fillId="0" borderId="14" xfId="0" applyFont="1" applyBorder="1" applyAlignment="1" applyProtection="1">
      <alignment horizontal="center" vertical="center"/>
      <protection locked="0"/>
    </xf>
    <xf numFmtId="0" fontId="101" fillId="0" borderId="11" xfId="0" applyFont="1" applyBorder="1" applyAlignment="1" applyProtection="1">
      <alignment horizontal="center" vertical="center"/>
      <protection locked="0"/>
    </xf>
    <xf numFmtId="0" fontId="101" fillId="0" borderId="2" xfId="0" applyFont="1" applyBorder="1" applyAlignment="1" applyProtection="1">
      <alignment horizontal="center" vertical="center"/>
      <protection locked="0"/>
    </xf>
    <xf numFmtId="0" fontId="101" fillId="0" borderId="3" xfId="0" applyFont="1" applyBorder="1" applyAlignment="1" applyProtection="1">
      <alignment horizontal="center" vertical="center"/>
      <protection locked="0"/>
    </xf>
    <xf numFmtId="0" fontId="100" fillId="0" borderId="10" xfId="0" applyFont="1" applyBorder="1" applyAlignment="1" applyProtection="1">
      <alignment horizontal="left" vertical="center"/>
    </xf>
    <xf numFmtId="0" fontId="100" fillId="0" borderId="2" xfId="0" applyFont="1" applyBorder="1" applyAlignment="1" applyProtection="1">
      <alignment horizontal="left" vertical="center"/>
    </xf>
    <xf numFmtId="0" fontId="100" fillId="0" borderId="2" xfId="0" applyFont="1" applyBorder="1" applyAlignment="1" applyProtection="1">
      <alignment horizontal="center" vertical="center"/>
      <protection locked="0"/>
    </xf>
    <xf numFmtId="0" fontId="100" fillId="0" borderId="0" xfId="0" applyFont="1" applyBorder="1" applyAlignment="1" applyProtection="1">
      <alignment vertical="center"/>
    </xf>
    <xf numFmtId="0" fontId="100" fillId="0" borderId="114" xfId="0" applyFont="1" applyBorder="1" applyAlignment="1" applyProtection="1">
      <alignment vertical="center"/>
    </xf>
    <xf numFmtId="0" fontId="92" fillId="0" borderId="123" xfId="0" applyFont="1" applyBorder="1" applyAlignment="1" applyProtection="1">
      <alignment horizontal="center" vertical="center" wrapText="1"/>
    </xf>
    <xf numFmtId="0" fontId="92" fillId="0" borderId="124" xfId="0" applyFont="1" applyBorder="1" applyAlignment="1" applyProtection="1">
      <alignment horizontal="center" vertical="center" wrapText="1"/>
    </xf>
    <xf numFmtId="0" fontId="95" fillId="0" borderId="2" xfId="0" applyFont="1" applyBorder="1" applyAlignment="1" applyProtection="1">
      <alignment horizontal="center" vertical="center"/>
    </xf>
    <xf numFmtId="0" fontId="95" fillId="0" borderId="3" xfId="0" applyFont="1" applyBorder="1" applyAlignment="1" applyProtection="1">
      <alignment horizontal="center" vertical="center"/>
    </xf>
    <xf numFmtId="0" fontId="90" fillId="0" borderId="0" xfId="0" applyFont="1" applyBorder="1" applyAlignment="1" applyProtection="1">
      <alignment horizontal="center" vertical="center"/>
    </xf>
    <xf numFmtId="49" fontId="92" fillId="0" borderId="124" xfId="0" applyNumberFormat="1" applyFont="1" applyBorder="1" applyAlignment="1" applyProtection="1">
      <alignment horizontal="center" vertical="center" textRotation="255"/>
    </xf>
    <xf numFmtId="0" fontId="90" fillId="0" borderId="0" xfId="0" applyFont="1" applyBorder="1" applyAlignment="1">
      <alignment horizontal="center" vertical="center"/>
    </xf>
    <xf numFmtId="49" fontId="93" fillId="0" borderId="14" xfId="0" applyNumberFormat="1" applyFont="1" applyBorder="1" applyAlignment="1" applyProtection="1">
      <alignment horizontal="center" vertical="center"/>
    </xf>
    <xf numFmtId="49" fontId="92" fillId="0" borderId="2" xfId="0" applyNumberFormat="1" applyFont="1" applyBorder="1" applyAlignment="1" applyProtection="1">
      <alignment horizontal="center" vertical="center"/>
    </xf>
    <xf numFmtId="49" fontId="94" fillId="0" borderId="2" xfId="0" applyNumberFormat="1" applyFont="1" applyBorder="1" applyAlignment="1" applyProtection="1">
      <alignment horizontal="center" vertical="center" shrinkToFit="1"/>
    </xf>
    <xf numFmtId="49" fontId="94" fillId="0" borderId="3" xfId="0" applyNumberFormat="1" applyFont="1" applyBorder="1" applyAlignment="1" applyProtection="1">
      <alignment horizontal="center" vertical="center" shrinkToFit="1"/>
    </xf>
    <xf numFmtId="0" fontId="100" fillId="0" borderId="13" xfId="0" applyFont="1" applyBorder="1" applyAlignment="1" applyProtection="1">
      <alignment horizontal="center" vertical="center"/>
    </xf>
    <xf numFmtId="0" fontId="100" fillId="0" borderId="0" xfId="0" applyFont="1" applyBorder="1" applyAlignment="1" applyProtection="1">
      <alignment horizontal="center" vertical="center"/>
    </xf>
    <xf numFmtId="0" fontId="100" fillId="0" borderId="11" xfId="0" applyFont="1" applyBorder="1" applyAlignment="1" applyProtection="1">
      <alignment horizontal="center" vertical="center"/>
    </xf>
    <xf numFmtId="176" fontId="90" fillId="0" borderId="0" xfId="0" applyNumberFormat="1" applyFont="1" applyBorder="1" applyAlignment="1" applyProtection="1">
      <alignment horizontal="right" vertical="center"/>
      <protection locked="0"/>
    </xf>
    <xf numFmtId="176" fontId="90" fillId="0" borderId="2" xfId="0" applyNumberFormat="1" applyFont="1" applyBorder="1" applyAlignment="1" applyProtection="1">
      <alignment horizontal="right" vertical="center"/>
      <protection locked="0"/>
    </xf>
    <xf numFmtId="0" fontId="96" fillId="0" borderId="125" xfId="0" applyFont="1" applyBorder="1" applyAlignment="1" applyProtection="1">
      <alignment horizontal="center" vertical="center"/>
    </xf>
    <xf numFmtId="0" fontId="100" fillId="0" borderId="125" xfId="0" applyFont="1" applyBorder="1" applyAlignment="1" applyProtection="1">
      <alignment horizontal="center" vertical="center" shrinkToFit="1"/>
    </xf>
    <xf numFmtId="0" fontId="100" fillId="0" borderId="2" xfId="0" applyFont="1" applyBorder="1" applyAlignment="1" applyProtection="1">
      <alignment horizontal="center" vertical="center" shrinkToFit="1"/>
    </xf>
    <xf numFmtId="49" fontId="99" fillId="0" borderId="0" xfId="0" applyNumberFormat="1" applyFont="1" applyBorder="1" applyAlignment="1" applyProtection="1">
      <alignment horizontal="center" vertical="center"/>
    </xf>
    <xf numFmtId="0" fontId="80" fillId="0" borderId="12" xfId="0" applyFont="1" applyBorder="1" applyProtection="1">
      <alignment vertical="center"/>
    </xf>
    <xf numFmtId="0" fontId="80" fillId="0" borderId="2" xfId="0" applyFont="1" applyBorder="1" applyProtection="1">
      <alignment vertical="center"/>
    </xf>
    <xf numFmtId="0" fontId="80" fillId="0" borderId="3" xfId="0" applyFont="1" applyBorder="1" applyProtection="1">
      <alignment vertical="center"/>
    </xf>
    <xf numFmtId="0" fontId="92" fillId="0" borderId="131" xfId="0" applyFont="1" applyBorder="1" applyAlignment="1" applyProtection="1">
      <alignment horizontal="center" vertical="center" wrapText="1"/>
    </xf>
    <xf numFmtId="49" fontId="95" fillId="0" borderId="8" xfId="0" applyNumberFormat="1" applyFont="1" applyBorder="1" applyAlignment="1" applyProtection="1">
      <alignment horizontal="center" vertical="center"/>
    </xf>
    <xf numFmtId="187" fontId="95" fillId="0" borderId="118" xfId="0" applyNumberFormat="1" applyFont="1" applyBorder="1" applyAlignment="1" applyProtection="1">
      <alignment horizontal="center" vertical="center"/>
      <protection locked="0"/>
    </xf>
    <xf numFmtId="0" fontId="100" fillId="0" borderId="125" xfId="0" applyFont="1" applyBorder="1" applyAlignment="1" applyProtection="1">
      <alignment horizontal="center" vertical="center"/>
    </xf>
    <xf numFmtId="0" fontId="100" fillId="0" borderId="10" xfId="0" applyFont="1" applyFill="1" applyBorder="1" applyAlignment="1" applyProtection="1">
      <alignment horizontal="center" vertical="center" shrinkToFit="1"/>
    </xf>
    <xf numFmtId="0" fontId="100" fillId="0" borderId="117" xfId="0" applyFont="1" applyFill="1" applyBorder="1" applyAlignment="1" applyProtection="1">
      <alignment horizontal="center" vertical="center" shrinkToFit="1"/>
    </xf>
    <xf numFmtId="49" fontId="95" fillId="0" borderId="0" xfId="0" applyNumberFormat="1" applyFont="1" applyBorder="1" applyAlignment="1" applyProtection="1">
      <alignment horizontal="left" vertical="center" shrinkToFit="1"/>
    </xf>
    <xf numFmtId="49" fontId="95" fillId="0" borderId="12" xfId="0" applyNumberFormat="1" applyFont="1" applyBorder="1" applyAlignment="1" applyProtection="1">
      <alignment horizontal="left" vertical="center" shrinkToFit="1"/>
    </xf>
    <xf numFmtId="0" fontId="93" fillId="0" borderId="6" xfId="0" applyFont="1" applyBorder="1" applyAlignment="1" applyProtection="1">
      <alignment horizontal="center" vertical="center" wrapText="1"/>
    </xf>
    <xf numFmtId="0" fontId="93" fillId="0" borderId="6" xfId="0" applyFont="1" applyBorder="1" applyAlignment="1" applyProtection="1">
      <alignment horizontal="center" vertical="center"/>
    </xf>
    <xf numFmtId="181" fontId="98" fillId="0" borderId="119" xfId="0" applyNumberFormat="1" applyFont="1" applyBorder="1" applyAlignment="1" applyProtection="1">
      <alignment horizontal="center" vertical="center"/>
      <protection locked="0"/>
    </xf>
    <xf numFmtId="181" fontId="98" fillId="0" borderId="10" xfId="0" applyNumberFormat="1" applyFont="1" applyBorder="1" applyAlignment="1" applyProtection="1">
      <alignment horizontal="center" vertical="center"/>
      <protection locked="0"/>
    </xf>
    <xf numFmtId="181" fontId="98" fillId="0" borderId="120" xfId="0" applyNumberFormat="1" applyFont="1" applyBorder="1" applyAlignment="1" applyProtection="1">
      <alignment horizontal="center" vertical="center"/>
      <protection locked="0"/>
    </xf>
    <xf numFmtId="181" fontId="98" fillId="0" borderId="6" xfId="0" applyNumberFormat="1" applyFont="1" applyBorder="1" applyAlignment="1" applyProtection="1">
      <alignment horizontal="center" vertical="center"/>
      <protection locked="0"/>
    </xf>
    <xf numFmtId="0" fontId="96" fillId="0" borderId="122" xfId="0" applyFont="1" applyBorder="1" applyAlignment="1" applyProtection="1">
      <alignment horizontal="center" vertical="center"/>
      <protection locked="0"/>
    </xf>
    <xf numFmtId="0" fontId="96" fillId="0" borderId="8" xfId="0" applyFont="1" applyBorder="1" applyAlignment="1" applyProtection="1">
      <alignment horizontal="center" vertical="center"/>
      <protection locked="0"/>
    </xf>
    <xf numFmtId="0" fontId="100" fillId="0" borderId="133" xfId="0" applyFont="1" applyBorder="1" applyAlignment="1" applyProtection="1">
      <alignment horizontal="center" vertical="center"/>
    </xf>
    <xf numFmtId="0" fontId="100" fillId="0" borderId="134" xfId="0" applyFont="1" applyBorder="1" applyAlignment="1" applyProtection="1">
      <alignment horizontal="center" vertical="center"/>
    </xf>
    <xf numFmtId="0" fontId="100" fillId="0" borderId="10" xfId="0" applyFont="1" applyBorder="1" applyAlignment="1" applyProtection="1">
      <alignment horizontal="center" vertical="center"/>
    </xf>
    <xf numFmtId="0" fontId="100" fillId="0" borderId="14" xfId="0" applyFont="1" applyBorder="1" applyAlignment="1" applyProtection="1">
      <alignment horizontal="center" vertical="center"/>
    </xf>
    <xf numFmtId="0" fontId="93" fillId="0" borderId="12" xfId="0" applyFont="1" applyBorder="1" applyAlignment="1" applyProtection="1">
      <alignment horizontal="center" vertical="center"/>
    </xf>
    <xf numFmtId="0" fontId="95" fillId="0" borderId="6" xfId="0" applyFont="1" applyBorder="1" applyAlignment="1" applyProtection="1">
      <alignment horizontal="center" vertical="center"/>
    </xf>
    <xf numFmtId="0" fontId="95" fillId="0" borderId="5" xfId="0" applyFont="1" applyBorder="1" applyAlignment="1" applyProtection="1">
      <alignment horizontal="center" vertical="center"/>
    </xf>
    <xf numFmtId="49" fontId="97" fillId="0" borderId="8" xfId="0" applyNumberFormat="1" applyFont="1" applyBorder="1" applyAlignment="1" applyProtection="1">
      <alignment horizontal="left" vertical="center"/>
    </xf>
    <xf numFmtId="49" fontId="97" fillId="0" borderId="127" xfId="0" applyNumberFormat="1" applyFont="1" applyBorder="1" applyAlignment="1" applyProtection="1">
      <alignment horizontal="left" vertical="center"/>
    </xf>
    <xf numFmtId="187" fontId="95" fillId="0" borderId="118" xfId="0" applyNumberFormat="1" applyFont="1" applyBorder="1" applyAlignment="1" applyProtection="1">
      <alignment horizontal="center" vertical="center"/>
    </xf>
    <xf numFmtId="49" fontId="196" fillId="0" borderId="0" xfId="0" applyNumberFormat="1" applyFont="1" applyBorder="1" applyAlignment="1" applyProtection="1">
      <alignment horizontal="left" vertical="center" shrinkToFit="1"/>
    </xf>
    <xf numFmtId="49" fontId="196" fillId="0" borderId="12" xfId="0" applyNumberFormat="1" applyFont="1" applyBorder="1" applyAlignment="1" applyProtection="1">
      <alignment horizontal="left" vertical="center" shrinkToFit="1"/>
    </xf>
    <xf numFmtId="0" fontId="95" fillId="0" borderId="8" xfId="0" applyNumberFormat="1" applyFont="1" applyBorder="1" applyAlignment="1" applyProtection="1">
      <alignment horizontal="center" vertical="center"/>
    </xf>
    <xf numFmtId="0" fontId="100" fillId="0" borderId="10" xfId="0" applyFont="1" applyFill="1" applyBorder="1" applyAlignment="1" applyProtection="1">
      <alignment horizontal="center" vertical="center" shrinkToFit="1"/>
      <protection locked="0"/>
    </xf>
    <xf numFmtId="0" fontId="100" fillId="0" borderId="117" xfId="0" applyFont="1" applyFill="1" applyBorder="1" applyAlignment="1" applyProtection="1">
      <alignment horizontal="center" vertical="center" shrinkToFit="1"/>
      <protection locked="0"/>
    </xf>
    <xf numFmtId="49" fontId="95" fillId="0" borderId="0" xfId="0" applyNumberFormat="1" applyFont="1" applyBorder="1" applyAlignment="1" applyProtection="1">
      <alignment horizontal="center" vertical="center"/>
    </xf>
    <xf numFmtId="49" fontId="95" fillId="0" borderId="114" xfId="0" applyNumberFormat="1" applyFont="1" applyBorder="1" applyAlignment="1" applyProtection="1">
      <alignment horizontal="center" vertical="center"/>
    </xf>
    <xf numFmtId="49" fontId="95" fillId="0" borderId="7" xfId="0" applyNumberFormat="1" applyFont="1" applyBorder="1" applyAlignment="1" applyProtection="1">
      <alignment horizontal="center" vertical="center"/>
    </xf>
    <xf numFmtId="49" fontId="95" fillId="0" borderId="133" xfId="0" applyNumberFormat="1" applyFont="1" applyBorder="1" applyAlignment="1" applyProtection="1">
      <alignment horizontal="center" vertical="center"/>
    </xf>
    <xf numFmtId="49" fontId="95" fillId="0" borderId="134" xfId="0" applyNumberFormat="1" applyFont="1" applyBorder="1" applyAlignment="1" applyProtection="1">
      <alignment horizontal="center" vertical="center"/>
    </xf>
    <xf numFmtId="0" fontId="96" fillId="0" borderId="122" xfId="0" applyFont="1" applyBorder="1" applyAlignment="1" applyProtection="1">
      <alignment horizontal="center" vertical="center"/>
    </xf>
    <xf numFmtId="0" fontId="96" fillId="0" borderId="8" xfId="0" applyFont="1" applyBorder="1" applyAlignment="1" applyProtection="1">
      <alignment horizontal="center" vertical="center"/>
    </xf>
    <xf numFmtId="49" fontId="92" fillId="0" borderId="128" xfId="0" applyNumberFormat="1" applyFont="1" applyBorder="1" applyAlignment="1" applyProtection="1">
      <alignment horizontal="center" vertical="center" textRotation="255"/>
    </xf>
    <xf numFmtId="49" fontId="92" fillId="0" borderId="129" xfId="0" applyNumberFormat="1" applyFont="1" applyBorder="1" applyAlignment="1" applyProtection="1">
      <alignment horizontal="center" vertical="center" textRotation="255"/>
    </xf>
    <xf numFmtId="176" fontId="90" fillId="0" borderId="0" xfId="0" applyNumberFormat="1" applyFont="1" applyBorder="1" applyAlignment="1" applyProtection="1">
      <alignment horizontal="right" vertical="center"/>
    </xf>
    <xf numFmtId="176" fontId="90" fillId="0" borderId="2" xfId="0" applyNumberFormat="1" applyFont="1" applyBorder="1" applyAlignment="1" applyProtection="1">
      <alignment horizontal="right" vertical="center"/>
    </xf>
    <xf numFmtId="49" fontId="95" fillId="0" borderId="10" xfId="0" applyNumberFormat="1" applyFont="1" applyBorder="1" applyAlignment="1" applyProtection="1">
      <alignment horizontal="center" vertical="center"/>
    </xf>
    <xf numFmtId="49" fontId="95" fillId="0" borderId="117" xfId="0" applyNumberFormat="1" applyFont="1" applyBorder="1" applyAlignment="1" applyProtection="1">
      <alignment horizontal="center" vertical="center"/>
    </xf>
    <xf numFmtId="49" fontId="99" fillId="0" borderId="121" xfId="0" applyNumberFormat="1" applyFont="1" applyBorder="1" applyAlignment="1" applyProtection="1">
      <alignment horizontal="center" vertical="center" wrapText="1"/>
    </xf>
    <xf numFmtId="49" fontId="99" fillId="0" borderId="118" xfId="0" applyNumberFormat="1" applyFont="1" applyBorder="1" applyAlignment="1" applyProtection="1">
      <alignment horizontal="center" vertical="center" wrapText="1"/>
    </xf>
    <xf numFmtId="49" fontId="99" fillId="0" borderId="135" xfId="0" applyNumberFormat="1" applyFont="1" applyBorder="1" applyAlignment="1" applyProtection="1">
      <alignment horizontal="center" vertical="center" wrapText="1"/>
    </xf>
    <xf numFmtId="49" fontId="99" fillId="0" borderId="283" xfId="0" applyNumberFormat="1" applyFont="1" applyBorder="1" applyAlignment="1" applyProtection="1">
      <alignment horizontal="center" vertical="center" wrapText="1"/>
    </xf>
    <xf numFmtId="49" fontId="99" fillId="0" borderId="0" xfId="0" applyNumberFormat="1" applyFont="1" applyBorder="1" applyAlignment="1" applyProtection="1">
      <alignment horizontal="center" vertical="center" wrapText="1"/>
    </xf>
    <xf numFmtId="49" fontId="99" fillId="0" borderId="12" xfId="0" applyNumberFormat="1" applyFont="1" applyBorder="1" applyAlignment="1" applyProtection="1">
      <alignment horizontal="center" vertical="center" wrapText="1"/>
    </xf>
    <xf numFmtId="49" fontId="99" fillId="0" borderId="120" xfId="0" applyNumberFormat="1" applyFont="1" applyBorder="1" applyAlignment="1" applyProtection="1">
      <alignment horizontal="center" vertical="center" wrapText="1"/>
    </xf>
    <xf numFmtId="49" fontId="99" fillId="0" borderId="6" xfId="0" applyNumberFormat="1" applyFont="1" applyBorder="1" applyAlignment="1" applyProtection="1">
      <alignment horizontal="center" vertical="center" wrapText="1"/>
    </xf>
    <xf numFmtId="49" fontId="99" fillId="0" borderId="5" xfId="0" applyNumberFormat="1" applyFont="1" applyBorder="1" applyAlignment="1" applyProtection="1">
      <alignment horizontal="center" vertical="center" wrapText="1"/>
    </xf>
    <xf numFmtId="0" fontId="96" fillId="0" borderId="8" xfId="0" applyFont="1" applyBorder="1" applyAlignment="1" applyProtection="1">
      <alignment horizontal="left" vertical="center"/>
    </xf>
    <xf numFmtId="0" fontId="96" fillId="0" borderId="127" xfId="0" applyFont="1" applyBorder="1" applyAlignment="1" applyProtection="1">
      <alignment horizontal="left" vertical="center"/>
    </xf>
    <xf numFmtId="49" fontId="95" fillId="0" borderId="122" xfId="0" applyNumberFormat="1" applyFont="1" applyBorder="1" applyAlignment="1" applyProtection="1">
      <alignment horizontal="center" vertical="center"/>
    </xf>
    <xf numFmtId="49" fontId="99" fillId="0" borderId="8" xfId="0" applyNumberFormat="1" applyFont="1" applyBorder="1" applyAlignment="1" applyProtection="1">
      <alignment horizontal="center" vertical="center"/>
    </xf>
    <xf numFmtId="49" fontId="92" fillId="0" borderId="1" xfId="0" applyNumberFormat="1" applyFont="1" applyBorder="1" applyAlignment="1" applyProtection="1">
      <alignment horizontal="center" vertical="center" textRotation="255"/>
    </xf>
    <xf numFmtId="49" fontId="92" fillId="0" borderId="126" xfId="0" applyNumberFormat="1" applyFont="1" applyBorder="1" applyAlignment="1" applyProtection="1">
      <alignment horizontal="center" vertical="center" textRotation="255"/>
    </xf>
    <xf numFmtId="49" fontId="94" fillId="0" borderId="0" xfId="0" applyNumberFormat="1" applyFont="1" applyBorder="1" applyAlignment="1" applyProtection="1">
      <alignment horizontal="center" vertical="center"/>
    </xf>
    <xf numFmtId="0" fontId="201" fillId="17" borderId="299" xfId="12" applyFont="1" applyFill="1" applyBorder="1" applyAlignment="1">
      <alignment vertical="center" wrapText="1"/>
    </xf>
    <xf numFmtId="0" fontId="201" fillId="17" borderId="300" xfId="12" applyFont="1" applyFill="1" applyBorder="1" applyAlignment="1">
      <alignment vertical="center" wrapText="1"/>
    </xf>
    <xf numFmtId="0" fontId="197" fillId="17" borderId="287" xfId="0" applyFont="1" applyFill="1" applyBorder="1" applyAlignment="1">
      <alignment vertical="center" wrapText="1"/>
    </xf>
    <xf numFmtId="0" fontId="197" fillId="17" borderId="286" xfId="0" applyFont="1" applyFill="1" applyBorder="1" applyAlignment="1">
      <alignment vertical="center" wrapText="1"/>
    </xf>
    <xf numFmtId="49" fontId="95" fillId="0" borderId="125" xfId="0" applyNumberFormat="1" applyFont="1" applyBorder="1" applyAlignment="1" applyProtection="1">
      <alignment horizontal="center" vertical="center"/>
    </xf>
    <xf numFmtId="0" fontId="80" fillId="0" borderId="125" xfId="0" applyFont="1" applyBorder="1" applyProtection="1">
      <alignment vertical="center"/>
    </xf>
    <xf numFmtId="0" fontId="80" fillId="0" borderId="126" xfId="0" applyFont="1" applyBorder="1" applyProtection="1">
      <alignment vertical="center"/>
    </xf>
    <xf numFmtId="49" fontId="95" fillId="0" borderId="132" xfId="0" applyNumberFormat="1" applyFont="1" applyBorder="1" applyAlignment="1" applyProtection="1">
      <alignment horizontal="center" vertical="center"/>
    </xf>
    <xf numFmtId="49" fontId="95" fillId="0" borderId="4" xfId="0" applyNumberFormat="1" applyFont="1" applyBorder="1" applyAlignment="1" applyProtection="1">
      <alignment horizontal="center" vertical="center"/>
    </xf>
    <xf numFmtId="49" fontId="95" fillId="0" borderId="130" xfId="0" applyNumberFormat="1" applyFont="1" applyBorder="1" applyAlignment="1" applyProtection="1">
      <alignment horizontal="center" vertical="center"/>
    </xf>
    <xf numFmtId="49" fontId="99" fillId="3" borderId="121" xfId="0" applyNumberFormat="1" applyFont="1" applyFill="1" applyBorder="1" applyAlignment="1" applyProtection="1">
      <alignment horizontal="center" vertical="center" wrapText="1"/>
    </xf>
    <xf numFmtId="49" fontId="99" fillId="3" borderId="118" xfId="0" applyNumberFormat="1" applyFont="1" applyFill="1" applyBorder="1" applyAlignment="1" applyProtection="1">
      <alignment horizontal="center" vertical="center" wrapText="1"/>
    </xf>
    <xf numFmtId="49" fontId="99" fillId="3" borderId="130" xfId="0" applyNumberFormat="1" applyFont="1" applyFill="1" applyBorder="1" applyAlignment="1" applyProtection="1">
      <alignment horizontal="center" vertical="center" wrapText="1"/>
    </xf>
    <xf numFmtId="49" fontId="99" fillId="3" borderId="283" xfId="0" applyNumberFormat="1" applyFont="1" applyFill="1" applyBorder="1" applyAlignment="1" applyProtection="1">
      <alignment horizontal="center" vertical="center" wrapText="1"/>
    </xf>
    <xf numFmtId="49" fontId="99" fillId="3" borderId="0" xfId="0" applyNumberFormat="1" applyFont="1" applyFill="1" applyBorder="1" applyAlignment="1" applyProtection="1">
      <alignment horizontal="center" vertical="center" wrapText="1"/>
    </xf>
    <xf numFmtId="49" fontId="99" fillId="3" borderId="114" xfId="0" applyNumberFormat="1" applyFont="1" applyFill="1" applyBorder="1" applyAlignment="1" applyProtection="1">
      <alignment horizontal="center" vertical="center" wrapText="1"/>
    </xf>
    <xf numFmtId="49" fontId="99" fillId="3" borderId="120" xfId="0" applyNumberFormat="1" applyFont="1" applyFill="1" applyBorder="1" applyAlignment="1" applyProtection="1">
      <alignment horizontal="center" vertical="center" wrapText="1"/>
    </xf>
    <xf numFmtId="49" fontId="99" fillId="3" borderId="6" xfId="0" applyNumberFormat="1" applyFont="1" applyFill="1" applyBorder="1" applyAlignment="1" applyProtection="1">
      <alignment horizontal="center" vertical="center" wrapText="1"/>
    </xf>
    <xf numFmtId="49" fontId="99" fillId="3" borderId="7" xfId="0" applyNumberFormat="1" applyFont="1" applyFill="1" applyBorder="1" applyAlignment="1" applyProtection="1">
      <alignment horizontal="center" vertical="center" wrapText="1"/>
    </xf>
    <xf numFmtId="0" fontId="100" fillId="0" borderId="3" xfId="0" applyFont="1" applyBorder="1" applyAlignment="1" applyProtection="1">
      <alignment horizontal="left" vertical="center"/>
    </xf>
    <xf numFmtId="0" fontId="100" fillId="0" borderId="12" xfId="0" applyFont="1" applyBorder="1" applyAlignment="1" applyProtection="1">
      <alignment horizontal="left" vertical="center"/>
    </xf>
    <xf numFmtId="0" fontId="91" fillId="0" borderId="119" xfId="0" applyFont="1" applyBorder="1" applyAlignment="1" applyProtection="1">
      <alignment horizontal="left" vertical="center" wrapText="1"/>
    </xf>
    <xf numFmtId="0" fontId="91" fillId="0" borderId="10" xfId="0" applyFont="1" applyBorder="1" applyAlignment="1" applyProtection="1">
      <alignment horizontal="left" vertical="center" wrapText="1"/>
    </xf>
    <xf numFmtId="0" fontId="91" fillId="0" borderId="14" xfId="0" applyFont="1" applyBorder="1" applyAlignment="1" applyProtection="1">
      <alignment horizontal="left" vertical="center" wrapText="1"/>
    </xf>
    <xf numFmtId="0" fontId="91" fillId="0" borderId="283" xfId="0" applyFont="1" applyBorder="1" applyAlignment="1" applyProtection="1">
      <alignment horizontal="left" vertical="center" wrapText="1"/>
    </xf>
    <xf numFmtId="0" fontId="91" fillId="0" borderId="0" xfId="0" applyFont="1" applyBorder="1" applyAlignment="1" applyProtection="1">
      <alignment horizontal="left" vertical="center" wrapText="1"/>
    </xf>
    <xf numFmtId="0" fontId="91" fillId="0" borderId="12" xfId="0" applyFont="1" applyBorder="1" applyAlignment="1" applyProtection="1">
      <alignment horizontal="left" vertical="center" wrapText="1"/>
    </xf>
    <xf numFmtId="0" fontId="91" fillId="0" borderId="312" xfId="0" applyFont="1" applyBorder="1" applyAlignment="1" applyProtection="1">
      <alignment horizontal="left" vertical="center" wrapText="1"/>
    </xf>
    <xf numFmtId="0" fontId="91" fillId="0" borderId="2" xfId="0" applyFont="1" applyBorder="1" applyAlignment="1" applyProtection="1">
      <alignment horizontal="left" vertical="center" wrapText="1"/>
    </xf>
    <xf numFmtId="0" fontId="91" fillId="0" borderId="3" xfId="0" applyFont="1" applyBorder="1" applyAlignment="1" applyProtection="1">
      <alignment horizontal="left" vertical="center" wrapText="1"/>
    </xf>
    <xf numFmtId="0" fontId="96" fillId="0" borderId="0" xfId="0" applyFont="1" applyBorder="1" applyAlignment="1" applyProtection="1">
      <alignment horizontal="center" vertical="center" shrinkToFit="1"/>
    </xf>
    <xf numFmtId="0" fontId="96" fillId="0" borderId="0" xfId="0" applyFont="1" applyBorder="1" applyAlignment="1" applyProtection="1">
      <alignment horizontal="center" vertical="center" wrapText="1"/>
    </xf>
    <xf numFmtId="20" fontId="93" fillId="0" borderId="2" xfId="7" applyNumberFormat="1" applyFont="1" applyBorder="1" applyAlignment="1" applyProtection="1">
      <alignment horizontal="center" vertical="center"/>
    </xf>
    <xf numFmtId="181" fontId="116" fillId="0" borderId="13" xfId="7" applyNumberFormat="1" applyFont="1" applyBorder="1" applyAlignment="1" applyProtection="1">
      <alignment horizontal="center" vertical="center"/>
    </xf>
    <xf numFmtId="181" fontId="116" fillId="0" borderId="0" xfId="7" applyNumberFormat="1" applyFont="1" applyBorder="1" applyAlignment="1" applyProtection="1">
      <alignment horizontal="center" vertical="center"/>
    </xf>
    <xf numFmtId="181" fontId="116" fillId="0" borderId="12" xfId="7" applyNumberFormat="1" applyFont="1" applyBorder="1" applyAlignment="1" applyProtection="1">
      <alignment horizontal="center" vertical="center"/>
    </xf>
    <xf numFmtId="0" fontId="108" fillId="0" borderId="39" xfId="7" applyFont="1" applyBorder="1" applyAlignment="1" applyProtection="1">
      <alignment horizontal="center" vertical="center"/>
    </xf>
    <xf numFmtId="0" fontId="108" fillId="0" borderId="21" xfId="7" applyFont="1" applyBorder="1" applyAlignment="1" applyProtection="1">
      <alignment horizontal="center" vertical="center"/>
    </xf>
    <xf numFmtId="20" fontId="93" fillId="0" borderId="0" xfId="7" applyNumberFormat="1" applyFont="1" applyBorder="1" applyAlignment="1" applyProtection="1">
      <alignment horizontal="center" vertical="center"/>
    </xf>
    <xf numFmtId="181" fontId="116" fillId="0" borderId="15" xfId="7" applyNumberFormat="1" applyFont="1" applyBorder="1" applyAlignment="1" applyProtection="1">
      <alignment horizontal="center" vertical="center"/>
    </xf>
    <xf numFmtId="181" fontId="116" fillId="0" borderId="10" xfId="7" applyNumberFormat="1" applyFont="1" applyBorder="1" applyAlignment="1" applyProtection="1">
      <alignment horizontal="center" vertical="center"/>
    </xf>
    <xf numFmtId="181" fontId="116" fillId="0" borderId="14" xfId="7" applyNumberFormat="1" applyFont="1" applyBorder="1" applyAlignment="1" applyProtection="1">
      <alignment horizontal="center" vertical="center"/>
    </xf>
    <xf numFmtId="0" fontId="168" fillId="3" borderId="15" xfId="7" applyFont="1" applyFill="1" applyBorder="1" applyAlignment="1" applyProtection="1">
      <alignment horizontal="left" vertical="center" wrapText="1"/>
    </xf>
    <xf numFmtId="0" fontId="168" fillId="3" borderId="10" xfId="7" applyFont="1" applyFill="1" applyBorder="1" applyAlignment="1" applyProtection="1">
      <alignment horizontal="left" vertical="center" wrapText="1"/>
    </xf>
    <xf numFmtId="0" fontId="168" fillId="3" borderId="14" xfId="7" applyFont="1" applyFill="1" applyBorder="1" applyAlignment="1" applyProtection="1">
      <alignment horizontal="left" vertical="center" wrapText="1"/>
    </xf>
    <xf numFmtId="0" fontId="168" fillId="3" borderId="13" xfId="7" applyFont="1" applyFill="1" applyBorder="1" applyAlignment="1" applyProtection="1">
      <alignment horizontal="left" vertical="center" wrapText="1"/>
    </xf>
    <xf numFmtId="0" fontId="168" fillId="3" borderId="0" xfId="7" applyFont="1" applyFill="1" applyBorder="1" applyAlignment="1" applyProtection="1">
      <alignment horizontal="left" vertical="center" wrapText="1"/>
    </xf>
    <xf numFmtId="0" fontId="168" fillId="3" borderId="12" xfId="7" applyFont="1" applyFill="1" applyBorder="1" applyAlignment="1" applyProtection="1">
      <alignment horizontal="left" vertical="center" wrapText="1"/>
    </xf>
    <xf numFmtId="0" fontId="168" fillId="3" borderId="11" xfId="7" applyFont="1" applyFill="1" applyBorder="1" applyAlignment="1" applyProtection="1">
      <alignment horizontal="left" vertical="center" wrapText="1"/>
    </xf>
    <xf numFmtId="0" fontId="168" fillId="3" borderId="2" xfId="7" applyFont="1" applyFill="1" applyBorder="1" applyAlignment="1" applyProtection="1">
      <alignment horizontal="left" vertical="center" wrapText="1"/>
    </xf>
    <xf numFmtId="0" fontId="168" fillId="3" borderId="3" xfId="7" applyFont="1" applyFill="1" applyBorder="1" applyAlignment="1" applyProtection="1">
      <alignment horizontal="left" vertical="center" wrapText="1"/>
    </xf>
    <xf numFmtId="0" fontId="108" fillId="0" borderId="0" xfId="7" applyFont="1" applyBorder="1" applyAlignment="1" applyProtection="1">
      <alignment horizontal="left" vertical="center"/>
    </xf>
    <xf numFmtId="0" fontId="169" fillId="0" borderId="15" xfId="7" applyFont="1" applyFill="1" applyBorder="1" applyAlignment="1" applyProtection="1">
      <alignment vertical="center" textRotation="255"/>
      <protection locked="0"/>
    </xf>
    <xf numFmtId="0" fontId="169" fillId="0" borderId="10" xfId="7" applyFont="1" applyFill="1" applyBorder="1" applyAlignment="1" applyProtection="1">
      <alignment vertical="center" textRotation="255"/>
      <protection locked="0"/>
    </xf>
    <xf numFmtId="0" fontId="169" fillId="0" borderId="14" xfId="7" applyFont="1" applyFill="1" applyBorder="1" applyAlignment="1" applyProtection="1">
      <alignment vertical="center" textRotation="255"/>
      <protection locked="0"/>
    </xf>
    <xf numFmtId="0" fontId="169" fillId="0" borderId="13" xfId="7" applyFont="1" applyFill="1" applyBorder="1" applyAlignment="1" applyProtection="1">
      <alignment vertical="center" textRotation="255"/>
      <protection locked="0"/>
    </xf>
    <xf numFmtId="0" fontId="169" fillId="0" borderId="0" xfId="7" applyFont="1" applyFill="1" applyBorder="1" applyAlignment="1" applyProtection="1">
      <alignment vertical="center" textRotation="255"/>
      <protection locked="0"/>
    </xf>
    <xf numFmtId="0" fontId="169" fillId="0" borderId="12" xfId="7" applyFont="1" applyFill="1" applyBorder="1" applyAlignment="1" applyProtection="1">
      <alignment vertical="center" textRotation="255"/>
      <protection locked="0"/>
    </xf>
    <xf numFmtId="0" fontId="169" fillId="0" borderId="11" xfId="7" applyFont="1" applyFill="1" applyBorder="1" applyAlignment="1" applyProtection="1">
      <alignment vertical="center" textRotation="255"/>
      <protection locked="0"/>
    </xf>
    <xf numFmtId="0" fontId="169" fillId="0" borderId="2" xfId="7" applyFont="1" applyFill="1" applyBorder="1" applyAlignment="1" applyProtection="1">
      <alignment vertical="center" textRotation="255"/>
      <protection locked="0"/>
    </xf>
    <xf numFmtId="0" fontId="169" fillId="0" borderId="3" xfId="7" applyFont="1" applyFill="1" applyBorder="1" applyAlignment="1" applyProtection="1">
      <alignment vertical="center" textRotation="255"/>
      <protection locked="0"/>
    </xf>
    <xf numFmtId="0" fontId="108" fillId="0" borderId="2" xfId="7" applyFont="1" applyBorder="1" applyAlignment="1" applyProtection="1">
      <alignment horizontal="center" vertical="center"/>
    </xf>
    <xf numFmtId="0" fontId="108" fillId="0" borderId="21" xfId="7" applyFont="1" applyBorder="1" applyAlignment="1" applyProtection="1">
      <alignment horizontal="center" vertical="center" textRotation="255"/>
    </xf>
    <xf numFmtId="0" fontId="169" fillId="0" borderId="21" xfId="7" applyFont="1" applyBorder="1" applyAlignment="1" applyProtection="1">
      <alignment horizontal="left" vertical="center"/>
      <protection locked="0"/>
    </xf>
    <xf numFmtId="0" fontId="108" fillId="0" borderId="0" xfId="7" applyFont="1" applyAlignment="1" applyProtection="1">
      <alignment horizontal="left" vertical="center"/>
    </xf>
    <xf numFmtId="20" fontId="93" fillId="0" borderId="9" xfId="7" applyNumberFormat="1" applyFont="1" applyBorder="1" applyAlignment="1" applyProtection="1">
      <alignment horizontal="center" vertical="center"/>
    </xf>
    <xf numFmtId="181" fontId="116" fillId="0" borderId="11" xfId="7" applyNumberFormat="1" applyFont="1" applyBorder="1" applyAlignment="1" applyProtection="1">
      <alignment horizontal="center" vertical="center"/>
    </xf>
    <xf numFmtId="181" fontId="116" fillId="0" borderId="2" xfId="7" applyNumberFormat="1" applyFont="1" applyBorder="1" applyAlignment="1" applyProtection="1">
      <alignment horizontal="center" vertical="center"/>
    </xf>
    <xf numFmtId="181" fontId="116" fillId="0" borderId="3" xfId="7" applyNumberFormat="1" applyFont="1" applyBorder="1" applyAlignment="1" applyProtection="1">
      <alignment horizontal="center" vertical="center"/>
    </xf>
    <xf numFmtId="0" fontId="169" fillId="0" borderId="15" xfId="7" applyFont="1" applyFill="1" applyBorder="1" applyAlignment="1" applyProtection="1">
      <alignment horizontal="center" vertical="center" wrapText="1"/>
      <protection locked="0"/>
    </xf>
    <xf numFmtId="0" fontId="169" fillId="0" borderId="10" xfId="7" applyFont="1" applyFill="1" applyBorder="1" applyAlignment="1" applyProtection="1">
      <alignment horizontal="center" vertical="center" wrapText="1"/>
      <protection locked="0"/>
    </xf>
    <xf numFmtId="0" fontId="169" fillId="0" borderId="14" xfId="7" applyFont="1" applyFill="1" applyBorder="1" applyAlignment="1" applyProtection="1">
      <alignment horizontal="center" vertical="center" wrapText="1"/>
      <protection locked="0"/>
    </xf>
    <xf numFmtId="0" fontId="169" fillId="0" borderId="13" xfId="7" applyFont="1" applyFill="1" applyBorder="1" applyAlignment="1" applyProtection="1">
      <alignment horizontal="center" vertical="center" wrapText="1"/>
      <protection locked="0"/>
    </xf>
    <xf numFmtId="0" fontId="169" fillId="0" borderId="0" xfId="7" applyFont="1" applyFill="1" applyBorder="1" applyAlignment="1" applyProtection="1">
      <alignment horizontal="center" vertical="center" wrapText="1"/>
      <protection locked="0"/>
    </xf>
    <xf numFmtId="0" fontId="169" fillId="0" borderId="12" xfId="7" applyFont="1" applyFill="1" applyBorder="1" applyAlignment="1" applyProtection="1">
      <alignment horizontal="center" vertical="center" wrapText="1"/>
      <protection locked="0"/>
    </xf>
    <xf numFmtId="0" fontId="169" fillId="0" borderId="11" xfId="7" applyFont="1" applyFill="1" applyBorder="1" applyAlignment="1" applyProtection="1">
      <alignment horizontal="center" vertical="center" wrapText="1"/>
      <protection locked="0"/>
    </xf>
    <xf numFmtId="0" fontId="169" fillId="0" borderId="2" xfId="7" applyFont="1" applyFill="1" applyBorder="1" applyAlignment="1" applyProtection="1">
      <alignment horizontal="center" vertical="center" wrapText="1"/>
      <protection locked="0"/>
    </xf>
    <xf numFmtId="0" fontId="169" fillId="0" borderId="3" xfId="7" applyFont="1" applyFill="1" applyBorder="1" applyAlignment="1" applyProtection="1">
      <alignment horizontal="center" vertical="center" wrapText="1"/>
      <protection locked="0"/>
    </xf>
    <xf numFmtId="0" fontId="169" fillId="0" borderId="15" xfId="7" applyFont="1" applyFill="1" applyBorder="1" applyAlignment="1" applyProtection="1">
      <alignment horizontal="center" vertical="center" textRotation="255"/>
      <protection locked="0"/>
    </xf>
    <xf numFmtId="0" fontId="169" fillId="0" borderId="14" xfId="7" applyFont="1" applyFill="1" applyBorder="1" applyAlignment="1" applyProtection="1">
      <alignment horizontal="center" vertical="center" textRotation="255"/>
      <protection locked="0"/>
    </xf>
    <xf numFmtId="0" fontId="169" fillId="0" borderId="13" xfId="7" applyFont="1" applyFill="1" applyBorder="1" applyAlignment="1" applyProtection="1">
      <alignment horizontal="center" vertical="center" textRotation="255"/>
      <protection locked="0"/>
    </xf>
    <xf numFmtId="0" fontId="169" fillId="0" borderId="12" xfId="7" applyFont="1" applyFill="1" applyBorder="1" applyAlignment="1" applyProtection="1">
      <alignment horizontal="center" vertical="center" textRotation="255"/>
      <protection locked="0"/>
    </xf>
    <xf numFmtId="0" fontId="169" fillId="0" borderId="11" xfId="7" applyFont="1" applyFill="1" applyBorder="1" applyAlignment="1" applyProtection="1">
      <alignment horizontal="center" vertical="center" textRotation="255"/>
      <protection locked="0"/>
    </xf>
    <xf numFmtId="0" fontId="169" fillId="0" borderId="3" xfId="7" applyFont="1" applyFill="1" applyBorder="1" applyAlignment="1" applyProtection="1">
      <alignment horizontal="center" vertical="center" textRotation="255"/>
      <protection locked="0"/>
    </xf>
    <xf numFmtId="0" fontId="169" fillId="0" borderId="15" xfId="7" applyFont="1" applyFill="1" applyBorder="1" applyAlignment="1" applyProtection="1">
      <alignment horizontal="center" vertical="center" textRotation="255" wrapText="1"/>
      <protection locked="0"/>
    </xf>
    <xf numFmtId="0" fontId="169" fillId="0" borderId="14" xfId="7" applyFont="1" applyFill="1" applyBorder="1" applyAlignment="1" applyProtection="1">
      <alignment horizontal="center" vertical="center" textRotation="255" wrapText="1"/>
      <protection locked="0"/>
    </xf>
    <xf numFmtId="0" fontId="169" fillId="0" borderId="13" xfId="7" applyFont="1" applyFill="1" applyBorder="1" applyAlignment="1" applyProtection="1">
      <alignment horizontal="center" vertical="center" textRotation="255" wrapText="1"/>
      <protection locked="0"/>
    </xf>
    <xf numFmtId="0" fontId="169" fillId="0" borderId="12" xfId="7" applyFont="1" applyFill="1" applyBorder="1" applyAlignment="1" applyProtection="1">
      <alignment horizontal="center" vertical="center" textRotation="255" wrapText="1"/>
      <protection locked="0"/>
    </xf>
    <xf numFmtId="0" fontId="169" fillId="0" borderId="11" xfId="7" applyFont="1" applyFill="1" applyBorder="1" applyAlignment="1" applyProtection="1">
      <alignment horizontal="center" vertical="center" textRotation="255" wrapText="1"/>
      <protection locked="0"/>
    </xf>
    <xf numFmtId="0" fontId="169" fillId="0" borderId="3" xfId="7" applyFont="1" applyFill="1" applyBorder="1" applyAlignment="1" applyProtection="1">
      <alignment horizontal="center" vertical="center" textRotation="255" wrapText="1"/>
      <protection locked="0"/>
    </xf>
    <xf numFmtId="0" fontId="169" fillId="0" borderId="10" xfId="7" applyFont="1" applyFill="1" applyBorder="1" applyAlignment="1" applyProtection="1">
      <alignment horizontal="center" vertical="center"/>
      <protection locked="0"/>
    </xf>
    <xf numFmtId="0" fontId="169" fillId="0" borderId="14" xfId="7" applyFont="1" applyFill="1" applyBorder="1" applyAlignment="1" applyProtection="1">
      <alignment horizontal="center" vertical="center"/>
      <protection locked="0"/>
    </xf>
    <xf numFmtId="0" fontId="169" fillId="0" borderId="13" xfId="7" applyFont="1" applyFill="1" applyBorder="1" applyAlignment="1" applyProtection="1">
      <alignment horizontal="center" vertical="center"/>
      <protection locked="0"/>
    </xf>
    <xf numFmtId="0" fontId="169" fillId="0" borderId="0" xfId="7" applyFont="1" applyFill="1" applyBorder="1" applyAlignment="1" applyProtection="1">
      <alignment horizontal="center" vertical="center"/>
      <protection locked="0"/>
    </xf>
    <xf numFmtId="0" fontId="169" fillId="0" borderId="12" xfId="7" applyFont="1" applyFill="1" applyBorder="1" applyAlignment="1" applyProtection="1">
      <alignment horizontal="center" vertical="center"/>
      <protection locked="0"/>
    </xf>
    <xf numFmtId="0" fontId="169" fillId="0" borderId="11" xfId="7" applyFont="1" applyFill="1" applyBorder="1" applyAlignment="1" applyProtection="1">
      <alignment horizontal="center" vertical="center"/>
      <protection locked="0"/>
    </xf>
    <xf numFmtId="0" fontId="169" fillId="0" borderId="2" xfId="7" applyFont="1" applyFill="1" applyBorder="1" applyAlignment="1" applyProtection="1">
      <alignment horizontal="center" vertical="center"/>
      <protection locked="0"/>
    </xf>
    <xf numFmtId="0" fontId="169" fillId="0" borderId="3" xfId="7" applyFont="1" applyFill="1" applyBorder="1" applyAlignment="1" applyProtection="1">
      <alignment horizontal="center" vertical="center"/>
      <protection locked="0"/>
    </xf>
    <xf numFmtId="0" fontId="169" fillId="0" borderId="21" xfId="7" applyFont="1" applyFill="1" applyBorder="1" applyAlignment="1" applyProtection="1">
      <alignment horizontal="center" vertical="center" wrapText="1"/>
      <protection locked="0"/>
    </xf>
    <xf numFmtId="0" fontId="85" fillId="0" borderId="0" xfId="0" applyFont="1" applyAlignment="1">
      <alignment horizontal="center" vertical="center"/>
    </xf>
    <xf numFmtId="0" fontId="80" fillId="0" borderId="0" xfId="0" applyFont="1" applyAlignment="1">
      <alignment horizontal="center" vertical="center"/>
    </xf>
    <xf numFmtId="0" fontId="80" fillId="0" borderId="2" xfId="0" applyFont="1" applyBorder="1" applyAlignment="1">
      <alignment horizontal="center" vertical="center"/>
    </xf>
    <xf numFmtId="0" fontId="96" fillId="0" borderId="0" xfId="0" applyFont="1" applyAlignment="1">
      <alignment horizontal="center" vertical="center"/>
    </xf>
    <xf numFmtId="0" fontId="96" fillId="0" borderId="2" xfId="0" applyFont="1" applyBorder="1" applyAlignment="1">
      <alignment horizontal="center" vertical="center"/>
    </xf>
    <xf numFmtId="0" fontId="110" fillId="0" borderId="0" xfId="0" applyFont="1" applyAlignment="1">
      <alignment horizontal="center" vertical="center" shrinkToFit="1"/>
    </xf>
    <xf numFmtId="0" fontId="110" fillId="0" borderId="2" xfId="0" applyFont="1" applyBorder="1" applyAlignment="1">
      <alignment horizontal="center" vertical="center" shrinkToFit="1"/>
    </xf>
    <xf numFmtId="181" fontId="106" fillId="0" borderId="0" xfId="0" applyNumberFormat="1" applyFont="1" applyAlignment="1">
      <alignment horizontal="center" vertical="center" shrinkToFit="1"/>
    </xf>
    <xf numFmtId="181" fontId="106" fillId="0" borderId="2" xfId="0" applyNumberFormat="1" applyFont="1" applyBorder="1" applyAlignment="1">
      <alignment horizontal="center" vertical="center" shrinkToFit="1"/>
    </xf>
    <xf numFmtId="0" fontId="108" fillId="0" borderId="0" xfId="7" applyFont="1" applyBorder="1" applyAlignment="1" applyProtection="1">
      <alignment horizontal="center" vertical="center"/>
    </xf>
    <xf numFmtId="0" fontId="173" fillId="0" borderId="0" xfId="0" applyFont="1" applyAlignment="1">
      <alignment horizontal="center" vertical="center"/>
    </xf>
    <xf numFmtId="0" fontId="169" fillId="0" borderId="21" xfId="7" applyFont="1" applyBorder="1" applyAlignment="1" applyProtection="1">
      <alignment horizontal="left" vertical="center" wrapText="1"/>
      <protection locked="0"/>
    </xf>
    <xf numFmtId="0" fontId="169" fillId="0" borderId="21" xfId="7" applyFont="1" applyFill="1" applyBorder="1" applyAlignment="1" applyProtection="1">
      <alignment vertical="center" textRotation="255"/>
      <protection locked="0"/>
    </xf>
    <xf numFmtId="0" fontId="169" fillId="0" borderId="21" xfId="7" applyFont="1" applyFill="1" applyBorder="1" applyAlignment="1" applyProtection="1">
      <alignment horizontal="center" vertical="center" textRotation="255" wrapText="1"/>
      <protection locked="0"/>
    </xf>
    <xf numFmtId="0" fontId="169" fillId="0" borderId="21" xfId="7" applyFont="1" applyFill="1" applyBorder="1" applyAlignment="1" applyProtection="1">
      <alignment vertical="center" textRotation="255" wrapText="1"/>
      <protection locked="0"/>
    </xf>
    <xf numFmtId="0" fontId="108" fillId="0" borderId="86" xfId="7" applyFont="1" applyBorder="1" applyAlignment="1" applyProtection="1">
      <alignment horizontal="center" vertical="center"/>
    </xf>
    <xf numFmtId="0" fontId="108" fillId="0" borderId="39" xfId="7" applyFont="1" applyBorder="1" applyAlignment="1" applyProtection="1">
      <alignment horizontal="center" vertical="center" textRotation="255"/>
    </xf>
    <xf numFmtId="0" fontId="108" fillId="0" borderId="34" xfId="7" applyFont="1" applyBorder="1" applyAlignment="1" applyProtection="1">
      <alignment horizontal="center" vertical="center" textRotation="255"/>
    </xf>
    <xf numFmtId="181" fontId="116" fillId="0" borderId="136" xfId="7" applyNumberFormat="1" applyFont="1" applyBorder="1" applyAlignment="1" applyProtection="1">
      <alignment horizontal="center" vertical="center"/>
    </xf>
    <xf numFmtId="181" fontId="116" fillId="0" borderId="68" xfId="7" applyNumberFormat="1" applyFont="1" applyBorder="1" applyAlignment="1" applyProtection="1">
      <alignment horizontal="center" vertical="center"/>
    </xf>
    <xf numFmtId="181" fontId="116" fillId="0" borderId="137" xfId="7" applyNumberFormat="1" applyFont="1" applyBorder="1" applyAlignment="1" applyProtection="1">
      <alignment horizontal="center" vertical="center"/>
    </xf>
    <xf numFmtId="0" fontId="108" fillId="0" borderId="38" xfId="7" applyFont="1" applyBorder="1" applyAlignment="1" applyProtection="1">
      <alignment horizontal="center" vertical="center" textRotation="255"/>
    </xf>
    <xf numFmtId="181" fontId="116" fillId="0" borderId="39" xfId="7" applyNumberFormat="1" applyFont="1" applyBorder="1" applyAlignment="1" applyProtection="1">
      <alignment horizontal="center" vertical="center" textRotation="255"/>
    </xf>
    <xf numFmtId="181" fontId="116" fillId="0" borderId="34" xfId="7" applyNumberFormat="1" applyFont="1" applyBorder="1" applyAlignment="1" applyProtection="1">
      <alignment horizontal="center" vertical="center" textRotation="255"/>
    </xf>
    <xf numFmtId="0" fontId="169" fillId="0" borderId="15" xfId="7" applyFont="1" applyFill="1" applyBorder="1" applyAlignment="1" applyProtection="1">
      <alignment vertical="center" textRotation="255" wrapText="1"/>
      <protection locked="0"/>
    </xf>
    <xf numFmtId="0" fontId="169" fillId="0" borderId="14" xfId="7" applyFont="1" applyFill="1" applyBorder="1" applyAlignment="1" applyProtection="1">
      <alignment vertical="center" textRotation="255" wrapText="1"/>
      <protection locked="0"/>
    </xf>
    <xf numFmtId="0" fontId="169" fillId="0" borderId="13" xfId="7" applyFont="1" applyFill="1" applyBorder="1" applyAlignment="1" applyProtection="1">
      <alignment vertical="center" textRotation="255" wrapText="1"/>
      <protection locked="0"/>
    </xf>
    <xf numFmtId="0" fontId="169" fillId="0" borderId="12" xfId="7" applyFont="1" applyFill="1" applyBorder="1" applyAlignment="1" applyProtection="1">
      <alignment vertical="center" textRotation="255" wrapText="1"/>
      <protection locked="0"/>
    </xf>
    <xf numFmtId="0" fontId="169" fillId="0" borderId="11" xfId="7" applyFont="1" applyFill="1" applyBorder="1" applyAlignment="1" applyProtection="1">
      <alignment vertical="center" textRotation="255" wrapText="1"/>
      <protection locked="0"/>
    </xf>
    <xf numFmtId="0" fontId="169" fillId="0" borderId="3" xfId="7" applyFont="1" applyFill="1" applyBorder="1" applyAlignment="1" applyProtection="1">
      <alignment vertical="center" textRotation="255" wrapText="1"/>
      <protection locked="0"/>
    </xf>
    <xf numFmtId="181" fontId="116" fillId="0" borderId="21" xfId="7" applyNumberFormat="1" applyFont="1" applyBorder="1" applyAlignment="1" applyProtection="1">
      <alignment horizontal="center" vertical="center"/>
    </xf>
    <xf numFmtId="181" fontId="116" fillId="0" borderId="34" xfId="7" applyNumberFormat="1" applyFont="1" applyBorder="1" applyAlignment="1" applyProtection="1">
      <alignment horizontal="center" vertical="center"/>
    </xf>
    <xf numFmtId="0" fontId="108" fillId="0" borderId="34" xfId="7" applyFont="1" applyBorder="1" applyAlignment="1" applyProtection="1">
      <alignment horizontal="center" vertical="center"/>
    </xf>
    <xf numFmtId="181" fontId="116" fillId="0" borderId="39" xfId="7" applyNumberFormat="1" applyFont="1" applyBorder="1" applyAlignment="1" applyProtection="1">
      <alignment horizontal="center" vertical="center"/>
    </xf>
    <xf numFmtId="0" fontId="108" fillId="0" borderId="11" xfId="7" applyFont="1" applyBorder="1" applyAlignment="1" applyProtection="1">
      <alignment horizontal="center" vertical="center" textRotation="255"/>
    </xf>
    <xf numFmtId="0" fontId="108" fillId="0" borderId="2" xfId="7" applyFont="1" applyBorder="1" applyAlignment="1" applyProtection="1">
      <alignment horizontal="center" vertical="center" textRotation="255"/>
    </xf>
    <xf numFmtId="0" fontId="108" fillId="0" borderId="3" xfId="7" applyFont="1" applyBorder="1" applyAlignment="1" applyProtection="1">
      <alignment horizontal="center" vertical="center" textRotation="255"/>
    </xf>
    <xf numFmtId="0" fontId="169" fillId="0" borderId="21" xfId="7" applyFont="1" applyFill="1" applyBorder="1" applyAlignment="1" applyProtection="1">
      <alignment horizontal="center" vertical="center"/>
      <protection locked="0"/>
    </xf>
    <xf numFmtId="0" fontId="169" fillId="0" borderId="15" xfId="7" applyFont="1" applyFill="1" applyBorder="1" applyAlignment="1" applyProtection="1">
      <alignment horizontal="center" vertical="center"/>
      <protection locked="0"/>
    </xf>
    <xf numFmtId="0" fontId="93" fillId="3" borderId="61" xfId="7" applyFont="1" applyFill="1" applyBorder="1" applyAlignment="1" applyProtection="1">
      <alignment horizontal="center" vertical="center"/>
    </xf>
    <xf numFmtId="0" fontId="93" fillId="3" borderId="17" xfId="7" applyFont="1" applyFill="1" applyBorder="1" applyAlignment="1" applyProtection="1">
      <alignment horizontal="center" vertical="center"/>
    </xf>
    <xf numFmtId="0" fontId="93" fillId="3" borderId="60" xfId="7" applyFont="1" applyFill="1" applyBorder="1" applyAlignment="1" applyProtection="1">
      <alignment horizontal="center" vertical="center"/>
    </xf>
    <xf numFmtId="0" fontId="93" fillId="3" borderId="10" xfId="7" applyFont="1" applyFill="1" applyBorder="1" applyAlignment="1" applyProtection="1">
      <alignment horizontal="center" vertical="center"/>
    </xf>
    <xf numFmtId="0" fontId="93" fillId="3" borderId="14" xfId="7" applyFont="1" applyFill="1" applyBorder="1" applyAlignment="1" applyProtection="1">
      <alignment horizontal="center" vertical="center"/>
    </xf>
    <xf numFmtId="0" fontId="93" fillId="3" borderId="15" xfId="7" applyFont="1" applyFill="1" applyBorder="1" applyAlignment="1" applyProtection="1">
      <alignment horizontal="center" vertical="center"/>
    </xf>
    <xf numFmtId="0" fontId="108" fillId="0" borderId="21" xfId="7" applyFont="1" applyBorder="1" applyAlignment="1" applyProtection="1">
      <alignment horizontal="center" vertical="center" wrapText="1"/>
    </xf>
    <xf numFmtId="0" fontId="167" fillId="13" borderId="21" xfId="0" applyFont="1" applyFill="1" applyBorder="1" applyAlignment="1" applyProtection="1">
      <alignment horizontal="center" vertical="center"/>
    </xf>
    <xf numFmtId="0" fontId="167" fillId="3" borderId="61" xfId="0" applyFont="1" applyFill="1" applyBorder="1" applyAlignment="1" applyProtection="1">
      <alignment horizontal="center" vertical="center"/>
    </xf>
    <xf numFmtId="0" fontId="167" fillId="3" borderId="17" xfId="0" applyFont="1" applyFill="1" applyBorder="1" applyAlignment="1" applyProtection="1">
      <alignment horizontal="center" vertical="center"/>
    </xf>
    <xf numFmtId="0" fontId="167" fillId="3" borderId="60" xfId="0" applyFont="1" applyFill="1" applyBorder="1" applyAlignment="1" applyProtection="1">
      <alignment horizontal="center" vertical="center"/>
    </xf>
    <xf numFmtId="0" fontId="167" fillId="10" borderId="61" xfId="0" applyFont="1" applyFill="1" applyBorder="1" applyAlignment="1" applyProtection="1">
      <alignment horizontal="center" vertical="center"/>
    </xf>
    <xf numFmtId="0" fontId="167" fillId="10" borderId="17" xfId="0" applyFont="1" applyFill="1" applyBorder="1" applyAlignment="1" applyProtection="1">
      <alignment horizontal="center" vertical="center"/>
    </xf>
    <xf numFmtId="0" fontId="167" fillId="10" borderId="60" xfId="0" applyFont="1" applyFill="1" applyBorder="1" applyAlignment="1" applyProtection="1">
      <alignment horizontal="center" vertical="center"/>
    </xf>
    <xf numFmtId="20" fontId="166" fillId="0" borderId="0" xfId="7" applyNumberFormat="1" applyFont="1" applyBorder="1" applyAlignment="1" applyProtection="1">
      <alignment horizontal="center" vertical="center"/>
    </xf>
    <xf numFmtId="0" fontId="166" fillId="0" borderId="0" xfId="7" applyFont="1" applyBorder="1" applyAlignment="1" applyProtection="1">
      <alignment horizontal="center" vertical="center"/>
    </xf>
    <xf numFmtId="0" fontId="116" fillId="0" borderId="0" xfId="7" applyFont="1" applyBorder="1" applyAlignment="1" applyProtection="1">
      <alignment horizontal="center" vertical="center"/>
    </xf>
    <xf numFmtId="181" fontId="103" fillId="0" borderId="0" xfId="0" applyNumberFormat="1" applyFont="1" applyAlignment="1">
      <alignment horizontal="center" vertical="center"/>
    </xf>
    <xf numFmtId="0" fontId="103" fillId="0" borderId="2" xfId="0" applyFont="1" applyBorder="1" applyAlignment="1">
      <alignment horizontal="center" vertical="center"/>
    </xf>
    <xf numFmtId="0" fontId="85" fillId="0" borderId="0" xfId="0" applyFont="1" applyAlignment="1" applyProtection="1">
      <alignment horizontal="center" vertical="center"/>
    </xf>
    <xf numFmtId="0" fontId="80" fillId="0" borderId="0" xfId="0" applyFont="1">
      <alignment vertical="center"/>
    </xf>
    <xf numFmtId="0" fontId="80" fillId="0" borderId="2" xfId="0" applyFont="1" applyBorder="1">
      <alignment vertical="center"/>
    </xf>
    <xf numFmtId="0" fontId="169" fillId="0" borderId="10" xfId="7" applyFont="1" applyFill="1" applyBorder="1" applyAlignment="1" applyProtection="1">
      <alignment horizontal="center" vertical="center" textRotation="255" wrapText="1"/>
      <protection locked="0"/>
    </xf>
    <xf numFmtId="0" fontId="169" fillId="0" borderId="0" xfId="7" applyFont="1" applyFill="1" applyBorder="1" applyAlignment="1" applyProtection="1">
      <alignment horizontal="center" vertical="center" textRotation="255" wrapText="1"/>
      <protection locked="0"/>
    </xf>
    <xf numFmtId="0" fontId="169" fillId="0" borderId="2" xfId="7" applyFont="1" applyFill="1" applyBorder="1" applyAlignment="1" applyProtection="1">
      <alignment horizontal="center" vertical="center" textRotation="255" wrapText="1"/>
      <protection locked="0"/>
    </xf>
    <xf numFmtId="0" fontId="80" fillId="0" borderId="0" xfId="0" applyFont="1" applyBorder="1" applyAlignment="1" applyProtection="1">
      <alignment horizontal="center" vertical="center"/>
    </xf>
    <xf numFmtId="0" fontId="80" fillId="0" borderId="2" xfId="0" applyFont="1" applyBorder="1" applyAlignment="1" applyProtection="1">
      <alignment horizontal="center" vertical="center"/>
    </xf>
    <xf numFmtId="181" fontId="106" fillId="0" borderId="0" xfId="0" applyNumberFormat="1" applyFont="1" applyBorder="1" applyAlignment="1" applyProtection="1">
      <alignment horizontal="center" vertical="center" shrinkToFit="1"/>
    </xf>
    <xf numFmtId="181" fontId="106" fillId="0" borderId="2" xfId="0" applyNumberFormat="1" applyFont="1" applyBorder="1" applyAlignment="1" applyProtection="1">
      <alignment horizontal="center" vertical="center" shrinkToFit="1"/>
    </xf>
    <xf numFmtId="0" fontId="80" fillId="0" borderId="0" xfId="0" applyFont="1" applyBorder="1" applyProtection="1">
      <alignment vertical="center"/>
    </xf>
    <xf numFmtId="0" fontId="93" fillId="10" borderId="61" xfId="0" applyFont="1" applyFill="1" applyBorder="1" applyAlignment="1" applyProtection="1">
      <alignment horizontal="center" vertical="center"/>
    </xf>
    <xf numFmtId="0" fontId="93" fillId="10" borderId="17" xfId="0" applyFont="1" applyFill="1" applyBorder="1" applyAlignment="1" applyProtection="1">
      <alignment horizontal="center" vertical="center"/>
    </xf>
    <xf numFmtId="0" fontId="93" fillId="10" borderId="60" xfId="0" applyFont="1" applyFill="1" applyBorder="1" applyAlignment="1" applyProtection="1">
      <alignment horizontal="center" vertical="center"/>
    </xf>
    <xf numFmtId="181" fontId="103" fillId="0" borderId="0" xfId="0" applyNumberFormat="1" applyFont="1" applyBorder="1" applyAlignment="1" applyProtection="1">
      <alignment horizontal="center" vertical="center"/>
    </xf>
    <xf numFmtId="0" fontId="80" fillId="0" borderId="0" xfId="0" applyFont="1" applyAlignment="1" applyProtection="1">
      <alignment horizontal="center" vertical="center"/>
    </xf>
    <xf numFmtId="0" fontId="96" fillId="0" borderId="0" xfId="0" applyFont="1" applyBorder="1" applyAlignment="1" applyProtection="1">
      <alignment horizontal="center" vertical="center"/>
    </xf>
    <xf numFmtId="0" fontId="110" fillId="0" borderId="0" xfId="0" applyNumberFormat="1" applyFont="1" applyBorder="1" applyAlignment="1" applyProtection="1">
      <alignment horizontal="center" vertical="center" shrinkToFit="1"/>
    </xf>
    <xf numFmtId="0" fontId="110" fillId="0" borderId="2" xfId="0" applyNumberFormat="1" applyFont="1" applyBorder="1" applyAlignment="1" applyProtection="1">
      <alignment horizontal="center" vertical="center" shrinkToFit="1"/>
    </xf>
    <xf numFmtId="0" fontId="103" fillId="0" borderId="2" xfId="0" applyFont="1" applyBorder="1" applyAlignment="1" applyProtection="1">
      <alignment horizontal="center" vertical="center"/>
    </xf>
    <xf numFmtId="0" fontId="93" fillId="3" borderId="61" xfId="0" applyFont="1" applyFill="1" applyBorder="1" applyAlignment="1" applyProtection="1">
      <alignment horizontal="center" vertical="center"/>
    </xf>
    <xf numFmtId="0" fontId="93" fillId="3" borderId="17" xfId="0" applyFont="1" applyFill="1" applyBorder="1" applyAlignment="1" applyProtection="1">
      <alignment horizontal="center" vertical="center"/>
    </xf>
    <xf numFmtId="0" fontId="93" fillId="3" borderId="60" xfId="0" applyFont="1" applyFill="1" applyBorder="1" applyAlignment="1" applyProtection="1">
      <alignment horizontal="center" vertical="center"/>
    </xf>
    <xf numFmtId="0" fontId="93" fillId="13" borderId="21" xfId="0" applyFont="1" applyFill="1" applyBorder="1" applyAlignment="1" applyProtection="1">
      <alignment horizontal="center" vertical="center"/>
    </xf>
    <xf numFmtId="0" fontId="169" fillId="0" borderId="21" xfId="7" applyFont="1" applyFill="1" applyBorder="1" applyAlignment="1" applyProtection="1">
      <alignment horizontal="center" vertical="center" textRotation="255"/>
      <protection locked="0"/>
    </xf>
    <xf numFmtId="0" fontId="169" fillId="0" borderId="61" xfId="7" applyFont="1" applyFill="1" applyBorder="1" applyAlignment="1" applyProtection="1">
      <alignment horizontal="center" vertical="center" wrapText="1"/>
      <protection locked="0"/>
    </xf>
    <xf numFmtId="0" fontId="78" fillId="0" borderId="0" xfId="0" applyFont="1" applyBorder="1" applyAlignment="1" applyProtection="1">
      <alignment horizontal="left" vertical="center" shrinkToFit="1"/>
    </xf>
    <xf numFmtId="0" fontId="81" fillId="7" borderId="10" xfId="0" applyFont="1" applyFill="1" applyBorder="1" applyAlignment="1" applyProtection="1">
      <alignment horizontal="center" vertical="center"/>
    </xf>
    <xf numFmtId="0" fontId="81" fillId="7" borderId="14" xfId="0" applyFont="1" applyFill="1" applyBorder="1" applyAlignment="1" applyProtection="1">
      <alignment horizontal="center" vertical="center"/>
    </xf>
    <xf numFmtId="0" fontId="81" fillId="7" borderId="2" xfId="0" applyFont="1" applyFill="1" applyBorder="1" applyAlignment="1" applyProtection="1">
      <alignment horizontal="center" vertical="center"/>
    </xf>
    <xf numFmtId="0" fontId="81" fillId="7" borderId="3" xfId="0" applyFont="1" applyFill="1" applyBorder="1" applyAlignment="1" applyProtection="1">
      <alignment horizontal="center" vertical="center"/>
    </xf>
    <xf numFmtId="0" fontId="80" fillId="0" borderId="74" xfId="0" applyFont="1" applyBorder="1" applyAlignment="1" applyProtection="1">
      <alignment horizontal="center" vertical="center" shrinkToFit="1"/>
    </xf>
    <xf numFmtId="0" fontId="80" fillId="0" borderId="16" xfId="0" applyFont="1" applyBorder="1" applyAlignment="1" applyProtection="1">
      <alignment horizontal="center" vertical="center" shrinkToFit="1"/>
    </xf>
    <xf numFmtId="0" fontId="80" fillId="0" borderId="75" xfId="0" applyFont="1" applyBorder="1" applyAlignment="1" applyProtection="1">
      <alignment horizontal="center" vertical="center" shrinkToFit="1"/>
    </xf>
    <xf numFmtId="0" fontId="80" fillId="0" borderId="18" xfId="0" applyFont="1" applyBorder="1" applyAlignment="1" applyProtection="1">
      <alignment horizontal="center" vertical="center" shrinkToFit="1"/>
    </xf>
    <xf numFmtId="0" fontId="25" fillId="0" borderId="0" xfId="0" applyFont="1" applyBorder="1" applyAlignment="1" applyProtection="1">
      <alignment vertical="center" wrapText="1"/>
    </xf>
    <xf numFmtId="0" fontId="25" fillId="0" borderId="0" xfId="0" applyFont="1" applyBorder="1" applyAlignment="1" applyProtection="1">
      <alignment vertical="center"/>
    </xf>
    <xf numFmtId="0" fontId="78" fillId="0" borderId="0" xfId="0" applyFont="1" applyAlignment="1" applyProtection="1">
      <alignment horizontal="left" vertical="center"/>
    </xf>
    <xf numFmtId="0" fontId="89" fillId="0" borderId="15" xfId="0" applyFont="1" applyBorder="1" applyAlignment="1" applyProtection="1">
      <alignment horizontal="center" vertical="center" wrapText="1"/>
    </xf>
    <xf numFmtId="0" fontId="89" fillId="0" borderId="10" xfId="0" applyFont="1" applyBorder="1" applyAlignment="1" applyProtection="1">
      <alignment horizontal="center" vertical="center" wrapText="1"/>
    </xf>
    <xf numFmtId="0" fontId="89" fillId="0" borderId="14" xfId="0" applyFont="1" applyBorder="1" applyAlignment="1" applyProtection="1">
      <alignment horizontal="center" vertical="center" wrapText="1"/>
    </xf>
    <xf numFmtId="0" fontId="89" fillId="0" borderId="11" xfId="0" applyFont="1" applyBorder="1" applyAlignment="1" applyProtection="1">
      <alignment horizontal="center" vertical="center" wrapText="1"/>
    </xf>
    <xf numFmtId="0" fontId="89" fillId="0" borderId="2" xfId="0" applyFont="1" applyBorder="1" applyAlignment="1" applyProtection="1">
      <alignment horizontal="center" vertical="center" wrapText="1"/>
    </xf>
    <xf numFmtId="0" fontId="89" fillId="0" borderId="3" xfId="0" applyFont="1" applyBorder="1" applyAlignment="1" applyProtection="1">
      <alignment horizontal="center" vertical="center" wrapText="1"/>
    </xf>
    <xf numFmtId="0" fontId="89" fillId="0" borderId="13" xfId="0" applyFont="1" applyBorder="1" applyAlignment="1" applyProtection="1">
      <alignment horizontal="center" vertical="center"/>
    </xf>
    <xf numFmtId="0" fontId="88" fillId="7" borderId="74" xfId="0" applyFont="1" applyFill="1" applyBorder="1" applyAlignment="1" applyProtection="1">
      <alignment horizontal="center" vertical="center" shrinkToFit="1"/>
    </xf>
    <xf numFmtId="0" fontId="88" fillId="7" borderId="16" xfId="0" applyFont="1" applyFill="1" applyBorder="1" applyAlignment="1" applyProtection="1">
      <alignment horizontal="center" vertical="center" shrinkToFit="1"/>
    </xf>
    <xf numFmtId="0" fontId="81" fillId="7" borderId="13" xfId="0" applyFont="1" applyFill="1" applyBorder="1" applyAlignment="1" applyProtection="1">
      <alignment horizontal="center" vertical="center" shrinkToFit="1"/>
    </xf>
    <xf numFmtId="0" fontId="81" fillId="7" borderId="0" xfId="0" applyFont="1" applyFill="1" applyBorder="1" applyAlignment="1" applyProtection="1">
      <alignment horizontal="center" vertical="center" shrinkToFit="1"/>
    </xf>
    <xf numFmtId="0" fontId="82" fillId="0" borderId="282" xfId="0" applyFont="1" applyBorder="1" applyAlignment="1" applyProtection="1">
      <alignment horizontal="center" vertical="center" wrapText="1" shrinkToFit="1"/>
    </xf>
    <xf numFmtId="0" fontId="82" fillId="0" borderId="70" xfId="0" applyFont="1" applyBorder="1" applyAlignment="1" applyProtection="1">
      <alignment horizontal="center" vertical="center" wrapText="1" shrinkToFit="1"/>
    </xf>
    <xf numFmtId="0" fontId="82" fillId="0" borderId="71" xfId="0" applyFont="1" applyBorder="1" applyAlignment="1" applyProtection="1">
      <alignment horizontal="center" vertical="center" wrapText="1" shrinkToFit="1"/>
    </xf>
    <xf numFmtId="0" fontId="82" fillId="0" borderId="85" xfId="0" applyFont="1" applyBorder="1" applyAlignment="1" applyProtection="1">
      <alignment horizontal="center" vertical="center" wrapText="1" shrinkToFit="1"/>
    </xf>
    <xf numFmtId="0" fontId="82" fillId="0" borderId="68" xfId="0" applyFont="1" applyBorder="1" applyAlignment="1" applyProtection="1">
      <alignment horizontal="center" vertical="center" wrapText="1" shrinkToFit="1"/>
    </xf>
    <xf numFmtId="0" fontId="82" fillId="0" borderId="72" xfId="0" applyFont="1" applyBorder="1" applyAlignment="1" applyProtection="1">
      <alignment horizontal="center" vertical="center" wrapText="1" shrinkToFit="1"/>
    </xf>
    <xf numFmtId="0" fontId="77" fillId="0" borderId="15" xfId="0" applyFont="1" applyBorder="1" applyAlignment="1" applyProtection="1">
      <alignment horizontal="center" vertical="center" wrapText="1"/>
    </xf>
    <xf numFmtId="0" fontId="77" fillId="0" borderId="10" xfId="0" applyFont="1" applyBorder="1" applyAlignment="1" applyProtection="1">
      <alignment horizontal="center" vertical="center" wrapText="1"/>
    </xf>
    <xf numFmtId="0" fontId="77" fillId="0" borderId="14" xfId="0" applyFont="1" applyBorder="1" applyAlignment="1" applyProtection="1">
      <alignment horizontal="center" vertical="center" wrapText="1"/>
    </xf>
    <xf numFmtId="0" fontId="77" fillId="0" borderId="11" xfId="0" applyFont="1" applyBorder="1" applyAlignment="1" applyProtection="1">
      <alignment horizontal="center" vertical="center" wrapText="1"/>
    </xf>
    <xf numFmtId="0" fontId="77" fillId="0" borderId="2" xfId="0" applyFont="1" applyBorder="1" applyAlignment="1" applyProtection="1">
      <alignment horizontal="center" vertical="center" wrapText="1"/>
    </xf>
    <xf numFmtId="0" fontId="77" fillId="0" borderId="3" xfId="0" applyFont="1" applyBorder="1" applyAlignment="1" applyProtection="1">
      <alignment horizontal="center" vertical="center" wrapText="1"/>
    </xf>
    <xf numFmtId="0" fontId="10" fillId="0" borderId="76" xfId="0" applyFont="1" applyBorder="1" applyAlignment="1" applyProtection="1">
      <alignment horizontal="center" vertical="center"/>
    </xf>
    <xf numFmtId="0" fontId="10" fillId="0" borderId="77" xfId="0" applyFont="1" applyBorder="1" applyAlignment="1" applyProtection="1">
      <alignment horizontal="center" vertical="center"/>
    </xf>
    <xf numFmtId="0" fontId="80" fillId="3" borderId="75" xfId="0" applyFont="1" applyFill="1" applyBorder="1" applyAlignment="1" applyProtection="1">
      <alignment horizontal="center" vertical="center" shrinkToFit="1"/>
    </xf>
    <xf numFmtId="0" fontId="80" fillId="3" borderId="18" xfId="0" applyFont="1" applyFill="1" applyBorder="1" applyAlignment="1" applyProtection="1">
      <alignment horizontal="center" vertical="center" shrinkToFit="1"/>
    </xf>
    <xf numFmtId="0" fontId="25" fillId="0" borderId="0" xfId="0" applyFont="1" applyBorder="1" applyAlignment="1" applyProtection="1">
      <alignment horizontal="left" vertical="center" wrapText="1"/>
    </xf>
    <xf numFmtId="0" fontId="109" fillId="4" borderId="21" xfId="0" applyNumberFormat="1" applyFont="1" applyFill="1" applyBorder="1" applyAlignment="1" applyProtection="1">
      <alignment horizontal="center" vertical="center" shrinkToFit="1"/>
      <protection locked="0"/>
    </xf>
    <xf numFmtId="0" fontId="109" fillId="4" borderId="141" xfId="0" applyNumberFormat="1" applyFont="1" applyFill="1" applyBorder="1" applyAlignment="1" applyProtection="1">
      <alignment horizontal="center" vertical="center" shrinkToFit="1"/>
      <protection locked="0"/>
    </xf>
    <xf numFmtId="0" fontId="109" fillId="0" borderId="79" xfId="0" applyNumberFormat="1" applyFont="1" applyBorder="1" applyAlignment="1" applyProtection="1">
      <alignment horizontal="center" vertical="center" shrinkToFit="1"/>
    </xf>
    <xf numFmtId="0" fontId="109" fillId="0" borderId="84" xfId="0" applyNumberFormat="1" applyFont="1" applyBorder="1" applyAlignment="1" applyProtection="1">
      <alignment horizontal="center" vertical="center" shrinkToFit="1"/>
    </xf>
    <xf numFmtId="0" fontId="109" fillId="4" borderId="61" xfId="0" applyNumberFormat="1" applyFont="1" applyFill="1" applyBorder="1" applyAlignment="1" applyProtection="1">
      <alignment horizontal="center" vertical="center" shrinkToFit="1"/>
      <protection locked="0"/>
    </xf>
    <xf numFmtId="0" fontId="109" fillId="4" borderId="17" xfId="0" applyNumberFormat="1" applyFont="1" applyFill="1" applyBorder="1" applyAlignment="1" applyProtection="1">
      <alignment horizontal="center" vertical="center" shrinkToFit="1"/>
      <protection locked="0"/>
    </xf>
    <xf numFmtId="0" fontId="109" fillId="4" borderId="60" xfId="0" applyNumberFormat="1" applyFont="1" applyFill="1" applyBorder="1" applyAlignment="1" applyProtection="1">
      <alignment horizontal="center" vertical="center" shrinkToFit="1"/>
      <protection locked="0"/>
    </xf>
    <xf numFmtId="0" fontId="109" fillId="0" borderId="60" xfId="0" applyNumberFormat="1" applyFont="1" applyBorder="1" applyAlignment="1" applyProtection="1">
      <alignment horizontal="center" vertical="center" shrinkToFit="1"/>
    </xf>
    <xf numFmtId="0" fontId="109" fillId="0" borderId="61" xfId="0" applyFont="1" applyBorder="1" applyAlignment="1" applyProtection="1">
      <alignment horizontal="center" vertical="center" shrinkToFit="1"/>
    </xf>
    <xf numFmtId="0" fontId="109" fillId="0" borderId="60" xfId="0" applyFont="1" applyBorder="1" applyAlignment="1" applyProtection="1">
      <alignment horizontal="center" vertical="center" shrinkToFit="1"/>
    </xf>
    <xf numFmtId="0" fontId="109" fillId="4" borderId="61" xfId="0" applyNumberFormat="1" applyFont="1" applyFill="1" applyBorder="1" applyAlignment="1" applyProtection="1">
      <alignment horizontal="left" vertical="center" shrinkToFit="1"/>
      <protection locked="0"/>
    </xf>
    <xf numFmtId="0" fontId="109" fillId="4" borderId="17" xfId="0" applyNumberFormat="1" applyFont="1" applyFill="1" applyBorder="1" applyAlignment="1" applyProtection="1">
      <alignment horizontal="left" vertical="center" shrinkToFit="1"/>
      <protection locked="0"/>
    </xf>
    <xf numFmtId="0" fontId="109" fillId="4" borderId="84" xfId="0" applyNumberFormat="1" applyFont="1" applyFill="1" applyBorder="1" applyAlignment="1" applyProtection="1">
      <alignment horizontal="left" vertical="center" shrinkToFit="1"/>
      <protection locked="0"/>
    </xf>
    <xf numFmtId="0" fontId="109" fillId="0" borderId="17" xfId="0" applyFont="1" applyBorder="1" applyAlignment="1" applyProtection="1">
      <alignment horizontal="center" vertical="center" shrinkToFit="1"/>
    </xf>
    <xf numFmtId="0" fontId="116" fillId="0" borderId="61" xfId="0" applyFont="1" applyBorder="1" applyAlignment="1" applyProtection="1">
      <alignment horizontal="center" vertical="center" shrinkToFit="1"/>
    </xf>
    <xf numFmtId="0" fontId="116" fillId="0" borderId="17" xfId="0" applyFont="1" applyBorder="1" applyAlignment="1" applyProtection="1">
      <alignment horizontal="center" vertical="center" shrinkToFit="1"/>
    </xf>
    <xf numFmtId="0" fontId="116" fillId="0" borderId="60" xfId="0" applyFont="1" applyBorder="1" applyAlignment="1" applyProtection="1">
      <alignment horizontal="center" vertical="center" shrinkToFit="1"/>
    </xf>
    <xf numFmtId="0" fontId="109" fillId="4" borderId="61" xfId="0" applyNumberFormat="1" applyFont="1" applyFill="1" applyBorder="1" applyAlignment="1" applyProtection="1">
      <alignment horizontal="center" vertical="center" wrapText="1" shrinkToFit="1"/>
      <protection locked="0"/>
    </xf>
    <xf numFmtId="0" fontId="109" fillId="4" borderId="17" xfId="0" applyNumberFormat="1" applyFont="1" applyFill="1" applyBorder="1" applyAlignment="1" applyProtection="1">
      <alignment horizontal="center" vertical="center" wrapText="1" shrinkToFit="1"/>
      <protection locked="0"/>
    </xf>
    <xf numFmtId="0" fontId="109" fillId="4" borderId="60" xfId="0" applyNumberFormat="1" applyFont="1" applyFill="1" applyBorder="1" applyAlignment="1" applyProtection="1">
      <alignment horizontal="center" vertical="center" wrapText="1" shrinkToFit="1"/>
      <protection locked="0"/>
    </xf>
    <xf numFmtId="0" fontId="80" fillId="0" borderId="15" xfId="0" applyFont="1" applyBorder="1" applyAlignment="1" applyProtection="1">
      <alignment horizontal="center" vertical="center" shrinkToFit="1"/>
    </xf>
    <xf numFmtId="0" fontId="80" fillId="0" borderId="10" xfId="0" applyFont="1" applyBorder="1" applyAlignment="1" applyProtection="1">
      <alignment horizontal="center" vertical="center" shrinkToFit="1"/>
    </xf>
    <xf numFmtId="0" fontId="80" fillId="0" borderId="14" xfId="0" applyFont="1" applyBorder="1" applyAlignment="1" applyProtection="1">
      <alignment horizontal="center" vertical="center" shrinkToFit="1"/>
    </xf>
    <xf numFmtId="0" fontId="80" fillId="0" borderId="13" xfId="0" applyFont="1" applyBorder="1" applyAlignment="1" applyProtection="1">
      <alignment horizontal="center" vertical="center" shrinkToFit="1"/>
    </xf>
    <xf numFmtId="0" fontId="80" fillId="0" borderId="0" xfId="0" applyFont="1" applyBorder="1" applyAlignment="1" applyProtection="1">
      <alignment horizontal="center" vertical="center" shrinkToFit="1"/>
    </xf>
    <xf numFmtId="0" fontId="80" fillId="0" borderId="12" xfId="0" applyFont="1" applyBorder="1" applyAlignment="1" applyProtection="1">
      <alignment horizontal="center" vertical="center" shrinkToFit="1"/>
    </xf>
    <xf numFmtId="0" fontId="80" fillId="0" borderId="136" xfId="0" applyFont="1" applyBorder="1" applyAlignment="1" applyProtection="1">
      <alignment horizontal="center" vertical="center" shrinkToFit="1"/>
    </xf>
    <xf numFmtId="0" fontId="80" fillId="0" borderId="68" xfId="0" applyFont="1" applyBorder="1" applyAlignment="1" applyProtection="1">
      <alignment horizontal="center" vertical="center" shrinkToFit="1"/>
    </xf>
    <xf numFmtId="0" fontId="80" fillId="0" borderId="137" xfId="0" applyFont="1" applyBorder="1" applyAlignment="1" applyProtection="1">
      <alignment horizontal="center" vertical="center" shrinkToFit="1"/>
    </xf>
    <xf numFmtId="0" fontId="109" fillId="4" borderId="115" xfId="0" applyNumberFormat="1" applyFont="1" applyFill="1" applyBorder="1" applyAlignment="1" applyProtection="1">
      <alignment horizontal="center" vertical="center" shrinkToFit="1"/>
      <protection locked="0"/>
    </xf>
    <xf numFmtId="0" fontId="109" fillId="4" borderId="83" xfId="0" applyNumberFormat="1" applyFont="1" applyFill="1" applyBorder="1" applyAlignment="1" applyProtection="1">
      <alignment horizontal="center" vertical="center" shrinkToFit="1"/>
      <protection locked="0"/>
    </xf>
    <xf numFmtId="0" fontId="109" fillId="4" borderId="78" xfId="0" applyNumberFormat="1" applyFont="1" applyFill="1" applyBorder="1" applyAlignment="1" applyProtection="1">
      <alignment horizontal="center" vertical="center" shrinkToFit="1"/>
      <protection locked="0"/>
    </xf>
    <xf numFmtId="0" fontId="109" fillId="4" borderId="115" xfId="0" applyNumberFormat="1" applyFont="1" applyFill="1" applyBorder="1" applyAlignment="1" applyProtection="1">
      <alignment horizontal="center" vertical="center" wrapText="1" shrinkToFit="1"/>
      <protection locked="0"/>
    </xf>
    <xf numFmtId="0" fontId="109" fillId="4" borderId="83" xfId="0" applyNumberFormat="1" applyFont="1" applyFill="1" applyBorder="1" applyAlignment="1" applyProtection="1">
      <alignment horizontal="center" vertical="center" wrapText="1" shrinkToFit="1"/>
      <protection locked="0"/>
    </xf>
    <xf numFmtId="0" fontId="109" fillId="4" borderId="78" xfId="0" applyNumberFormat="1" applyFont="1" applyFill="1" applyBorder="1" applyAlignment="1" applyProtection="1">
      <alignment horizontal="center" vertical="center" wrapText="1" shrinkToFit="1"/>
      <protection locked="0"/>
    </xf>
    <xf numFmtId="0" fontId="109" fillId="4" borderId="97" xfId="0" applyNumberFormat="1" applyFont="1" applyFill="1" applyBorder="1" applyAlignment="1" applyProtection="1">
      <alignment horizontal="center" vertical="center" shrinkToFit="1"/>
      <protection locked="0"/>
    </xf>
    <xf numFmtId="0" fontId="80" fillId="0" borderId="282" xfId="0" applyFont="1" applyBorder="1" applyAlignment="1" applyProtection="1">
      <alignment horizontal="center" vertical="center" wrapText="1" shrinkToFit="1"/>
    </xf>
    <xf numFmtId="0" fontId="80" fillId="0" borderId="71" xfId="0" applyFont="1" applyBorder="1" applyAlignment="1" applyProtection="1">
      <alignment horizontal="center" vertical="center" wrapText="1" shrinkToFit="1"/>
    </xf>
    <xf numFmtId="0" fontId="80" fillId="0" borderId="85" xfId="0" applyFont="1" applyBorder="1" applyAlignment="1" applyProtection="1">
      <alignment horizontal="center" vertical="center" wrapText="1" shrinkToFit="1"/>
    </xf>
    <xf numFmtId="0" fontId="80" fillId="0" borderId="72" xfId="0" applyFont="1" applyBorder="1" applyAlignment="1" applyProtection="1">
      <alignment horizontal="center" vertical="center" wrapText="1" shrinkToFit="1"/>
    </xf>
    <xf numFmtId="0" fontId="80" fillId="0" borderId="15" xfId="0" applyFont="1" applyBorder="1" applyAlignment="1" applyProtection="1">
      <alignment horizontal="center" vertical="center" wrapText="1" shrinkToFit="1"/>
    </xf>
    <xf numFmtId="0" fontId="80" fillId="0" borderId="14" xfId="0" applyFont="1" applyBorder="1" applyAlignment="1" applyProtection="1">
      <alignment horizontal="center" vertical="center" wrapText="1" shrinkToFit="1"/>
    </xf>
    <xf numFmtId="0" fontId="80" fillId="0" borderId="136" xfId="0" applyFont="1" applyBorder="1" applyAlignment="1" applyProtection="1">
      <alignment horizontal="center" vertical="center" wrapText="1" shrinkToFit="1"/>
    </xf>
    <xf numFmtId="0" fontId="80" fillId="0" borderId="137" xfId="0" applyFont="1" applyBorder="1" applyAlignment="1" applyProtection="1">
      <alignment horizontal="center" vertical="center" wrapText="1" shrinkToFit="1"/>
    </xf>
    <xf numFmtId="0" fontId="80" fillId="0" borderId="10" xfId="0" applyFont="1" applyBorder="1" applyAlignment="1" applyProtection="1">
      <alignment horizontal="center" vertical="center" wrapText="1" shrinkToFit="1"/>
    </xf>
    <xf numFmtId="0" fontId="80" fillId="0" borderId="68" xfId="0" applyFont="1" applyBorder="1" applyAlignment="1" applyProtection="1">
      <alignment horizontal="center" vertical="center" wrapText="1" shrinkToFit="1"/>
    </xf>
    <xf numFmtId="0" fontId="80" fillId="0" borderId="61" xfId="0" applyFont="1" applyBorder="1" applyAlignment="1" applyProtection="1">
      <alignment horizontal="center" vertical="center" shrinkToFit="1"/>
    </xf>
    <xf numFmtId="0" fontId="80" fillId="0" borderId="17" xfId="0" applyFont="1" applyBorder="1" applyAlignment="1" applyProtection="1">
      <alignment horizontal="center" vertical="center" shrinkToFit="1"/>
    </xf>
    <xf numFmtId="0" fontId="84" fillId="0" borderId="0" xfId="0" applyFont="1" applyBorder="1" applyAlignment="1" applyProtection="1">
      <alignment horizontal="left" vertical="center"/>
    </xf>
    <xf numFmtId="0" fontId="80" fillId="0" borderId="34" xfId="0" applyFont="1" applyBorder="1" applyAlignment="1" applyProtection="1">
      <alignment horizontal="center" vertical="center" textRotation="255" shrinkToFit="1"/>
    </xf>
    <xf numFmtId="0" fontId="80" fillId="0" borderId="39" xfId="0" applyFont="1" applyBorder="1" applyAlignment="1" applyProtection="1">
      <alignment horizontal="center" vertical="center" textRotation="255" shrinkToFit="1"/>
    </xf>
    <xf numFmtId="0" fontId="43" fillId="0" borderId="10" xfId="0" applyFont="1" applyBorder="1" applyAlignment="1" applyProtection="1">
      <alignment horizontal="center" vertical="center" shrinkToFit="1"/>
    </xf>
    <xf numFmtId="0" fontId="43" fillId="0" borderId="2"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0" fillId="0" borderId="3" xfId="0" applyFont="1" applyBorder="1" applyAlignment="1" applyProtection="1">
      <alignment horizontal="center" vertical="center" shrinkToFit="1"/>
    </xf>
    <xf numFmtId="0" fontId="0" fillId="0" borderId="15" xfId="0" applyFont="1" applyBorder="1" applyAlignment="1" applyProtection="1">
      <alignment horizontal="center" vertical="center" shrinkToFit="1"/>
    </xf>
    <xf numFmtId="0" fontId="0" fillId="0" borderId="10" xfId="0" applyFont="1" applyBorder="1" applyAlignment="1" applyProtection="1">
      <alignment horizontal="center" vertical="center" shrinkToFit="1"/>
    </xf>
    <xf numFmtId="0" fontId="0" fillId="0" borderId="11" xfId="0" applyFont="1" applyBorder="1" applyAlignment="1" applyProtection="1">
      <alignment horizontal="center" vertical="center" shrinkToFit="1"/>
    </xf>
    <xf numFmtId="0" fontId="0" fillId="0" borderId="2" xfId="0" applyFont="1" applyBorder="1" applyAlignment="1" applyProtection="1">
      <alignment horizontal="center" vertical="center" shrinkToFit="1"/>
    </xf>
    <xf numFmtId="0" fontId="43" fillId="0" borderId="10" xfId="0" applyFont="1" applyBorder="1" applyAlignment="1" applyProtection="1">
      <alignment horizontal="center" vertical="center" shrinkToFit="1"/>
      <protection locked="0"/>
    </xf>
    <xf numFmtId="0" fontId="43" fillId="0" borderId="2"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15" xfId="0" applyFont="1" applyBorder="1" applyAlignment="1" applyProtection="1">
      <alignment horizontal="right" vertical="center" shrinkToFit="1"/>
      <protection locked="0"/>
    </xf>
    <xf numFmtId="0" fontId="0" fillId="0" borderId="11" xfId="0" applyFont="1" applyBorder="1" applyAlignment="1" applyProtection="1">
      <alignment horizontal="right" vertical="center" shrinkToFit="1"/>
      <protection locked="0"/>
    </xf>
    <xf numFmtId="0" fontId="108" fillId="0" borderId="70" xfId="0" applyFont="1" applyBorder="1" applyAlignment="1" applyProtection="1">
      <alignment horizontal="center" vertical="center"/>
    </xf>
    <xf numFmtId="0" fontId="108" fillId="0" borderId="68" xfId="0" applyFont="1" applyBorder="1" applyAlignment="1" applyProtection="1">
      <alignment horizontal="center" vertical="center"/>
    </xf>
    <xf numFmtId="178" fontId="117" fillId="0" borderId="0" xfId="0" applyNumberFormat="1" applyFont="1" applyBorder="1" applyAlignment="1" applyProtection="1">
      <alignment horizontal="center" vertical="center" shrinkToFit="1"/>
    </xf>
    <xf numFmtId="178" fontId="117" fillId="0" borderId="68" xfId="0" applyNumberFormat="1" applyFont="1" applyBorder="1" applyAlignment="1" applyProtection="1">
      <alignment horizontal="center" vertical="center" shrinkToFit="1"/>
    </xf>
    <xf numFmtId="0" fontId="108" fillId="0" borderId="0" xfId="0" applyFont="1" applyBorder="1" applyAlignment="1" applyProtection="1">
      <alignment horizontal="center" vertical="center"/>
    </xf>
    <xf numFmtId="178" fontId="104" fillId="0" borderId="68" xfId="0" applyNumberFormat="1" applyFont="1" applyBorder="1" applyAlignment="1" applyProtection="1">
      <alignment horizontal="center" vertical="center"/>
    </xf>
    <xf numFmtId="0" fontId="80" fillId="0" borderId="0" xfId="0" applyFont="1" applyAlignment="1" applyProtection="1">
      <alignment horizontal="left" vertical="center"/>
    </xf>
    <xf numFmtId="178" fontId="117" fillId="0" borderId="0" xfId="0" applyNumberFormat="1" applyFont="1" applyBorder="1" applyAlignment="1" applyProtection="1">
      <alignment horizontal="center" vertical="center"/>
    </xf>
    <xf numFmtId="178" fontId="117" fillId="0" borderId="68" xfId="0" applyNumberFormat="1" applyFont="1" applyBorder="1" applyAlignment="1" applyProtection="1">
      <alignment horizontal="center" vertical="center"/>
    </xf>
    <xf numFmtId="178" fontId="117" fillId="0" borderId="70" xfId="0" applyNumberFormat="1" applyFont="1" applyBorder="1" applyAlignment="1" applyProtection="1">
      <alignment horizontal="center" vertical="center"/>
    </xf>
    <xf numFmtId="0" fontId="80" fillId="0" borderId="68" xfId="0" applyFont="1" applyBorder="1" applyAlignment="1" applyProtection="1">
      <alignment horizontal="center" vertical="center"/>
    </xf>
    <xf numFmtId="0" fontId="13" fillId="0" borderId="0" xfId="0" applyFont="1" applyBorder="1" applyAlignment="1" applyProtection="1">
      <alignment horizontal="center" vertical="center"/>
    </xf>
    <xf numFmtId="0" fontId="89" fillId="0" borderId="76" xfId="0" applyFont="1" applyBorder="1" applyAlignment="1" applyProtection="1">
      <alignment horizontal="center" vertical="center"/>
    </xf>
    <xf numFmtId="0" fontId="89" fillId="0" borderId="77" xfId="0" applyFont="1" applyBorder="1" applyAlignment="1" applyProtection="1">
      <alignment horizontal="center" vertical="center"/>
    </xf>
    <xf numFmtId="0" fontId="87" fillId="7" borderId="10" xfId="0" applyFont="1" applyFill="1" applyBorder="1" applyAlignment="1" applyProtection="1">
      <alignment horizontal="center" vertical="center"/>
    </xf>
    <xf numFmtId="0" fontId="87" fillId="7" borderId="14" xfId="0" applyFont="1" applyFill="1" applyBorder="1" applyAlignment="1" applyProtection="1">
      <alignment horizontal="center" vertical="center"/>
    </xf>
    <xf numFmtId="0" fontId="87" fillId="7" borderId="2" xfId="0" applyFont="1" applyFill="1" applyBorder="1" applyAlignment="1" applyProtection="1">
      <alignment horizontal="center" vertical="center"/>
    </xf>
    <xf numFmtId="0" fontId="87" fillId="7" borderId="3" xfId="0" applyFont="1" applyFill="1" applyBorder="1" applyAlignment="1" applyProtection="1">
      <alignment horizontal="center" vertical="center"/>
    </xf>
    <xf numFmtId="0" fontId="83" fillId="0" borderId="68" xfId="0" applyFont="1" applyBorder="1" applyAlignment="1" applyProtection="1">
      <alignment horizontal="center" vertical="center"/>
    </xf>
    <xf numFmtId="0" fontId="83" fillId="0" borderId="0" xfId="0" applyFont="1" applyBorder="1" applyAlignment="1" applyProtection="1">
      <alignment horizontal="center" vertical="center"/>
    </xf>
    <xf numFmtId="0" fontId="80" fillId="0" borderId="2" xfId="0" applyFont="1" applyBorder="1" applyAlignment="1" applyProtection="1">
      <alignment horizontal="center" vertical="center" shrinkToFit="1"/>
    </xf>
    <xf numFmtId="0" fontId="75" fillId="0" borderId="10" xfId="0" applyFont="1" applyBorder="1" applyAlignment="1" applyProtection="1">
      <alignment horizontal="center" vertical="center" shrinkToFit="1"/>
    </xf>
    <xf numFmtId="0" fontId="75" fillId="0" borderId="2" xfId="0" applyFont="1" applyBorder="1" applyAlignment="1" applyProtection="1">
      <alignment horizontal="center" vertical="center" shrinkToFit="1"/>
    </xf>
    <xf numFmtId="0" fontId="87" fillId="7" borderId="13" xfId="0" applyFont="1" applyFill="1" applyBorder="1" applyAlignment="1" applyProtection="1">
      <alignment horizontal="center" vertical="center" shrinkToFit="1"/>
    </xf>
    <xf numFmtId="0" fontId="87" fillId="7" borderId="0" xfId="0" applyFont="1" applyFill="1" applyBorder="1" applyAlignment="1" applyProtection="1">
      <alignment horizontal="center" vertical="center" shrinkToFit="1"/>
    </xf>
    <xf numFmtId="0" fontId="80" fillId="0" borderId="38" xfId="0" applyFont="1" applyBorder="1" applyAlignment="1" applyProtection="1">
      <alignment horizontal="center" vertical="center" textRotation="255" shrinkToFit="1"/>
    </xf>
    <xf numFmtId="0" fontId="80" fillId="0" borderId="138" xfId="0" applyFont="1" applyBorder="1" applyAlignment="1" applyProtection="1">
      <alignment horizontal="center" vertical="center" textRotation="255" shrinkToFit="1"/>
    </xf>
    <xf numFmtId="0" fontId="80" fillId="0" borderId="60" xfId="0" applyFont="1" applyBorder="1" applyAlignment="1" applyProtection="1">
      <alignment horizontal="center" vertical="center" shrinkToFit="1"/>
    </xf>
    <xf numFmtId="0" fontId="14" fillId="0" borderId="2" xfId="0" applyFont="1" applyBorder="1" applyAlignment="1" applyProtection="1">
      <alignment vertical="center"/>
    </xf>
    <xf numFmtId="0" fontId="80" fillId="0" borderId="21" xfId="0" applyFont="1" applyBorder="1" applyAlignment="1" applyProtection="1">
      <alignment horizontal="center" vertical="center" shrinkToFit="1"/>
    </xf>
    <xf numFmtId="0" fontId="80" fillId="0" borderId="86" xfId="0" applyFont="1" applyBorder="1" applyAlignment="1" applyProtection="1">
      <alignment horizontal="center" vertical="center" shrinkToFit="1"/>
    </xf>
    <xf numFmtId="0" fontId="80" fillId="0" borderId="12" xfId="0" applyFont="1" applyBorder="1" applyAlignment="1" applyProtection="1">
      <alignment horizontal="center" vertical="center" textRotation="255" shrinkToFit="1"/>
    </xf>
    <xf numFmtId="0" fontId="80" fillId="0" borderId="137" xfId="0" applyFont="1" applyBorder="1" applyAlignment="1" applyProtection="1">
      <alignment horizontal="center" vertical="center" textRotation="255" shrinkToFit="1"/>
    </xf>
    <xf numFmtId="0" fontId="2" fillId="0" borderId="13" xfId="0" applyFont="1" applyBorder="1" applyAlignment="1" applyProtection="1">
      <alignment horizontal="center" vertical="center"/>
    </xf>
    <xf numFmtId="0" fontId="15" fillId="0" borderId="0" xfId="0" applyNumberFormat="1" applyFont="1" applyBorder="1" applyAlignment="1" applyProtection="1">
      <alignment horizontal="center" vertical="center" shrinkToFit="1"/>
      <protection hidden="1"/>
    </xf>
    <xf numFmtId="0" fontId="109" fillId="4" borderId="115" xfId="0" applyNumberFormat="1" applyFont="1" applyFill="1" applyBorder="1" applyAlignment="1" applyProtection="1">
      <alignment horizontal="center" vertical="center" shrinkToFit="1"/>
    </xf>
    <xf numFmtId="0" fontId="109" fillId="4" borderId="78" xfId="0" applyNumberFormat="1" applyFont="1" applyFill="1" applyBorder="1" applyAlignment="1" applyProtection="1">
      <alignment horizontal="center" vertical="center" shrinkToFit="1"/>
    </xf>
    <xf numFmtId="0" fontId="109" fillId="4" borderId="16" xfId="0" applyNumberFormat="1" applyFont="1" applyFill="1" applyBorder="1" applyAlignment="1" applyProtection="1">
      <alignment horizontal="center" vertical="center" shrinkToFit="1"/>
    </xf>
    <xf numFmtId="0" fontId="109" fillId="0" borderId="74" xfId="0" applyNumberFormat="1" applyFont="1" applyBorder="1" applyAlignment="1" applyProtection="1">
      <alignment horizontal="center" vertical="center" shrinkToFit="1"/>
    </xf>
    <xf numFmtId="0" fontId="109" fillId="0" borderId="78" xfId="0" applyNumberFormat="1" applyFont="1" applyBorder="1" applyAlignment="1" applyProtection="1">
      <alignment horizontal="center" vertical="center" shrinkToFit="1"/>
    </xf>
    <xf numFmtId="0" fontId="109" fillId="4" borderId="144" xfId="0" applyNumberFormat="1" applyFont="1" applyFill="1" applyBorder="1" applyAlignment="1" applyProtection="1">
      <alignment horizontal="center" vertical="center" shrinkToFit="1"/>
      <protection locked="0"/>
    </xf>
    <xf numFmtId="0" fontId="109" fillId="4" borderId="143" xfId="0" applyNumberFormat="1" applyFont="1" applyFill="1" applyBorder="1" applyAlignment="1" applyProtection="1">
      <alignment horizontal="center" vertical="center" shrinkToFit="1"/>
      <protection locked="0"/>
    </xf>
    <xf numFmtId="0" fontId="109" fillId="4" borderId="71" xfId="0" applyNumberFormat="1" applyFont="1" applyFill="1" applyBorder="1" applyAlignment="1" applyProtection="1">
      <alignment horizontal="center" vertical="center" shrinkToFit="1"/>
      <protection locked="0"/>
    </xf>
    <xf numFmtId="0" fontId="109" fillId="0" borderId="16" xfId="0" applyNumberFormat="1" applyFont="1" applyBorder="1" applyAlignment="1" applyProtection="1">
      <alignment horizontal="center" vertical="center" shrinkToFit="1"/>
    </xf>
    <xf numFmtId="0" fontId="109" fillId="4" borderId="115" xfId="0" applyNumberFormat="1" applyFont="1" applyFill="1" applyBorder="1" applyAlignment="1" applyProtection="1">
      <alignment horizontal="left" vertical="center" shrinkToFit="1"/>
      <protection locked="0"/>
    </xf>
    <xf numFmtId="0" fontId="109" fillId="4" borderId="83" xfId="0" applyNumberFormat="1" applyFont="1" applyFill="1" applyBorder="1" applyAlignment="1" applyProtection="1">
      <alignment horizontal="left" vertical="center" shrinkToFit="1"/>
      <protection locked="0"/>
    </xf>
    <xf numFmtId="0" fontId="109" fillId="4" borderId="16" xfId="0" applyNumberFormat="1" applyFont="1" applyFill="1" applyBorder="1" applyAlignment="1" applyProtection="1">
      <alignment horizontal="left" vertical="center" shrinkToFit="1"/>
      <protection locked="0"/>
    </xf>
    <xf numFmtId="0" fontId="116" fillId="0" borderId="115" xfId="0" applyFont="1" applyBorder="1" applyAlignment="1" applyProtection="1">
      <alignment horizontal="center" vertical="center" shrinkToFit="1"/>
    </xf>
    <xf numFmtId="0" fontId="116" fillId="0" borderId="83" xfId="0" applyFont="1" applyBorder="1" applyAlignment="1" applyProtection="1">
      <alignment horizontal="center" vertical="center" shrinkToFit="1"/>
    </xf>
    <xf numFmtId="0" fontId="116" fillId="0" borderId="78" xfId="0" applyFont="1" applyBorder="1" applyAlignment="1" applyProtection="1">
      <alignment horizontal="center" vertical="center" shrinkToFit="1"/>
    </xf>
    <xf numFmtId="0" fontId="109" fillId="0" borderId="115" xfId="0" applyFont="1" applyBorder="1" applyAlignment="1" applyProtection="1">
      <alignment horizontal="center" vertical="center" shrinkToFit="1"/>
    </xf>
    <xf numFmtId="0" fontId="109" fillId="0" borderId="78" xfId="0" applyFont="1" applyBorder="1" applyAlignment="1" applyProtection="1">
      <alignment horizontal="center" vertical="center" shrinkToFit="1"/>
    </xf>
    <xf numFmtId="0" fontId="109" fillId="0" borderId="83" xfId="0" applyFont="1" applyBorder="1" applyAlignment="1" applyProtection="1">
      <alignment horizontal="center" vertical="center" shrinkToFit="1"/>
    </xf>
    <xf numFmtId="0" fontId="109" fillId="4" borderId="61" xfId="0" applyNumberFormat="1" applyFont="1" applyFill="1" applyBorder="1" applyAlignment="1" applyProtection="1">
      <alignment horizontal="center" vertical="center" shrinkToFit="1"/>
    </xf>
    <xf numFmtId="0" fontId="109" fillId="4" borderId="60" xfId="0" applyNumberFormat="1" applyFont="1" applyFill="1" applyBorder="1" applyAlignment="1" applyProtection="1">
      <alignment horizontal="center" vertical="center" shrinkToFit="1"/>
    </xf>
    <xf numFmtId="0" fontId="109" fillId="4" borderId="84" xfId="0" applyNumberFormat="1" applyFont="1" applyFill="1" applyBorder="1" applyAlignment="1" applyProtection="1">
      <alignment horizontal="center" vertical="center" shrinkToFit="1"/>
    </xf>
    <xf numFmtId="0" fontId="109" fillId="0" borderId="61" xfId="0" applyFont="1" applyBorder="1" applyAlignment="1" applyProtection="1">
      <alignment horizontal="center" vertical="center" wrapText="1" shrinkToFit="1"/>
    </xf>
    <xf numFmtId="0" fontId="109" fillId="0" borderId="17" xfId="0" applyFont="1" applyBorder="1" applyAlignment="1" applyProtection="1">
      <alignment horizontal="center" vertical="center" wrapText="1" shrinkToFit="1"/>
    </xf>
    <xf numFmtId="0" fontId="109" fillId="0" borderId="60" xfId="0" applyFont="1" applyBorder="1" applyAlignment="1" applyProtection="1">
      <alignment horizontal="center" vertical="center" wrapText="1" shrinkToFit="1"/>
    </xf>
    <xf numFmtId="0" fontId="109" fillId="0" borderId="61" xfId="0" applyFont="1" applyBorder="1" applyAlignment="1" applyProtection="1">
      <alignment vertical="center" shrinkToFit="1"/>
    </xf>
    <xf numFmtId="0" fontId="109" fillId="0" borderId="17" xfId="0" applyFont="1" applyBorder="1" applyAlignment="1" applyProtection="1">
      <alignment vertical="center" shrinkToFit="1"/>
    </xf>
    <xf numFmtId="0" fontId="20" fillId="2" borderId="0" xfId="0" applyFont="1" applyFill="1" applyAlignment="1" applyProtection="1">
      <alignment horizontal="center" vertical="center"/>
    </xf>
    <xf numFmtId="178" fontId="61" fillId="0" borderId="0" xfId="0" applyNumberFormat="1"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181" fontId="109" fillId="4" borderId="288" xfId="0" applyNumberFormat="1" applyFont="1" applyFill="1" applyBorder="1" applyAlignment="1" applyProtection="1">
      <alignment vertical="center" shrinkToFit="1"/>
      <protection locked="0"/>
    </xf>
    <xf numFmtId="181" fontId="109" fillId="4" borderId="85" xfId="0" applyNumberFormat="1" applyFont="1" applyFill="1" applyBorder="1" applyAlignment="1" applyProtection="1">
      <alignment vertical="center" shrinkToFit="1"/>
      <protection locked="0"/>
    </xf>
    <xf numFmtId="0" fontId="89" fillId="0" borderId="12" xfId="0" applyFont="1" applyFill="1" applyBorder="1" applyAlignment="1" applyProtection="1">
      <alignment horizontal="center" vertical="center"/>
    </xf>
    <xf numFmtId="0" fontId="89" fillId="0" borderId="137" xfId="0" applyFont="1" applyFill="1" applyBorder="1" applyAlignment="1" applyProtection="1">
      <alignment horizontal="center" vertical="center"/>
    </xf>
    <xf numFmtId="181" fontId="109" fillId="4" borderId="282" xfId="0" applyNumberFormat="1" applyFont="1" applyFill="1" applyBorder="1" applyAlignment="1" applyProtection="1">
      <alignment vertical="center" shrinkToFit="1"/>
      <protection locked="0"/>
    </xf>
    <xf numFmtId="181" fontId="109" fillId="4" borderId="77" xfId="0" applyNumberFormat="1" applyFont="1" applyFill="1" applyBorder="1" applyAlignment="1" applyProtection="1">
      <alignment vertical="center" shrinkToFit="1"/>
      <protection locked="0"/>
    </xf>
    <xf numFmtId="0" fontId="89" fillId="0" borderId="143" xfId="0" applyFont="1" applyFill="1" applyBorder="1" applyAlignment="1" applyProtection="1">
      <alignment horizontal="center" vertical="center"/>
    </xf>
    <xf numFmtId="0" fontId="89" fillId="0" borderId="3" xfId="0" applyFont="1" applyFill="1" applyBorder="1" applyAlignment="1" applyProtection="1">
      <alignment horizontal="center" vertical="center"/>
    </xf>
    <xf numFmtId="0" fontId="89" fillId="0" borderId="34" xfId="0" applyFont="1" applyFill="1" applyBorder="1" applyAlignment="1" applyProtection="1">
      <alignment horizontal="center" vertical="center"/>
    </xf>
    <xf numFmtId="0" fontId="89" fillId="0" borderId="144" xfId="0" applyFont="1" applyFill="1" applyBorder="1" applyAlignment="1" applyProtection="1">
      <alignment horizontal="center" vertical="center"/>
      <protection locked="0"/>
    </xf>
    <xf numFmtId="0" fontId="89" fillId="0" borderId="70" xfId="0" applyFont="1" applyFill="1" applyBorder="1" applyAlignment="1" applyProtection="1">
      <alignment horizontal="center" vertical="center"/>
      <protection locked="0"/>
    </xf>
    <xf numFmtId="0" fontId="89" fillId="0" borderId="143" xfId="0" applyFont="1" applyFill="1" applyBorder="1" applyAlignment="1" applyProtection="1">
      <alignment horizontal="center" vertical="center"/>
      <protection locked="0"/>
    </xf>
    <xf numFmtId="0" fontId="89" fillId="0" borderId="13" xfId="0" applyFont="1" applyFill="1" applyBorder="1" applyAlignment="1" applyProtection="1">
      <alignment horizontal="center" vertical="center"/>
      <protection locked="0"/>
    </xf>
    <xf numFmtId="0" fontId="89" fillId="0" borderId="0" xfId="0" applyFont="1" applyFill="1" applyBorder="1" applyAlignment="1" applyProtection="1">
      <alignment horizontal="center" vertical="center"/>
      <protection locked="0"/>
    </xf>
    <xf numFmtId="0" fontId="89" fillId="0" borderId="12" xfId="0" applyFont="1" applyFill="1" applyBorder="1" applyAlignment="1" applyProtection="1">
      <alignment horizontal="center" vertical="center"/>
      <protection locked="0"/>
    </xf>
    <xf numFmtId="0" fontId="89" fillId="0" borderId="15" xfId="0" applyFont="1" applyFill="1" applyBorder="1" applyAlignment="1" applyProtection="1">
      <alignment horizontal="center" vertical="center"/>
      <protection locked="0"/>
    </xf>
    <xf numFmtId="0" fontId="89" fillId="0" borderId="10" xfId="0" applyFont="1" applyFill="1" applyBorder="1" applyAlignment="1" applyProtection="1">
      <alignment horizontal="center" vertical="center"/>
      <protection locked="0"/>
    </xf>
    <xf numFmtId="0" fontId="89" fillId="0" borderId="14" xfId="0" applyFont="1" applyFill="1" applyBorder="1" applyAlignment="1" applyProtection="1">
      <alignment horizontal="center" vertical="center"/>
      <protection locked="0"/>
    </xf>
    <xf numFmtId="0" fontId="89" fillId="0" borderId="136" xfId="0" applyFont="1" applyFill="1" applyBorder="1" applyAlignment="1" applyProtection="1">
      <alignment horizontal="center" vertical="center"/>
      <protection locked="0"/>
    </xf>
    <xf numFmtId="0" fontId="89" fillId="0" borderId="68" xfId="0" applyFont="1" applyFill="1" applyBorder="1" applyAlignment="1" applyProtection="1">
      <alignment horizontal="center" vertical="center"/>
      <protection locked="0"/>
    </xf>
    <xf numFmtId="0" fontId="89" fillId="0" borderId="137" xfId="0" applyFont="1" applyFill="1" applyBorder="1" applyAlignment="1" applyProtection="1">
      <alignment horizontal="center" vertical="center"/>
      <protection locked="0"/>
    </xf>
    <xf numFmtId="0" fontId="89" fillId="0" borderId="3" xfId="0" applyFont="1" applyFill="1" applyBorder="1" applyAlignment="1" applyProtection="1">
      <alignment horizontal="center" vertical="center"/>
      <protection locked="0"/>
    </xf>
    <xf numFmtId="0" fontId="109" fillId="0" borderId="115" xfId="0" applyFont="1" applyBorder="1" applyAlignment="1" applyProtection="1">
      <alignment vertical="center" shrinkToFit="1"/>
    </xf>
    <xf numFmtId="0" fontId="109" fillId="0" borderId="83" xfId="0" applyFont="1" applyBorder="1" applyAlignment="1" applyProtection="1">
      <alignment vertical="center" shrinkToFit="1"/>
    </xf>
    <xf numFmtId="0" fontId="109" fillId="0" borderId="61" xfId="0" applyFont="1" applyBorder="1" applyAlignment="1" applyProtection="1">
      <alignment horizontal="left" vertical="center" shrinkToFit="1"/>
    </xf>
    <xf numFmtId="0" fontId="109" fillId="0" borderId="17" xfId="0" applyFont="1" applyBorder="1" applyAlignment="1" applyProtection="1">
      <alignment horizontal="left" vertical="center" shrinkToFit="1"/>
    </xf>
    <xf numFmtId="0" fontId="109" fillId="0" borderId="139" xfId="0" applyFont="1" applyBorder="1" applyAlignment="1" applyProtection="1">
      <alignment horizontal="center" vertical="center" shrinkToFit="1"/>
    </xf>
    <xf numFmtId="0" fontId="109" fillId="0" borderId="80" xfId="0" applyFont="1" applyBorder="1" applyAlignment="1" applyProtection="1">
      <alignment horizontal="center" vertical="center" shrinkToFit="1"/>
    </xf>
    <xf numFmtId="0" fontId="109" fillId="0" borderId="81" xfId="0" applyFont="1" applyBorder="1" applyAlignment="1" applyProtection="1">
      <alignment horizontal="center" vertical="center" shrinkToFit="1"/>
    </xf>
    <xf numFmtId="0" fontId="116" fillId="0" borderId="139" xfId="0" applyFont="1" applyBorder="1" applyAlignment="1" applyProtection="1">
      <alignment horizontal="center" vertical="center" shrinkToFit="1"/>
    </xf>
    <xf numFmtId="0" fontId="116" fillId="0" borderId="81" xfId="0" applyFont="1" applyBorder="1" applyAlignment="1" applyProtection="1">
      <alignment horizontal="center" vertical="center" shrinkToFit="1"/>
    </xf>
    <xf numFmtId="0" fontId="116" fillId="0" borderId="80" xfId="0" applyFont="1" applyBorder="1" applyAlignment="1" applyProtection="1">
      <alignment horizontal="center" vertical="center" shrinkToFit="1"/>
    </xf>
    <xf numFmtId="0" fontId="109" fillId="0" borderId="75" xfId="0" applyNumberFormat="1" applyFont="1" applyBorder="1" applyAlignment="1" applyProtection="1">
      <alignment horizontal="center" vertical="center" shrinkToFit="1"/>
    </xf>
    <xf numFmtId="0" fontId="109" fillId="0" borderId="80" xfId="0" applyNumberFormat="1" applyFont="1" applyBorder="1" applyAlignment="1" applyProtection="1">
      <alignment horizontal="center" vertical="center" shrinkToFit="1"/>
    </xf>
    <xf numFmtId="0" fontId="109" fillId="4" borderId="139" xfId="0" applyNumberFormat="1" applyFont="1" applyFill="1" applyBorder="1" applyAlignment="1" applyProtection="1">
      <alignment horizontal="center" vertical="center" shrinkToFit="1"/>
    </xf>
    <xf numFmtId="0" fontId="109" fillId="4" borderId="18" xfId="0" applyNumberFormat="1" applyFont="1" applyFill="1" applyBorder="1" applyAlignment="1" applyProtection="1">
      <alignment horizontal="center" vertical="center" shrinkToFit="1"/>
    </xf>
    <xf numFmtId="0" fontId="109" fillId="4" borderId="80" xfId="0" applyNumberFormat="1" applyFont="1" applyFill="1" applyBorder="1" applyAlignment="1" applyProtection="1">
      <alignment horizontal="center" vertical="center" shrinkToFit="1"/>
    </xf>
    <xf numFmtId="0" fontId="109" fillId="4" borderId="84" xfId="0" applyNumberFormat="1" applyFont="1" applyFill="1" applyBorder="1" applyAlignment="1" applyProtection="1">
      <alignment horizontal="center" vertical="center" shrinkToFit="1"/>
      <protection locked="0"/>
    </xf>
    <xf numFmtId="0" fontId="109" fillId="0" borderId="139" xfId="0" applyFont="1" applyBorder="1" applyAlignment="1" applyProtection="1">
      <alignment vertical="center" shrinkToFit="1"/>
    </xf>
    <xf numFmtId="0" fontId="109" fillId="0" borderId="81" xfId="0" applyFont="1" applyBorder="1" applyAlignment="1" applyProtection="1">
      <alignment vertical="center" shrinkToFit="1"/>
    </xf>
    <xf numFmtId="0" fontId="89" fillId="0" borderId="11" xfId="0" applyFont="1" applyFill="1" applyBorder="1" applyAlignment="1" applyProtection="1">
      <alignment horizontal="center" vertical="center"/>
      <protection locked="0"/>
    </xf>
    <xf numFmtId="0" fontId="89" fillId="0" borderId="70" xfId="0" applyFont="1" applyFill="1" applyBorder="1" applyAlignment="1" applyProtection="1">
      <alignment horizontal="center" vertical="center"/>
    </xf>
    <xf numFmtId="0" fontId="89" fillId="0" borderId="2" xfId="0" applyFont="1" applyFill="1" applyBorder="1" applyAlignment="1" applyProtection="1">
      <alignment horizontal="center" vertical="center"/>
    </xf>
    <xf numFmtId="0" fontId="84" fillId="0" borderId="76" xfId="0" applyFont="1" applyFill="1" applyBorder="1" applyAlignment="1" applyProtection="1">
      <alignment vertical="center"/>
    </xf>
    <xf numFmtId="0" fontId="84" fillId="0" borderId="77" xfId="0" applyFont="1" applyFill="1" applyBorder="1" applyAlignment="1" applyProtection="1">
      <alignment vertical="center"/>
    </xf>
    <xf numFmtId="0" fontId="89" fillId="0" borderId="10" xfId="0" applyFont="1" applyFill="1" applyBorder="1" applyAlignment="1" applyProtection="1">
      <alignment vertical="center"/>
    </xf>
    <xf numFmtId="0" fontId="89" fillId="0" borderId="2" xfId="0" applyFont="1" applyFill="1" applyBorder="1" applyAlignment="1" applyProtection="1">
      <alignment vertical="center"/>
    </xf>
    <xf numFmtId="0" fontId="89" fillId="0" borderId="311" xfId="0" applyFont="1" applyFill="1" applyBorder="1" applyAlignment="1" applyProtection="1">
      <alignment vertical="center"/>
    </xf>
    <xf numFmtId="0" fontId="89" fillId="0" borderId="232" xfId="0" applyFont="1" applyFill="1" applyBorder="1" applyAlignment="1" applyProtection="1">
      <alignment vertical="center"/>
    </xf>
    <xf numFmtId="0" fontId="89" fillId="0" borderId="0" xfId="0" applyFont="1" applyFill="1" applyBorder="1" applyAlignment="1" applyProtection="1">
      <alignment vertical="center"/>
    </xf>
    <xf numFmtId="0" fontId="89" fillId="0" borderId="71" xfId="0" applyFont="1" applyFill="1" applyBorder="1" applyAlignment="1" applyProtection="1">
      <alignment horizontal="center" vertical="center"/>
      <protection locked="0"/>
    </xf>
    <xf numFmtId="0" fontId="89" fillId="0" borderId="232" xfId="0" applyFont="1" applyFill="1" applyBorder="1" applyAlignment="1" applyProtection="1">
      <alignment horizontal="center" vertical="center"/>
      <protection locked="0"/>
    </xf>
    <xf numFmtId="0" fontId="89" fillId="0" borderId="10" xfId="0" applyFont="1" applyFill="1" applyBorder="1" applyAlignment="1" applyProtection="1">
      <alignment horizontal="center" vertical="center"/>
    </xf>
    <xf numFmtId="0" fontId="89" fillId="0" borderId="68" xfId="0" applyFont="1" applyFill="1" applyBorder="1" applyAlignment="1" applyProtection="1">
      <alignment horizontal="center" vertical="center"/>
    </xf>
    <xf numFmtId="0" fontId="89" fillId="0" borderId="311" xfId="0" applyFont="1" applyFill="1" applyBorder="1" applyAlignment="1" applyProtection="1">
      <alignment horizontal="center" vertical="center"/>
      <protection locked="0"/>
    </xf>
    <xf numFmtId="0" fontId="89" fillId="0" borderId="72" xfId="0" applyFont="1" applyFill="1" applyBorder="1" applyAlignment="1" applyProtection="1">
      <alignment horizontal="center" vertical="center"/>
      <protection locked="0"/>
    </xf>
    <xf numFmtId="0" fontId="84" fillId="0" borderId="10" xfId="0" applyFont="1" applyFill="1" applyBorder="1" applyAlignment="1" applyProtection="1">
      <alignment vertical="center"/>
    </xf>
    <xf numFmtId="0" fontId="84" fillId="0" borderId="0" xfId="0" applyFont="1" applyFill="1" applyBorder="1" applyAlignment="1" applyProtection="1">
      <alignment vertical="center"/>
    </xf>
    <xf numFmtId="0" fontId="89" fillId="0" borderId="9" xfId="0" applyFont="1" applyFill="1" applyBorder="1" applyAlignment="1" applyProtection="1">
      <alignment vertical="center"/>
    </xf>
    <xf numFmtId="0" fontId="89" fillId="0" borderId="0" xfId="0" applyNumberFormat="1" applyFont="1" applyFill="1" applyBorder="1" applyAlignment="1" applyProtection="1">
      <alignment vertical="center" shrinkToFit="1"/>
    </xf>
    <xf numFmtId="0" fontId="121" fillId="0" borderId="10" xfId="0" applyFont="1" applyFill="1" applyBorder="1" applyAlignment="1" applyProtection="1">
      <alignment vertical="center"/>
    </xf>
    <xf numFmtId="0" fontId="121" fillId="0" borderId="2" xfId="0" applyFont="1" applyFill="1" applyBorder="1" applyAlignment="1" applyProtection="1">
      <alignment vertical="center"/>
    </xf>
    <xf numFmtId="0" fontId="120" fillId="0" borderId="10" xfId="0" applyFont="1" applyFill="1" applyBorder="1" applyAlignment="1" applyProtection="1">
      <alignment vertical="center"/>
    </xf>
    <xf numFmtId="0" fontId="120" fillId="0" borderId="0" xfId="0" applyFont="1" applyFill="1" applyBorder="1" applyAlignment="1" applyProtection="1">
      <alignment vertical="center"/>
    </xf>
    <xf numFmtId="0" fontId="121" fillId="0" borderId="0" xfId="0" applyFont="1" applyFill="1" applyBorder="1" applyAlignment="1" applyProtection="1">
      <alignment vertical="center"/>
    </xf>
    <xf numFmtId="0" fontId="80" fillId="0" borderId="0" xfId="0" applyFont="1" applyBorder="1" applyAlignment="1" applyProtection="1">
      <alignment horizontal="right" vertical="center"/>
      <protection locked="0"/>
    </xf>
    <xf numFmtId="0" fontId="80" fillId="0" borderId="0" xfId="0" applyFont="1" applyBorder="1" applyAlignment="1" applyProtection="1">
      <alignment horizontal="center" vertical="center" wrapText="1"/>
    </xf>
    <xf numFmtId="0" fontId="170" fillId="0" borderId="0" xfId="0" applyFont="1" applyBorder="1" applyAlignment="1" applyProtection="1">
      <alignment horizontal="center" vertical="center" wrapText="1"/>
    </xf>
    <xf numFmtId="0" fontId="80" fillId="0" borderId="21" xfId="0" applyFont="1" applyBorder="1" applyAlignment="1">
      <alignment horizontal="center" vertical="center"/>
    </xf>
    <xf numFmtId="0" fontId="80" fillId="0" borderId="34" xfId="0" applyFont="1" applyBorder="1" applyAlignment="1">
      <alignment horizontal="center" vertical="center" textRotation="255"/>
    </xf>
    <xf numFmtId="0" fontId="80" fillId="0" borderId="38" xfId="0" applyFont="1" applyBorder="1" applyAlignment="1">
      <alignment horizontal="center" vertical="center" textRotation="255"/>
    </xf>
    <xf numFmtId="0" fontId="80" fillId="0" borderId="39" xfId="0" applyFont="1" applyBorder="1" applyAlignment="1">
      <alignment horizontal="center" vertical="center" textRotation="255"/>
    </xf>
    <xf numFmtId="0" fontId="80" fillId="0" borderId="21" xfId="0" applyFont="1" applyBorder="1" applyAlignment="1" applyProtection="1">
      <alignment horizontal="center" vertical="center"/>
    </xf>
    <xf numFmtId="0" fontId="80" fillId="0" borderId="61" xfId="0" applyFont="1" applyBorder="1" applyAlignment="1" applyProtection="1">
      <alignment horizontal="center" vertical="center"/>
    </xf>
    <xf numFmtId="0" fontId="80" fillId="0" borderId="10" xfId="0" applyFont="1" applyBorder="1" applyAlignment="1" applyProtection="1">
      <alignment horizontal="center" vertical="center" wrapText="1"/>
    </xf>
    <xf numFmtId="0" fontId="80" fillId="0" borderId="14" xfId="0" applyFont="1" applyBorder="1" applyAlignment="1" applyProtection="1">
      <alignment horizontal="center" vertical="center" wrapText="1"/>
    </xf>
    <xf numFmtId="0" fontId="80" fillId="0" borderId="12" xfId="0" applyFont="1" applyBorder="1" applyAlignment="1" applyProtection="1">
      <alignment horizontal="center" vertical="center" wrapText="1"/>
    </xf>
    <xf numFmtId="0" fontId="80" fillId="0" borderId="70" xfId="0" applyFont="1" applyBorder="1" applyAlignment="1" applyProtection="1">
      <alignment horizontal="center" vertical="center" wrapText="1"/>
    </xf>
    <xf numFmtId="0" fontId="80" fillId="0" borderId="143" xfId="0" applyFont="1" applyBorder="1" applyAlignment="1" applyProtection="1">
      <alignment horizontal="center" vertical="center" wrapText="1"/>
    </xf>
    <xf numFmtId="0" fontId="80" fillId="0" borderId="2" xfId="0" applyFont="1" applyBorder="1" applyAlignment="1" applyProtection="1">
      <alignment horizontal="center" vertical="center" wrapText="1"/>
    </xf>
    <xf numFmtId="0" fontId="80" fillId="0" borderId="3" xfId="0" applyFont="1" applyBorder="1" applyAlignment="1" applyProtection="1">
      <alignment horizontal="center" vertical="center" wrapText="1"/>
    </xf>
    <xf numFmtId="0" fontId="80" fillId="0" borderId="61" xfId="0" applyFont="1" applyBorder="1" applyAlignment="1">
      <alignment horizontal="center" vertical="center"/>
    </xf>
    <xf numFmtId="0" fontId="80" fillId="0" borderId="38" xfId="0" applyFont="1" applyBorder="1" applyAlignment="1" applyProtection="1">
      <alignment horizontal="center" vertical="center"/>
    </xf>
    <xf numFmtId="0" fontId="80" fillId="0" borderId="15" xfId="0" applyFont="1" applyBorder="1" applyAlignment="1" applyProtection="1">
      <alignment horizontal="center" vertical="center" wrapText="1"/>
    </xf>
    <xf numFmtId="0" fontId="80" fillId="0" borderId="21" xfId="0" applyFont="1" applyBorder="1" applyAlignment="1" applyProtection="1">
      <alignment horizontal="center" vertical="center"/>
      <protection locked="0"/>
    </xf>
    <xf numFmtId="0" fontId="80" fillId="0" borderId="10" xfId="0" applyFont="1" applyBorder="1" applyAlignment="1" applyProtection="1">
      <alignment horizontal="center" vertical="center"/>
    </xf>
    <xf numFmtId="0" fontId="80" fillId="0" borderId="13" xfId="0" applyFont="1" applyBorder="1" applyAlignment="1" applyProtection="1">
      <alignment horizontal="center" vertical="center"/>
    </xf>
    <xf numFmtId="0" fontId="80" fillId="0" borderId="34" xfId="0" applyFont="1" applyBorder="1" applyAlignment="1">
      <alignment horizontal="center" vertical="center"/>
    </xf>
    <xf numFmtId="0" fontId="80" fillId="0" borderId="15" xfId="0" applyFont="1" applyBorder="1" applyAlignment="1">
      <alignment horizontal="center" vertical="center" wrapText="1"/>
    </xf>
    <xf numFmtId="0" fontId="80" fillId="0" borderId="10" xfId="0" applyFont="1" applyBorder="1" applyAlignment="1">
      <alignment horizontal="center" vertical="center"/>
    </xf>
    <xf numFmtId="0" fontId="80" fillId="0" borderId="13" xfId="0" applyFont="1" applyBorder="1" applyAlignment="1">
      <alignment horizontal="center" vertical="center"/>
    </xf>
    <xf numFmtId="0" fontId="80" fillId="0" borderId="0" xfId="0" applyFont="1" applyBorder="1" applyAlignment="1">
      <alignment horizontal="center" vertical="center"/>
    </xf>
    <xf numFmtId="0" fontId="80" fillId="0" borderId="103" xfId="0" applyFont="1" applyBorder="1" applyAlignment="1" applyProtection="1">
      <alignment horizontal="center" vertical="center"/>
    </xf>
    <xf numFmtId="0" fontId="80" fillId="0" borderId="104" xfId="0" applyFont="1" applyBorder="1" applyAlignment="1" applyProtection="1">
      <alignment horizontal="center" vertical="center"/>
    </xf>
    <xf numFmtId="0" fontId="80" fillId="0" borderId="116" xfId="0" applyFont="1" applyBorder="1" applyAlignment="1" applyProtection="1">
      <alignment horizontal="center" vertical="center"/>
    </xf>
    <xf numFmtId="0" fontId="80" fillId="0" borderId="17" xfId="0" applyFont="1" applyBorder="1" applyAlignment="1" applyProtection="1">
      <alignment horizontal="center" vertical="center"/>
    </xf>
    <xf numFmtId="0" fontId="80" fillId="0" borderId="60" xfId="0" applyFont="1" applyBorder="1" applyAlignment="1" applyProtection="1">
      <alignment horizontal="center" vertical="center"/>
    </xf>
    <xf numFmtId="0" fontId="80" fillId="0" borderId="34" xfId="0" applyFont="1" applyBorder="1" applyAlignment="1" applyProtection="1">
      <alignment horizontal="center" vertical="center" textRotation="255"/>
    </xf>
    <xf numFmtId="0" fontId="80" fillId="0" borderId="38" xfId="0" applyFont="1" applyBorder="1" applyAlignment="1" applyProtection="1">
      <alignment horizontal="center" vertical="center" textRotation="255"/>
    </xf>
    <xf numFmtId="0" fontId="80" fillId="0" borderId="39" xfId="0" applyFont="1" applyBorder="1" applyAlignment="1" applyProtection="1">
      <alignment horizontal="center" vertical="center" textRotation="255"/>
    </xf>
    <xf numFmtId="0" fontId="80" fillId="0" borderId="21" xfId="0" applyFont="1" applyBorder="1" applyAlignment="1">
      <alignment horizontal="center" vertical="center" wrapText="1"/>
    </xf>
    <xf numFmtId="0" fontId="80" fillId="0" borderId="61" xfId="0" applyFont="1" applyBorder="1" applyAlignment="1">
      <alignment horizontal="center" vertical="center" wrapText="1"/>
    </xf>
    <xf numFmtId="0" fontId="80" fillId="0" borderId="97" xfId="0" applyFont="1" applyBorder="1" applyAlignment="1">
      <alignment horizontal="center" vertical="center" wrapText="1"/>
    </xf>
    <xf numFmtId="0" fontId="80" fillId="0" borderId="115" xfId="0" applyFont="1" applyBorder="1" applyAlignment="1">
      <alignment horizontal="center" vertical="center" wrapText="1"/>
    </xf>
    <xf numFmtId="0" fontId="80" fillId="0" borderId="96" xfId="0" applyFont="1" applyBorder="1" applyAlignment="1" applyProtection="1">
      <alignment horizontal="center" vertical="center" wrapText="1"/>
    </xf>
    <xf numFmtId="0" fontId="80" fillId="0" borderId="97" xfId="0" applyFont="1" applyBorder="1" applyAlignment="1" applyProtection="1">
      <alignment horizontal="center" vertical="center" wrapText="1"/>
    </xf>
    <xf numFmtId="0" fontId="80" fillId="0" borderId="142" xfId="0" applyFont="1" applyBorder="1" applyAlignment="1" applyProtection="1">
      <alignment horizontal="center" vertical="center" wrapText="1"/>
    </xf>
    <xf numFmtId="0" fontId="80" fillId="0" borderId="24" xfId="0" applyFont="1" applyBorder="1" applyAlignment="1" applyProtection="1">
      <alignment horizontal="center" vertical="center" wrapText="1"/>
    </xf>
    <xf numFmtId="0" fontId="80" fillId="0" borderId="21" xfId="0" applyFont="1" applyBorder="1" applyAlignment="1" applyProtection="1">
      <alignment horizontal="center" vertical="center" wrapText="1"/>
    </xf>
    <xf numFmtId="0" fontId="80" fillId="0" borderId="141" xfId="0" applyFont="1" applyBorder="1" applyAlignment="1" applyProtection="1">
      <alignment horizontal="center" vertical="center" wrapText="1"/>
    </xf>
    <xf numFmtId="0" fontId="80" fillId="0" borderId="82" xfId="0" applyFont="1" applyBorder="1" applyAlignment="1" applyProtection="1">
      <alignment horizontal="center" vertical="center" wrapText="1"/>
    </xf>
    <xf numFmtId="0" fontId="80" fillId="0" borderId="86" xfId="0" applyFont="1" applyBorder="1" applyAlignment="1" applyProtection="1">
      <alignment horizontal="center" vertical="center" wrapText="1"/>
    </xf>
    <xf numFmtId="0" fontId="80" fillId="0" borderId="140" xfId="0" applyFont="1" applyBorder="1" applyAlignment="1" applyProtection="1">
      <alignment horizontal="center" vertical="center" wrapText="1"/>
    </xf>
    <xf numFmtId="0" fontId="80" fillId="0" borderId="276" xfId="0" applyFont="1" applyBorder="1" applyAlignment="1" applyProtection="1">
      <alignment horizontal="center" vertical="center" textRotation="255"/>
    </xf>
    <xf numFmtId="0" fontId="80" fillId="0" borderId="277" xfId="0" applyFont="1" applyBorder="1" applyAlignment="1" applyProtection="1">
      <alignment horizontal="center" vertical="center" textRotation="255"/>
    </xf>
    <xf numFmtId="0" fontId="80" fillId="0" borderId="98" xfId="0" applyFont="1" applyBorder="1" applyAlignment="1" applyProtection="1">
      <alignment horizontal="center" vertical="center" textRotation="255"/>
    </xf>
    <xf numFmtId="0" fontId="80" fillId="0" borderId="0" xfId="0" applyFont="1" applyBorder="1" applyAlignment="1" applyProtection="1">
      <alignment horizontal="left" vertical="center"/>
    </xf>
    <xf numFmtId="0" fontId="80" fillId="0" borderId="0" xfId="0" applyFont="1" applyBorder="1" applyAlignment="1">
      <alignment horizontal="left" vertical="center"/>
    </xf>
    <xf numFmtId="178" fontId="106" fillId="0" borderId="10" xfId="0" applyNumberFormat="1" applyFont="1" applyBorder="1" applyAlignment="1" applyProtection="1">
      <alignment horizontal="center" vertical="center"/>
    </xf>
    <xf numFmtId="178" fontId="106" fillId="0" borderId="2" xfId="0" applyNumberFormat="1" applyFont="1" applyBorder="1" applyAlignment="1" applyProtection="1">
      <alignment horizontal="center" vertical="center"/>
    </xf>
    <xf numFmtId="49" fontId="106" fillId="0" borderId="10" xfId="0" applyNumberFormat="1" applyFont="1" applyBorder="1" applyAlignment="1">
      <alignment horizontal="center" vertical="center"/>
    </xf>
    <xf numFmtId="0" fontId="106" fillId="0" borderId="2" xfId="0" applyFont="1" applyBorder="1" applyAlignment="1">
      <alignment horizontal="center" vertical="center"/>
    </xf>
    <xf numFmtId="0" fontId="80" fillId="0" borderId="0" xfId="0" applyFont="1" applyBorder="1" applyAlignment="1">
      <alignment horizontal="center" vertical="center" wrapText="1"/>
    </xf>
    <xf numFmtId="178" fontId="104" fillId="0" borderId="2" xfId="0" applyNumberFormat="1" applyFont="1" applyBorder="1" applyAlignment="1" applyProtection="1">
      <alignment horizontal="center" vertical="center"/>
    </xf>
    <xf numFmtId="0" fontId="104" fillId="0" borderId="2" xfId="0" applyFont="1" applyBorder="1" applyAlignment="1">
      <alignment horizontal="center" vertical="center"/>
    </xf>
    <xf numFmtId="0" fontId="96" fillId="0" borderId="10" xfId="0" applyFont="1" applyBorder="1" applyAlignment="1" applyProtection="1">
      <alignment horizontal="center" vertical="center"/>
    </xf>
    <xf numFmtId="0" fontId="96" fillId="0" borderId="0" xfId="0" applyFont="1" applyBorder="1" applyAlignment="1">
      <alignment horizontal="center" vertical="center"/>
    </xf>
    <xf numFmtId="0" fontId="101" fillId="0" borderId="301" xfId="0" applyFont="1" applyBorder="1" applyAlignment="1" applyProtection="1">
      <alignment horizontal="left" vertical="center" wrapText="1"/>
    </xf>
    <xf numFmtId="0" fontId="101" fillId="0" borderId="302" xfId="0" applyFont="1" applyBorder="1" applyAlignment="1" applyProtection="1">
      <alignment horizontal="left" vertical="center" wrapText="1"/>
    </xf>
    <xf numFmtId="0" fontId="101" fillId="0" borderId="303" xfId="0" applyFont="1" applyBorder="1" applyAlignment="1" applyProtection="1">
      <alignment horizontal="left" vertical="center" wrapText="1"/>
    </xf>
    <xf numFmtId="0" fontId="80" fillId="0" borderId="282" xfId="0" applyFont="1" applyBorder="1" applyAlignment="1" applyProtection="1">
      <alignment horizontal="center" vertical="center" textRotation="255"/>
    </xf>
    <xf numFmtId="0" fontId="80" fillId="0" borderId="288" xfId="0" applyFont="1" applyBorder="1" applyAlignment="1" applyProtection="1">
      <alignment horizontal="center" vertical="center" textRotation="255"/>
    </xf>
    <xf numFmtId="178" fontId="103" fillId="0" borderId="2" xfId="0" applyNumberFormat="1" applyFont="1" applyBorder="1" applyAlignment="1" applyProtection="1">
      <alignment horizontal="center" vertical="center"/>
    </xf>
    <xf numFmtId="178" fontId="103" fillId="0" borderId="11" xfId="0" applyNumberFormat="1" applyFont="1" applyBorder="1" applyAlignment="1" applyProtection="1">
      <alignment horizontal="center" vertical="center"/>
    </xf>
    <xf numFmtId="0" fontId="80" fillId="0" borderId="304" xfId="0" applyFont="1" applyBorder="1" applyAlignment="1" applyProtection="1">
      <alignment horizontal="center" vertical="center"/>
    </xf>
    <xf numFmtId="0" fontId="80" fillId="0" borderId="305" xfId="0" applyFont="1" applyBorder="1" applyAlignment="1" applyProtection="1">
      <alignment horizontal="center" vertical="center"/>
    </xf>
    <xf numFmtId="0" fontId="145" fillId="0" borderId="147" xfId="0" applyFont="1" applyBorder="1" applyAlignment="1" applyProtection="1">
      <alignment horizontal="center" vertical="center"/>
    </xf>
    <xf numFmtId="0" fontId="145" fillId="0" borderId="289" xfId="0" applyFont="1" applyBorder="1" applyAlignment="1" applyProtection="1">
      <alignment horizontal="center" vertical="center"/>
    </xf>
    <xf numFmtId="0" fontId="145" fillId="0" borderId="146" xfId="0" applyFont="1" applyBorder="1" applyAlignment="1" applyProtection="1">
      <alignment horizontal="center" vertical="center"/>
    </xf>
    <xf numFmtId="0" fontId="145" fillId="0" borderId="0" xfId="0" applyFont="1" applyBorder="1" applyAlignment="1" applyProtection="1">
      <alignment horizontal="center" vertical="center"/>
    </xf>
    <xf numFmtId="0" fontId="145" fillId="0" borderId="9" xfId="0" applyFont="1" applyBorder="1" applyAlignment="1" applyProtection="1">
      <alignment horizontal="center" vertical="center"/>
    </xf>
    <xf numFmtId="0" fontId="103" fillId="0" borderId="17" xfId="0" applyFont="1" applyBorder="1" applyAlignment="1" applyProtection="1">
      <alignment horizontal="center" vertical="center" shrinkToFit="1"/>
      <protection locked="0"/>
    </xf>
    <xf numFmtId="0" fontId="103" fillId="0" borderId="60" xfId="0" applyFont="1" applyBorder="1" applyAlignment="1" applyProtection="1">
      <alignment horizontal="center" vertical="center" shrinkToFit="1"/>
      <protection locked="0"/>
    </xf>
    <xf numFmtId="0" fontId="111" fillId="0" borderId="105" xfId="0" applyFont="1" applyBorder="1" applyAlignment="1" applyProtection="1">
      <alignment horizontal="center" vertical="center" wrapText="1"/>
    </xf>
    <xf numFmtId="0" fontId="111" fillId="0" borderId="92" xfId="0" applyFont="1" applyBorder="1" applyAlignment="1" applyProtection="1">
      <alignment horizontal="center" vertical="center" wrapText="1"/>
    </xf>
    <xf numFmtId="0" fontId="111" fillId="0" borderId="166" xfId="0" applyFont="1" applyBorder="1" applyAlignment="1" applyProtection="1">
      <alignment horizontal="center" vertical="center" wrapText="1"/>
    </xf>
    <xf numFmtId="0" fontId="111" fillId="0" borderId="67" xfId="0" applyFont="1" applyBorder="1" applyAlignment="1" applyProtection="1">
      <alignment horizontal="center" vertical="center" wrapText="1"/>
    </xf>
    <xf numFmtId="0" fontId="111" fillId="0" borderId="167" xfId="0" applyFont="1" applyBorder="1" applyAlignment="1" applyProtection="1">
      <alignment horizontal="center" vertical="center" wrapText="1"/>
    </xf>
    <xf numFmtId="0" fontId="109" fillId="0" borderId="63" xfId="0" applyFont="1" applyBorder="1" applyAlignment="1">
      <alignment horizontal="center" vertical="center" shrinkToFit="1"/>
    </xf>
    <xf numFmtId="0" fontId="103" fillId="0" borderId="63" xfId="0" applyFont="1" applyBorder="1" applyAlignment="1">
      <alignment horizontal="center" vertical="center" shrinkToFit="1"/>
    </xf>
    <xf numFmtId="0" fontId="103" fillId="0" borderId="11" xfId="0" applyFont="1" applyBorder="1" applyAlignment="1">
      <alignment horizontal="center" vertical="center"/>
    </xf>
    <xf numFmtId="0" fontId="80" fillId="0" borderId="58" xfId="0" applyFont="1" applyBorder="1" applyAlignment="1">
      <alignment horizontal="center" vertical="center"/>
    </xf>
    <xf numFmtId="0" fontId="80" fillId="0" borderId="282" xfId="0" applyFont="1" applyBorder="1" applyAlignment="1" applyProtection="1">
      <alignment horizontal="center" vertical="center"/>
    </xf>
    <xf numFmtId="0" fontId="80" fillId="0" borderId="71" xfId="0" applyFont="1" applyBorder="1" applyAlignment="1" applyProtection="1">
      <alignment horizontal="center" vertical="center"/>
    </xf>
    <xf numFmtId="0" fontId="80" fillId="0" borderId="288" xfId="0" applyFont="1" applyBorder="1" applyAlignment="1" applyProtection="1">
      <alignment horizontal="center" vertical="center"/>
    </xf>
    <xf numFmtId="0" fontId="80" fillId="0" borderId="9" xfId="0" applyFont="1" applyBorder="1" applyAlignment="1" applyProtection="1">
      <alignment horizontal="center" vertical="center"/>
    </xf>
    <xf numFmtId="0" fontId="80" fillId="0" borderId="85" xfId="0" applyFont="1" applyBorder="1" applyAlignment="1" applyProtection="1">
      <alignment horizontal="center" vertical="center"/>
    </xf>
    <xf numFmtId="0" fontId="80" fillId="0" borderId="72" xfId="0" applyFont="1" applyBorder="1" applyAlignment="1" applyProtection="1">
      <alignment horizontal="center" vertical="center"/>
    </xf>
    <xf numFmtId="0" fontId="112" fillId="0" borderId="0" xfId="0" applyFont="1" applyBorder="1" applyAlignment="1" applyProtection="1">
      <alignment horizontal="center" vertical="center"/>
      <protection locked="0"/>
    </xf>
    <xf numFmtId="0" fontId="112" fillId="0" borderId="12" xfId="0" applyFont="1" applyBorder="1" applyAlignment="1" applyProtection="1">
      <alignment horizontal="center" vertical="center"/>
      <protection locked="0"/>
    </xf>
    <xf numFmtId="0" fontId="112" fillId="0" borderId="13" xfId="0" applyFont="1" applyBorder="1" applyAlignment="1" applyProtection="1">
      <alignment horizontal="center" vertical="center"/>
      <protection locked="0"/>
    </xf>
    <xf numFmtId="0" fontId="112" fillId="0" borderId="13" xfId="0" applyFont="1" applyBorder="1" applyAlignment="1" applyProtection="1">
      <alignment horizontal="center" vertical="center" shrinkToFit="1"/>
      <protection locked="0"/>
    </xf>
    <xf numFmtId="0" fontId="112" fillId="0" borderId="0" xfId="0" applyFont="1" applyBorder="1" applyAlignment="1" applyProtection="1">
      <alignment horizontal="center" vertical="center" shrinkToFit="1"/>
      <protection locked="0"/>
    </xf>
    <xf numFmtId="0" fontId="112" fillId="0" borderId="12" xfId="0" applyFont="1" applyBorder="1" applyAlignment="1" applyProtection="1">
      <alignment horizontal="center" vertical="center" shrinkToFit="1"/>
      <protection locked="0"/>
    </xf>
    <xf numFmtId="0" fontId="103" fillId="0" borderId="64" xfId="0" applyFont="1" applyBorder="1" applyAlignment="1">
      <alignment horizontal="center" vertical="center" shrinkToFit="1"/>
    </xf>
    <xf numFmtId="0" fontId="103" fillId="0" borderId="65" xfId="0" applyFont="1" applyBorder="1" applyAlignment="1">
      <alignment horizontal="center" vertical="center" shrinkToFit="1"/>
    </xf>
    <xf numFmtId="0" fontId="101" fillId="0" borderId="308" xfId="0" applyFont="1" applyBorder="1" applyAlignment="1" applyProtection="1">
      <alignment horizontal="left" vertical="center" wrapText="1"/>
    </xf>
    <xf numFmtId="0" fontId="101" fillId="0" borderId="309" xfId="0" applyFont="1" applyBorder="1" applyAlignment="1" applyProtection="1">
      <alignment horizontal="left" vertical="center" wrapText="1"/>
    </xf>
    <xf numFmtId="0" fontId="101" fillId="0" borderId="310" xfId="0" applyFont="1" applyBorder="1" applyAlignment="1" applyProtection="1">
      <alignment horizontal="left" vertical="center" wrapText="1"/>
    </xf>
    <xf numFmtId="0" fontId="101" fillId="0" borderId="158" xfId="0" applyFont="1" applyBorder="1" applyAlignment="1" applyProtection="1">
      <alignment horizontal="left" vertical="center" wrapText="1"/>
    </xf>
    <xf numFmtId="0" fontId="91" fillId="0" borderId="3" xfId="0" applyFont="1" applyBorder="1" applyAlignment="1">
      <alignment horizontal="left" vertical="center" shrinkToFit="1"/>
    </xf>
    <xf numFmtId="0" fontId="91" fillId="0" borderId="39" xfId="0" applyFont="1" applyBorder="1" applyAlignment="1">
      <alignment horizontal="left" vertical="center" shrinkToFit="1"/>
    </xf>
    <xf numFmtId="0" fontId="91" fillId="0" borderId="60" xfId="0" applyFont="1" applyBorder="1" applyAlignment="1">
      <alignment horizontal="left" vertical="center" shrinkToFit="1"/>
    </xf>
    <xf numFmtId="0" fontId="91" fillId="0" borderId="21" xfId="0" applyFont="1" applyBorder="1" applyAlignment="1">
      <alignment horizontal="left" vertical="center" shrinkToFit="1"/>
    </xf>
    <xf numFmtId="0" fontId="108" fillId="0" borderId="278" xfId="0" applyFont="1" applyBorder="1" applyAlignment="1" applyProtection="1">
      <alignment horizontal="center" vertical="center"/>
      <protection locked="0"/>
    </xf>
    <xf numFmtId="0" fontId="108" fillId="0" borderId="285" xfId="0" applyFont="1" applyBorder="1" applyAlignment="1" applyProtection="1">
      <alignment horizontal="center" vertical="center"/>
      <protection locked="0"/>
    </xf>
    <xf numFmtId="0" fontId="108" fillId="8" borderId="76" xfId="0" applyFont="1" applyFill="1" applyBorder="1" applyAlignment="1">
      <alignment horizontal="center" vertical="center"/>
    </xf>
    <xf numFmtId="0" fontId="108" fillId="8" borderId="10" xfId="0" applyFont="1" applyFill="1" applyBorder="1" applyAlignment="1">
      <alignment horizontal="center" vertical="center"/>
    </xf>
    <xf numFmtId="0" fontId="108" fillId="8" borderId="311" xfId="0" applyFont="1" applyFill="1" applyBorder="1" applyAlignment="1">
      <alignment horizontal="center" vertical="center"/>
    </xf>
    <xf numFmtId="0" fontId="108" fillId="8" borderId="77" xfId="0" applyFont="1" applyFill="1" applyBorder="1" applyAlignment="1">
      <alignment horizontal="center" vertical="center"/>
    </xf>
    <xf numFmtId="0" fontId="108" fillId="8" borderId="2" xfId="0" applyFont="1" applyFill="1" applyBorder="1" applyAlignment="1">
      <alignment horizontal="center" vertical="center"/>
    </xf>
    <xf numFmtId="0" fontId="108" fillId="8" borderId="232" xfId="0" applyFont="1" applyFill="1" applyBorder="1" applyAlignment="1">
      <alignment horizontal="center" vertical="center"/>
    </xf>
    <xf numFmtId="0" fontId="80" fillId="0" borderId="278" xfId="0" applyFont="1" applyBorder="1" applyAlignment="1" applyProtection="1">
      <alignment horizontal="center" vertical="center"/>
      <protection locked="0"/>
    </xf>
    <xf numFmtId="0" fontId="80" fillId="0" borderId="285" xfId="0" applyFont="1" applyBorder="1" applyAlignment="1" applyProtection="1">
      <alignment horizontal="center" vertical="center"/>
      <protection locked="0"/>
    </xf>
    <xf numFmtId="0" fontId="80" fillId="0" borderId="76" xfId="0" applyFont="1" applyBorder="1" applyAlignment="1">
      <alignment horizontal="center" vertical="center"/>
    </xf>
    <xf numFmtId="0" fontId="80" fillId="0" borderId="311" xfId="0" applyFont="1" applyBorder="1" applyAlignment="1">
      <alignment horizontal="center" vertical="center"/>
    </xf>
    <xf numFmtId="0" fontId="80" fillId="0" borderId="77" xfId="0" applyFont="1" applyBorder="1" applyAlignment="1">
      <alignment horizontal="center" vertical="center"/>
    </xf>
    <xf numFmtId="0" fontId="80" fillId="0" borderId="232" xfId="0" applyFont="1" applyBorder="1" applyAlignment="1">
      <alignment horizontal="center" vertical="center"/>
    </xf>
    <xf numFmtId="0" fontId="91" fillId="0" borderId="3" xfId="0" applyFont="1" applyBorder="1" applyAlignment="1" applyProtection="1">
      <alignment horizontal="left" vertical="center" shrinkToFit="1"/>
      <protection locked="0"/>
    </xf>
    <xf numFmtId="0" fontId="91" fillId="0" borderId="39" xfId="0" applyFont="1" applyBorder="1" applyAlignment="1" applyProtection="1">
      <alignment horizontal="left" vertical="center" shrinkToFit="1"/>
      <protection locked="0"/>
    </xf>
    <xf numFmtId="0" fontId="91" fillId="0" borderId="60" xfId="0" applyFont="1" applyBorder="1" applyAlignment="1" applyProtection="1">
      <alignment horizontal="left" vertical="center" shrinkToFit="1"/>
      <protection locked="0"/>
    </xf>
    <xf numFmtId="0" fontId="91" fillId="0" borderId="21" xfId="0" applyFont="1" applyBorder="1" applyAlignment="1" applyProtection="1">
      <alignment horizontal="left" vertical="center" shrinkToFit="1"/>
      <protection locked="0"/>
    </xf>
    <xf numFmtId="0" fontId="103" fillId="0" borderId="282" xfId="0" applyFont="1" applyBorder="1" applyAlignment="1">
      <alignment horizontal="center" vertical="center" textRotation="255"/>
    </xf>
    <xf numFmtId="0" fontId="103" fillId="0" borderId="288" xfId="0" applyFont="1" applyBorder="1" applyAlignment="1">
      <alignment horizontal="center" vertical="center" textRotation="255"/>
    </xf>
    <xf numFmtId="0" fontId="103" fillId="0" borderId="77" xfId="0" applyFont="1" applyBorder="1" applyAlignment="1">
      <alignment horizontal="center" vertical="center" textRotation="255"/>
    </xf>
    <xf numFmtId="0" fontId="108" fillId="0" borderId="282" xfId="0" applyFont="1" applyBorder="1" applyAlignment="1">
      <alignment horizontal="center" vertical="center"/>
    </xf>
    <xf numFmtId="0" fontId="108" fillId="0" borderId="70" xfId="0" applyFont="1" applyBorder="1" applyAlignment="1">
      <alignment horizontal="center" vertical="center"/>
    </xf>
    <xf numFmtId="0" fontId="108" fillId="0" borderId="71" xfId="0" applyFont="1" applyBorder="1" applyAlignment="1">
      <alignment horizontal="center" vertical="center"/>
    </xf>
    <xf numFmtId="0" fontId="108" fillId="0" borderId="77" xfId="0" applyFont="1" applyBorder="1" applyAlignment="1">
      <alignment horizontal="center" vertical="center"/>
    </xf>
    <xf numFmtId="0" fontId="108" fillId="0" borderId="2" xfId="0" applyFont="1" applyBorder="1" applyAlignment="1">
      <alignment horizontal="center" vertical="center"/>
    </xf>
    <xf numFmtId="0" fontId="108" fillId="0" borderId="232" xfId="0" applyFont="1" applyBorder="1" applyAlignment="1">
      <alignment horizontal="center" vertical="center"/>
    </xf>
    <xf numFmtId="0" fontId="91" fillId="0" borderId="70" xfId="0" applyFont="1" applyBorder="1" applyAlignment="1">
      <alignment horizontal="left" vertical="center" shrinkToFit="1"/>
    </xf>
    <xf numFmtId="0" fontId="91" fillId="0" borderId="0" xfId="0" applyFont="1" applyBorder="1" applyAlignment="1">
      <alignment horizontal="left" vertical="center" shrinkToFit="1"/>
    </xf>
    <xf numFmtId="0" fontId="91" fillId="0" borderId="2" xfId="0" applyFont="1" applyBorder="1" applyAlignment="1">
      <alignment horizontal="left" vertical="center" shrinkToFit="1"/>
    </xf>
    <xf numFmtId="0" fontId="91" fillId="0" borderId="97" xfId="0" applyFont="1" applyBorder="1" applyAlignment="1">
      <alignment horizontal="left" vertical="center" shrinkToFit="1"/>
    </xf>
    <xf numFmtId="0" fontId="108" fillId="0" borderId="306" xfId="0" applyFont="1" applyBorder="1" applyAlignment="1" applyProtection="1">
      <alignment horizontal="center" vertical="center"/>
      <protection locked="0"/>
    </xf>
    <xf numFmtId="0" fontId="91" fillId="0" borderId="282" xfId="0" applyFont="1" applyBorder="1" applyAlignment="1" applyProtection="1">
      <alignment horizontal="left" vertical="center" shrinkToFit="1"/>
    </xf>
    <xf numFmtId="0" fontId="91" fillId="0" borderId="70" xfId="0" applyFont="1" applyBorder="1" applyAlignment="1" applyProtection="1">
      <alignment horizontal="left" vertical="center" shrinkToFit="1"/>
    </xf>
    <xf numFmtId="0" fontId="91" fillId="0" borderId="288" xfId="0" applyFont="1" applyBorder="1" applyAlignment="1" applyProtection="1">
      <alignment horizontal="left" vertical="center" shrinkToFit="1"/>
    </xf>
    <xf numFmtId="0" fontId="91" fillId="0" borderId="0" xfId="0" applyFont="1" applyBorder="1" applyAlignment="1" applyProtection="1">
      <alignment horizontal="left" vertical="center" shrinkToFit="1"/>
    </xf>
    <xf numFmtId="0" fontId="91" fillId="0" borderId="77" xfId="0" applyFont="1" applyBorder="1" applyAlignment="1" applyProtection="1">
      <alignment horizontal="left" vertical="center" shrinkToFit="1"/>
    </xf>
    <xf numFmtId="0" fontId="91" fillId="0" borderId="2" xfId="0" applyFont="1" applyBorder="1" applyAlignment="1" applyProtection="1">
      <alignment horizontal="left" vertical="center" shrinkToFit="1"/>
    </xf>
    <xf numFmtId="0" fontId="91" fillId="0" borderId="97" xfId="0" applyFont="1" applyBorder="1" applyAlignment="1" applyProtection="1">
      <alignment horizontal="left" vertical="center" shrinkToFit="1"/>
    </xf>
    <xf numFmtId="0" fontId="91" fillId="0" borderId="21" xfId="0" applyFont="1" applyBorder="1" applyAlignment="1" applyProtection="1">
      <alignment horizontal="left" vertical="center" shrinkToFit="1"/>
    </xf>
    <xf numFmtId="0" fontId="91" fillId="0" borderId="142" xfId="0" applyFont="1" applyBorder="1" applyAlignment="1" applyProtection="1">
      <alignment horizontal="left" vertical="center" shrinkToFit="1"/>
    </xf>
    <xf numFmtId="0" fontId="91" fillId="0" borderId="141" xfId="0" applyFont="1" applyBorder="1" applyAlignment="1" applyProtection="1">
      <alignment horizontal="left" vertical="center" shrinkToFit="1"/>
    </xf>
    <xf numFmtId="0" fontId="91" fillId="0" borderId="86" xfId="0" applyFont="1" applyBorder="1" applyAlignment="1">
      <alignment horizontal="left" vertical="center" shrinkToFit="1"/>
    </xf>
    <xf numFmtId="0" fontId="91" fillId="0" borderId="141" xfId="0" applyFont="1" applyBorder="1" applyAlignment="1">
      <alignment horizontal="left" vertical="center" shrinkToFit="1"/>
    </xf>
    <xf numFmtId="0" fontId="91" fillId="0" borderId="140" xfId="0" applyFont="1" applyBorder="1" applyAlignment="1">
      <alignment horizontal="left" vertical="center" shrinkToFit="1"/>
    </xf>
    <xf numFmtId="0" fontId="103" fillId="0" borderId="76" xfId="0" applyFont="1" applyBorder="1" applyAlignment="1" applyProtection="1">
      <alignment horizontal="center" vertical="center" textRotation="255" wrapText="1"/>
      <protection locked="0"/>
    </xf>
    <xf numFmtId="0" fontId="103" fillId="0" borderId="288" xfId="0" applyFont="1" applyBorder="1" applyAlignment="1" applyProtection="1">
      <alignment horizontal="center" vertical="center" textRotation="255" wrapText="1"/>
      <protection locked="0"/>
    </xf>
    <xf numFmtId="0" fontId="103" fillId="0" borderId="85" xfId="0" applyFont="1" applyBorder="1" applyAlignment="1" applyProtection="1">
      <alignment horizontal="center" vertical="center" textRotation="255" wrapText="1"/>
      <protection locked="0"/>
    </xf>
    <xf numFmtId="0" fontId="103" fillId="0" borderId="77" xfId="0" applyFont="1" applyBorder="1" applyAlignment="1" applyProtection="1">
      <alignment horizontal="center" vertical="center" textRotation="255" wrapText="1"/>
      <protection locked="0"/>
    </xf>
    <xf numFmtId="0" fontId="91" fillId="0" borderId="76" xfId="0" applyFont="1" applyBorder="1" applyAlignment="1" applyProtection="1">
      <alignment horizontal="left" vertical="center" shrinkToFit="1"/>
    </xf>
    <xf numFmtId="0" fontId="91" fillId="0" borderId="10" xfId="0" applyFont="1" applyBorder="1" applyAlignment="1" applyProtection="1">
      <alignment horizontal="left" vertical="center" shrinkToFit="1"/>
    </xf>
    <xf numFmtId="0" fontId="91" fillId="0" borderId="85" xfId="0" applyFont="1" applyBorder="1" applyAlignment="1" applyProtection="1">
      <alignment horizontal="left" vertical="center" shrinkToFit="1"/>
    </xf>
    <xf numFmtId="0" fontId="91" fillId="0" borderId="68" xfId="0" applyFont="1" applyBorder="1" applyAlignment="1" applyProtection="1">
      <alignment horizontal="left" vertical="center" shrinkToFit="1"/>
    </xf>
    <xf numFmtId="0" fontId="91" fillId="0" borderId="86" xfId="0" applyFont="1" applyBorder="1" applyAlignment="1" applyProtection="1">
      <alignment horizontal="left" vertical="center" shrinkToFit="1"/>
    </xf>
    <xf numFmtId="0" fontId="91" fillId="0" borderId="140" xfId="0" applyFont="1" applyBorder="1" applyAlignment="1" applyProtection="1">
      <alignment horizontal="left" vertical="center" shrinkToFit="1"/>
    </xf>
    <xf numFmtId="0" fontId="91" fillId="0" borderId="142" xfId="0" applyFont="1" applyBorder="1" applyAlignment="1">
      <alignment horizontal="left" vertical="center" shrinkToFit="1"/>
    </xf>
    <xf numFmtId="0" fontId="103" fillId="0" borderId="282" xfId="0" applyFont="1" applyBorder="1" applyAlignment="1" applyProtection="1">
      <alignment horizontal="center" vertical="center" textRotation="255" wrapText="1"/>
      <protection locked="0"/>
    </xf>
    <xf numFmtId="0" fontId="103" fillId="0" borderId="76" xfId="0" applyFont="1" applyBorder="1" applyAlignment="1">
      <alignment horizontal="center" vertical="center" textRotation="255"/>
    </xf>
    <xf numFmtId="0" fontId="80" fillId="8" borderId="76" xfId="0" applyFont="1" applyFill="1" applyBorder="1" applyAlignment="1">
      <alignment horizontal="center" vertical="center"/>
    </xf>
    <xf numFmtId="0" fontId="80" fillId="8" borderId="10" xfId="0" applyFont="1" applyFill="1" applyBorder="1" applyAlignment="1">
      <alignment horizontal="center" vertical="center"/>
    </xf>
    <xf numFmtId="0" fontId="80" fillId="8" borderId="311" xfId="0" applyFont="1" applyFill="1" applyBorder="1" applyAlignment="1">
      <alignment horizontal="center" vertical="center"/>
    </xf>
    <xf numFmtId="0" fontId="80" fillId="8" borderId="77" xfId="0" applyFont="1" applyFill="1" applyBorder="1" applyAlignment="1">
      <alignment horizontal="center" vertical="center"/>
    </xf>
    <xf numFmtId="0" fontId="80" fillId="8" borderId="2" xfId="0" applyFont="1" applyFill="1" applyBorder="1" applyAlignment="1">
      <alignment horizontal="center" vertical="center"/>
    </xf>
    <xf numFmtId="0" fontId="80" fillId="8" borderId="232" xfId="0" applyFont="1" applyFill="1" applyBorder="1" applyAlignment="1">
      <alignment horizontal="center" vertical="center"/>
    </xf>
    <xf numFmtId="0" fontId="80" fillId="0" borderId="10" xfId="0" applyFont="1" applyBorder="1" applyAlignment="1">
      <alignment horizontal="left" vertical="center" wrapText="1" shrinkToFit="1"/>
    </xf>
    <xf numFmtId="0" fontId="80" fillId="0" borderId="10" xfId="0" applyFont="1" applyBorder="1" applyAlignment="1">
      <alignment horizontal="left" vertical="center" shrinkToFit="1"/>
    </xf>
    <xf numFmtId="0" fontId="80" fillId="0" borderId="0" xfId="0" applyFont="1" applyBorder="1" applyAlignment="1">
      <alignment horizontal="left" vertical="center" shrinkToFit="1"/>
    </xf>
    <xf numFmtId="0" fontId="80" fillId="0" borderId="2" xfId="0" applyFont="1" applyBorder="1" applyAlignment="1">
      <alignment horizontal="left" vertical="center" shrinkToFit="1"/>
    </xf>
    <xf numFmtId="0" fontId="108" fillId="0" borderId="76" xfId="0" applyFont="1" applyBorder="1" applyAlignment="1">
      <alignment horizontal="center" vertical="center"/>
    </xf>
    <xf numFmtId="0" fontId="108" fillId="0" borderId="10" xfId="0" applyFont="1" applyBorder="1" applyAlignment="1">
      <alignment horizontal="center" vertical="center"/>
    </xf>
    <xf numFmtId="0" fontId="108" fillId="0" borderId="311" xfId="0" applyFont="1" applyBorder="1" applyAlignment="1">
      <alignment horizontal="center" vertical="center"/>
    </xf>
    <xf numFmtId="0" fontId="80" fillId="0" borderId="307" xfId="0" applyFont="1" applyBorder="1" applyAlignment="1" applyProtection="1">
      <alignment horizontal="center" vertical="center"/>
      <protection locked="0"/>
    </xf>
    <xf numFmtId="0" fontId="80" fillId="0" borderId="85" xfId="0" applyFont="1" applyBorder="1" applyAlignment="1">
      <alignment horizontal="center" vertical="center"/>
    </xf>
    <xf numFmtId="0" fontId="80" fillId="0" borderId="68" xfId="0" applyFont="1" applyBorder="1" applyAlignment="1">
      <alignment horizontal="center" vertical="center"/>
    </xf>
    <xf numFmtId="0" fontId="80" fillId="0" borderId="72" xfId="0" applyFont="1" applyBorder="1" applyAlignment="1">
      <alignment horizontal="center" vertical="center"/>
    </xf>
    <xf numFmtId="0" fontId="103" fillId="0" borderId="85" xfId="0" applyFont="1" applyBorder="1" applyAlignment="1">
      <alignment horizontal="center" vertical="center" textRotation="255"/>
    </xf>
    <xf numFmtId="0" fontId="80" fillId="0" borderId="67" xfId="0" applyFont="1" applyBorder="1" applyAlignment="1" applyProtection="1">
      <alignment horizontal="center" vertical="center"/>
    </xf>
    <xf numFmtId="0" fontId="80" fillId="0" borderId="92" xfId="0" applyFont="1" applyBorder="1" applyAlignment="1" applyProtection="1">
      <alignment horizontal="center" vertical="center"/>
    </xf>
    <xf numFmtId="0" fontId="80" fillId="0" borderId="167" xfId="0" applyFont="1" applyBorder="1" applyAlignment="1" applyProtection="1">
      <alignment horizontal="center" vertical="center"/>
    </xf>
    <xf numFmtId="0" fontId="80" fillId="0" borderId="282" xfId="0" applyFont="1" applyBorder="1" applyAlignment="1">
      <alignment horizontal="center" vertical="center"/>
    </xf>
    <xf numFmtId="0" fontId="80" fillId="0" borderId="71" xfId="0" applyFont="1" applyBorder="1" applyAlignment="1">
      <alignment horizontal="center" vertical="center"/>
    </xf>
    <xf numFmtId="0" fontId="80" fillId="0" borderId="288" xfId="0" applyFont="1" applyBorder="1" applyAlignment="1">
      <alignment horizontal="center" vertical="center"/>
    </xf>
    <xf numFmtId="0" fontId="80" fillId="0" borderId="9" xfId="0" applyFont="1" applyBorder="1" applyAlignment="1">
      <alignment horizontal="center" vertical="center"/>
    </xf>
    <xf numFmtId="0" fontId="103" fillId="0" borderId="145" xfId="0" applyFont="1" applyBorder="1" applyAlignment="1">
      <alignment horizontal="center" vertical="center"/>
    </xf>
    <xf numFmtId="0" fontId="103" fillId="0" borderId="58" xfId="0" applyFont="1" applyBorder="1" applyAlignment="1">
      <alignment horizontal="center" vertical="center"/>
    </xf>
    <xf numFmtId="0" fontId="103" fillId="0" borderId="59" xfId="0" applyFont="1" applyBorder="1" applyAlignment="1">
      <alignment horizontal="center" vertical="center"/>
    </xf>
    <xf numFmtId="0" fontId="103" fillId="0" borderId="146" xfId="0" applyFont="1" applyBorder="1" applyAlignment="1">
      <alignment horizontal="center" vertical="center"/>
    </xf>
    <xf numFmtId="0" fontId="103" fillId="0" borderId="147" xfId="0" applyFont="1" applyBorder="1" applyAlignment="1">
      <alignment horizontal="center" vertical="center"/>
    </xf>
    <xf numFmtId="0" fontId="103" fillId="0" borderId="148" xfId="0" applyFont="1" applyBorder="1" applyAlignment="1">
      <alignment horizontal="center" vertical="center"/>
    </xf>
    <xf numFmtId="0" fontId="80" fillId="0" borderId="0" xfId="0" applyFont="1" applyAlignment="1" applyProtection="1">
      <alignment horizontal="right" vertical="center"/>
    </xf>
    <xf numFmtId="0" fontId="80" fillId="0" borderId="149" xfId="0" applyFont="1" applyBorder="1" applyAlignment="1" applyProtection="1">
      <alignment horizontal="center" vertical="center"/>
    </xf>
    <xf numFmtId="0" fontId="80" fillId="0" borderId="58" xfId="0" applyFont="1" applyBorder="1" applyAlignment="1" applyProtection="1">
      <alignment horizontal="center" vertical="center"/>
    </xf>
    <xf numFmtId="0" fontId="80" fillId="0" borderId="150" xfId="0" applyFont="1" applyBorder="1" applyAlignment="1" applyProtection="1">
      <alignment horizontal="center" vertical="center"/>
    </xf>
    <xf numFmtId="0" fontId="80" fillId="0" borderId="147" xfId="0" applyFont="1" applyBorder="1" applyAlignment="1" applyProtection="1">
      <alignment horizontal="center" vertical="center"/>
    </xf>
    <xf numFmtId="0" fontId="103" fillId="0" borderId="145" xfId="0" applyFont="1" applyBorder="1" applyAlignment="1" applyProtection="1">
      <alignment horizontal="center" vertical="center"/>
      <protection locked="0"/>
    </xf>
    <xf numFmtId="0" fontId="103" fillId="0" borderId="58" xfId="0" applyFont="1" applyBorder="1" applyAlignment="1" applyProtection="1">
      <alignment horizontal="center" vertical="center"/>
      <protection locked="0"/>
    </xf>
    <xf numFmtId="0" fontId="103" fillId="0" borderId="59" xfId="0" applyFont="1" applyBorder="1" applyAlignment="1" applyProtection="1">
      <alignment horizontal="center" vertical="center"/>
      <protection locked="0"/>
    </xf>
    <xf numFmtId="0" fontId="103" fillId="0" borderId="146" xfId="0" applyFont="1" applyBorder="1" applyAlignment="1" applyProtection="1">
      <alignment horizontal="center" vertical="center"/>
      <protection locked="0"/>
    </xf>
    <xf numFmtId="0" fontId="103" fillId="0" borderId="147" xfId="0" applyFont="1" applyBorder="1" applyAlignment="1" applyProtection="1">
      <alignment horizontal="center" vertical="center"/>
      <protection locked="0"/>
    </xf>
    <xf numFmtId="0" fontId="103" fillId="0" borderId="148" xfId="0" applyFont="1" applyBorder="1" applyAlignment="1" applyProtection="1">
      <alignment horizontal="center" vertical="center"/>
      <protection locked="0"/>
    </xf>
    <xf numFmtId="0" fontId="80" fillId="0" borderId="149" xfId="0" applyFont="1" applyBorder="1" applyAlignment="1">
      <alignment horizontal="center" vertical="center"/>
    </xf>
    <xf numFmtId="0" fontId="80" fillId="0" borderId="150" xfId="0" applyFont="1" applyBorder="1" applyAlignment="1">
      <alignment horizontal="center" vertical="center"/>
    </xf>
    <xf numFmtId="0" fontId="80" fillId="0" borderId="147" xfId="0" applyFont="1" applyBorder="1" applyAlignment="1">
      <alignment horizontal="center" vertical="center"/>
    </xf>
    <xf numFmtId="0" fontId="80" fillId="0" borderId="60" xfId="0" applyFont="1" applyBorder="1" applyAlignment="1">
      <alignment horizontal="left" vertical="center" wrapText="1" shrinkToFit="1"/>
    </xf>
    <xf numFmtId="0" fontId="80" fillId="0" borderId="21" xfId="0" applyFont="1" applyBorder="1" applyAlignment="1">
      <alignment horizontal="left" vertical="center" shrinkToFit="1"/>
    </xf>
    <xf numFmtId="0" fontId="80" fillId="0" borderId="60" xfId="0" applyFont="1" applyBorder="1" applyAlignment="1">
      <alignment horizontal="left" vertical="center" shrinkToFit="1"/>
    </xf>
    <xf numFmtId="0" fontId="80" fillId="0" borderId="68" xfId="0" applyFont="1" applyBorder="1" applyAlignment="1">
      <alignment horizontal="left" vertical="center" shrinkToFit="1"/>
    </xf>
    <xf numFmtId="0" fontId="91" fillId="0" borderId="80" xfId="0" applyFont="1" applyBorder="1" applyAlignment="1">
      <alignment horizontal="left" vertical="center" shrinkToFit="1"/>
    </xf>
    <xf numFmtId="0" fontId="91" fillId="0" borderId="10" xfId="0" applyFont="1" applyBorder="1" applyAlignment="1">
      <alignment horizontal="left" vertical="center" shrinkToFit="1"/>
    </xf>
    <xf numFmtId="0" fontId="91" fillId="0" borderId="68" xfId="0" applyFont="1" applyBorder="1" applyAlignment="1">
      <alignment horizontal="left" vertical="center" shrinkToFit="1"/>
    </xf>
    <xf numFmtId="0" fontId="52" fillId="0" borderId="0" xfId="0" applyFont="1" applyBorder="1" applyAlignment="1">
      <alignment horizontal="center" vertical="center"/>
    </xf>
    <xf numFmtId="0" fontId="52" fillId="0" borderId="0" xfId="0" applyFont="1" applyFill="1" applyBorder="1" applyAlignment="1">
      <alignment horizontal="center" vertical="center"/>
    </xf>
    <xf numFmtId="0" fontId="103" fillId="3" borderId="67" xfId="0" applyFont="1" applyFill="1" applyBorder="1" applyAlignment="1">
      <alignment horizontal="center" vertical="center"/>
    </xf>
    <xf numFmtId="0" fontId="103" fillId="3" borderId="92" xfId="0" applyFont="1" applyFill="1" applyBorder="1" applyAlignment="1">
      <alignment horizontal="center" vertical="center"/>
    </xf>
    <xf numFmtId="0" fontId="103" fillId="3" borderId="166" xfId="0" applyFont="1" applyFill="1" applyBorder="1" applyAlignment="1">
      <alignment horizontal="center" vertical="center"/>
    </xf>
    <xf numFmtId="49" fontId="80" fillId="0" borderId="13" xfId="0" applyNumberFormat="1" applyFont="1" applyBorder="1" applyAlignment="1">
      <alignment horizontal="center" vertical="center"/>
    </xf>
    <xf numFmtId="49" fontId="80" fillId="0" borderId="0" xfId="0" applyNumberFormat="1" applyFont="1" applyBorder="1" applyAlignment="1">
      <alignment horizontal="center" vertical="center"/>
    </xf>
    <xf numFmtId="49" fontId="80" fillId="0" borderId="12" xfId="0" applyNumberFormat="1" applyFont="1" applyBorder="1" applyAlignment="1">
      <alignment horizontal="center" vertical="center"/>
    </xf>
    <xf numFmtId="49" fontId="80" fillId="0" borderId="11" xfId="0" applyNumberFormat="1" applyFont="1" applyBorder="1" applyAlignment="1">
      <alignment horizontal="center" vertical="center"/>
    </xf>
    <xf numFmtId="49" fontId="80" fillId="0" borderId="2" xfId="0" applyNumberFormat="1" applyFont="1" applyBorder="1" applyAlignment="1">
      <alignment horizontal="center" vertical="center"/>
    </xf>
    <xf numFmtId="49" fontId="80" fillId="0" borderId="3" xfId="0" applyNumberFormat="1" applyFont="1" applyBorder="1" applyAlignment="1">
      <alignment horizontal="center" vertical="center"/>
    </xf>
    <xf numFmtId="0" fontId="103" fillId="3" borderId="105" xfId="0" applyFont="1" applyFill="1" applyBorder="1" applyAlignment="1">
      <alignment horizontal="center" vertical="center"/>
    </xf>
    <xf numFmtId="49" fontId="103" fillId="3" borderId="105" xfId="0" applyNumberFormat="1" applyFont="1" applyFill="1" applyBorder="1" applyAlignment="1">
      <alignment horizontal="center" vertical="center"/>
    </xf>
    <xf numFmtId="49" fontId="103" fillId="3" borderId="92" xfId="0" applyNumberFormat="1" applyFont="1" applyFill="1" applyBorder="1" applyAlignment="1">
      <alignment horizontal="center" vertical="center"/>
    </xf>
    <xf numFmtId="49" fontId="103" fillId="3" borderId="166" xfId="0" applyNumberFormat="1" applyFont="1" applyFill="1" applyBorder="1" applyAlignment="1">
      <alignment horizontal="center" vertical="center"/>
    </xf>
    <xf numFmtId="0" fontId="80" fillId="0" borderId="12" xfId="0" applyFont="1" applyBorder="1" applyAlignment="1">
      <alignment horizontal="center" vertical="center"/>
    </xf>
    <xf numFmtId="0" fontId="80" fillId="0" borderId="11" xfId="0" applyFont="1" applyBorder="1" applyAlignment="1">
      <alignment horizontal="center" vertical="center"/>
    </xf>
    <xf numFmtId="0" fontId="80" fillId="0" borderId="3" xfId="0" applyFont="1" applyBorder="1" applyAlignment="1">
      <alignment horizontal="center" vertical="center"/>
    </xf>
    <xf numFmtId="0" fontId="80" fillId="0" borderId="0" xfId="0" applyFont="1" applyBorder="1" applyAlignment="1">
      <alignment horizontal="center" vertical="center" shrinkToFit="1"/>
    </xf>
    <xf numFmtId="0" fontId="80" fillId="0" borderId="2" xfId="0" applyFont="1" applyBorder="1" applyAlignment="1">
      <alignment horizontal="center" vertical="center" shrinkToFit="1"/>
    </xf>
    <xf numFmtId="49" fontId="116" fillId="0" borderId="61" xfId="0" applyNumberFormat="1" applyFont="1" applyBorder="1" applyAlignment="1">
      <alignment horizontal="center" vertical="center"/>
    </xf>
    <xf numFmtId="49" fontId="116" fillId="0" borderId="17" xfId="0" applyNumberFormat="1" applyFont="1" applyBorder="1" applyAlignment="1">
      <alignment horizontal="center" vertical="center"/>
    </xf>
    <xf numFmtId="49" fontId="116" fillId="0" borderId="60" xfId="0" applyNumberFormat="1" applyFont="1" applyBorder="1" applyAlignment="1">
      <alignment horizontal="center" vertical="center"/>
    </xf>
    <xf numFmtId="0" fontId="116" fillId="0" borderId="61" xfId="0" applyFont="1" applyBorder="1" applyAlignment="1" applyProtection="1">
      <alignment horizontal="center" vertical="center"/>
      <protection locked="0"/>
    </xf>
    <xf numFmtId="0" fontId="116" fillId="0" borderId="17" xfId="0" applyFont="1" applyBorder="1" applyAlignment="1" applyProtection="1">
      <alignment horizontal="center" vertical="center"/>
      <protection locked="0"/>
    </xf>
    <xf numFmtId="0" fontId="116" fillId="0" borderId="162" xfId="0" applyFont="1" applyBorder="1" applyAlignment="1" applyProtection="1">
      <alignment horizontal="center" vertical="center"/>
      <protection locked="0"/>
    </xf>
    <xf numFmtId="0" fontId="100" fillId="0" borderId="0" xfId="0" applyFont="1" applyAlignment="1">
      <alignment horizontal="left" vertical="center"/>
    </xf>
    <xf numFmtId="0" fontId="80" fillId="0" borderId="15" xfId="0" applyFont="1" applyBorder="1" applyAlignment="1">
      <alignment horizontal="center" vertical="center" textRotation="255"/>
    </xf>
    <xf numFmtId="0" fontId="80" fillId="0" borderId="13" xfId="0" applyFont="1" applyBorder="1" applyAlignment="1">
      <alignment horizontal="center" vertical="center" textRotation="255"/>
    </xf>
    <xf numFmtId="0" fontId="80" fillId="0" borderId="11" xfId="0" applyFont="1" applyBorder="1" applyAlignment="1">
      <alignment horizontal="center" vertical="center" textRotation="255"/>
    </xf>
    <xf numFmtId="0" fontId="80" fillId="0" borderId="39" xfId="0" applyFont="1" applyBorder="1" applyAlignment="1">
      <alignment horizontal="center" vertical="center"/>
    </xf>
    <xf numFmtId="0" fontId="80" fillId="0" borderId="243" xfId="0" applyFont="1" applyBorder="1" applyAlignment="1">
      <alignment horizontal="center" vertical="center"/>
    </xf>
    <xf numFmtId="49" fontId="116" fillId="0" borderId="61" xfId="0" applyNumberFormat="1" applyFont="1" applyBorder="1" applyAlignment="1" applyProtection="1">
      <alignment horizontal="center" vertical="center" wrapText="1"/>
      <protection locked="0"/>
    </xf>
    <xf numFmtId="49" fontId="116" fillId="0" borderId="17" xfId="0" applyNumberFormat="1" applyFont="1" applyBorder="1" applyAlignment="1" applyProtection="1">
      <alignment horizontal="center" vertical="center"/>
      <protection locked="0"/>
    </xf>
    <xf numFmtId="49" fontId="116" fillId="0" borderId="60" xfId="0" applyNumberFormat="1" applyFont="1" applyBorder="1" applyAlignment="1" applyProtection="1">
      <alignment horizontal="center" vertical="center"/>
      <protection locked="0"/>
    </xf>
    <xf numFmtId="0" fontId="90" fillId="0" borderId="68" xfId="0" applyFont="1" applyBorder="1" applyAlignment="1">
      <alignment horizontal="center" vertical="center"/>
    </xf>
    <xf numFmtId="178" fontId="110" fillId="0" borderId="0" xfId="0" applyNumberFormat="1" applyFont="1" applyBorder="1" applyAlignment="1">
      <alignment horizontal="center" vertical="center" shrinkToFit="1"/>
    </xf>
    <xf numFmtId="178" fontId="110" fillId="0" borderId="2" xfId="0" applyNumberFormat="1" applyFont="1" applyBorder="1" applyAlignment="1">
      <alignment horizontal="center" vertical="center" shrinkToFit="1"/>
    </xf>
    <xf numFmtId="49" fontId="110" fillId="0" borderId="0" xfId="0" applyNumberFormat="1" applyFont="1" applyBorder="1" applyAlignment="1">
      <alignment horizontal="center" vertical="center"/>
    </xf>
    <xf numFmtId="0" fontId="110" fillId="0" borderId="2" xfId="0" applyFont="1" applyBorder="1" applyAlignment="1">
      <alignment horizontal="center" vertical="center"/>
    </xf>
    <xf numFmtId="0" fontId="80" fillId="0" borderId="163" xfId="0" applyFont="1" applyBorder="1" applyAlignment="1">
      <alignment horizontal="center" vertical="center"/>
    </xf>
    <xf numFmtId="0" fontId="80" fillId="0" borderId="164" xfId="0" applyFont="1" applyBorder="1" applyAlignment="1">
      <alignment horizontal="center" vertical="center"/>
    </xf>
    <xf numFmtId="0" fontId="80" fillId="0" borderId="165" xfId="0" applyFont="1" applyBorder="1" applyAlignment="1">
      <alignment horizontal="center" vertical="center"/>
    </xf>
    <xf numFmtId="177" fontId="80" fillId="0" borderId="15" xfId="0" applyNumberFormat="1" applyFont="1" applyBorder="1" applyAlignment="1">
      <alignment horizontal="center" vertical="center"/>
    </xf>
    <xf numFmtId="177" fontId="80" fillId="0" borderId="10" xfId="0" applyNumberFormat="1" applyFont="1" applyBorder="1" applyAlignment="1">
      <alignment horizontal="center" vertical="center"/>
    </xf>
    <xf numFmtId="177" fontId="80" fillId="0" borderId="14" xfId="0" applyNumberFormat="1" applyFont="1" applyBorder="1" applyAlignment="1">
      <alignment horizontal="center" vertical="center"/>
    </xf>
    <xf numFmtId="177" fontId="80" fillId="0" borderId="13" xfId="0" applyNumberFormat="1" applyFont="1" applyBorder="1" applyAlignment="1">
      <alignment horizontal="center" vertical="center"/>
    </xf>
    <xf numFmtId="177" fontId="80" fillId="0" borderId="0" xfId="0" applyNumberFormat="1" applyFont="1" applyBorder="1" applyAlignment="1">
      <alignment horizontal="center" vertical="center"/>
    </xf>
    <xf numFmtId="177" fontId="80" fillId="0" borderId="12" xfId="0" applyNumberFormat="1" applyFont="1" applyBorder="1" applyAlignment="1">
      <alignment horizontal="center" vertical="center"/>
    </xf>
    <xf numFmtId="177" fontId="80" fillId="0" borderId="11" xfId="0" applyNumberFormat="1" applyFont="1" applyBorder="1" applyAlignment="1">
      <alignment horizontal="center" vertical="center"/>
    </xf>
    <xf numFmtId="177" fontId="80" fillId="0" borderId="2" xfId="0" applyNumberFormat="1" applyFont="1" applyBorder="1" applyAlignment="1">
      <alignment horizontal="center" vertical="center"/>
    </xf>
    <xf numFmtId="177" fontId="80" fillId="0" borderId="3" xfId="0" applyNumberFormat="1" applyFont="1" applyBorder="1" applyAlignment="1">
      <alignment horizontal="center" vertical="center"/>
    </xf>
    <xf numFmtId="177" fontId="80" fillId="0" borderId="39" xfId="0" applyNumberFormat="1" applyFont="1" applyBorder="1" applyAlignment="1">
      <alignment horizontal="center" vertical="center" textRotation="255"/>
    </xf>
    <xf numFmtId="177" fontId="80" fillId="0" borderId="21" xfId="0" applyNumberFormat="1" applyFont="1" applyBorder="1" applyAlignment="1">
      <alignment horizontal="center" vertical="center" textRotation="255"/>
    </xf>
    <xf numFmtId="177" fontId="80" fillId="0" borderId="15" xfId="0" applyNumberFormat="1" applyFont="1" applyBorder="1" applyAlignment="1">
      <alignment horizontal="center" vertical="center" wrapText="1"/>
    </xf>
    <xf numFmtId="0" fontId="80" fillId="0" borderId="14" xfId="0" applyFont="1" applyBorder="1" applyAlignment="1">
      <alignment horizontal="center" vertical="center"/>
    </xf>
    <xf numFmtId="177" fontId="80" fillId="0" borderId="161" xfId="0" applyNumberFormat="1" applyFont="1" applyBorder="1" applyAlignment="1">
      <alignment horizontal="center" vertical="center"/>
    </xf>
    <xf numFmtId="177" fontId="80" fillId="0" borderId="160" xfId="0" applyNumberFormat="1" applyFont="1" applyBorder="1" applyAlignment="1">
      <alignment horizontal="center" vertical="center"/>
    </xf>
    <xf numFmtId="177" fontId="80" fillId="0" borderId="13" xfId="0" applyNumberFormat="1" applyFont="1" applyBorder="1" applyAlignment="1">
      <alignment horizontal="center" vertical="center" textRotation="255"/>
    </xf>
    <xf numFmtId="177" fontId="80" fillId="0" borderId="0" xfId="0" applyNumberFormat="1" applyFont="1" applyBorder="1" applyAlignment="1">
      <alignment horizontal="center" vertical="center" textRotation="255"/>
    </xf>
    <xf numFmtId="177" fontId="80" fillId="0" borderId="159" xfId="0" applyNumberFormat="1" applyFont="1" applyBorder="1" applyAlignment="1">
      <alignment horizontal="center" vertical="center" textRotation="255"/>
    </xf>
    <xf numFmtId="177" fontId="80" fillId="0" borderId="11" xfId="0" applyNumberFormat="1" applyFont="1" applyBorder="1" applyAlignment="1">
      <alignment horizontal="center" vertical="center" textRotation="255"/>
    </xf>
    <xf numFmtId="177" fontId="80" fillId="0" borderId="2" xfId="0" applyNumberFormat="1" applyFont="1" applyBorder="1" applyAlignment="1">
      <alignment horizontal="center" vertical="center" textRotation="255"/>
    </xf>
    <xf numFmtId="177" fontId="80" fillId="0" borderId="160" xfId="0" applyNumberFormat="1" applyFont="1" applyBorder="1" applyAlignment="1">
      <alignment horizontal="center" vertical="center" textRotation="255"/>
    </xf>
    <xf numFmtId="0" fontId="119" fillId="0" borderId="0" xfId="0" applyFont="1" applyAlignment="1">
      <alignment horizontal="left" vertical="center" wrapText="1"/>
    </xf>
    <xf numFmtId="0" fontId="119" fillId="0" borderId="0" xfId="0" applyFont="1" applyBorder="1" applyAlignment="1">
      <alignment horizontal="left" vertical="center"/>
    </xf>
    <xf numFmtId="0" fontId="100" fillId="0" borderId="0" xfId="0" applyFont="1" applyBorder="1" applyAlignment="1">
      <alignment horizontal="left" vertical="center"/>
    </xf>
    <xf numFmtId="0" fontId="116" fillId="20" borderId="61" xfId="0" applyFont="1" applyFill="1" applyBorder="1" applyAlignment="1" applyProtection="1">
      <alignment horizontal="center" vertical="center"/>
      <protection locked="0"/>
    </xf>
    <xf numFmtId="0" fontId="116" fillId="20" borderId="17" xfId="0" applyFont="1" applyFill="1" applyBorder="1" applyAlignment="1" applyProtection="1">
      <alignment horizontal="center" vertical="center"/>
      <protection locked="0"/>
    </xf>
    <xf numFmtId="0" fontId="116" fillId="20" borderId="162" xfId="0" applyFont="1" applyFill="1" applyBorder="1" applyAlignment="1" applyProtection="1">
      <alignment horizontal="center" vertical="center"/>
      <protection locked="0"/>
    </xf>
    <xf numFmtId="177" fontId="80" fillId="0" borderId="22" xfId="0" applyNumberFormat="1" applyFont="1" applyBorder="1" applyAlignment="1">
      <alignment horizontal="center" vertical="center" textRotation="255"/>
    </xf>
    <xf numFmtId="177" fontId="80" fillId="0" borderId="23" xfId="0" applyNumberFormat="1" applyFont="1" applyBorder="1" applyAlignment="1">
      <alignment horizontal="center" vertical="center" textRotation="255"/>
    </xf>
    <xf numFmtId="49" fontId="110" fillId="0" borderId="10" xfId="0" applyNumberFormat="1" applyFont="1" applyBorder="1" applyAlignment="1">
      <alignment horizontal="center" vertical="center"/>
    </xf>
    <xf numFmtId="0" fontId="96" fillId="0" borderId="10" xfId="0" applyFont="1" applyBorder="1" applyAlignment="1">
      <alignment horizontal="center" vertical="center"/>
    </xf>
    <xf numFmtId="49" fontId="110" fillId="0" borderId="10" xfId="0" applyNumberFormat="1" applyFont="1" applyBorder="1" applyAlignment="1">
      <alignment horizontal="center" vertical="center" shrinkToFit="1"/>
    </xf>
    <xf numFmtId="49" fontId="110" fillId="0" borderId="2" xfId="0" applyNumberFormat="1" applyFont="1" applyBorder="1" applyAlignment="1">
      <alignment horizontal="center" vertical="center" shrinkToFit="1"/>
    </xf>
    <xf numFmtId="0" fontId="80" fillId="0" borderId="282" xfId="0" applyFont="1" applyBorder="1" applyAlignment="1">
      <alignment horizontal="center" wrapText="1"/>
    </xf>
    <xf numFmtId="0" fontId="80" fillId="0" borderId="70" xfId="0" applyFont="1" applyBorder="1" applyAlignment="1">
      <alignment horizontal="center" wrapText="1"/>
    </xf>
    <xf numFmtId="0" fontId="80" fillId="0" borderId="85" xfId="0" applyFont="1" applyBorder="1" applyAlignment="1">
      <alignment horizontal="center" wrapText="1"/>
    </xf>
    <xf numFmtId="0" fontId="80" fillId="0" borderId="68" xfId="0" applyFont="1" applyBorder="1" applyAlignment="1">
      <alignment horizontal="center" wrapText="1"/>
    </xf>
    <xf numFmtId="0" fontId="112" fillId="0" borderId="70" xfId="0" applyFont="1" applyBorder="1" applyAlignment="1">
      <alignment horizontal="center"/>
    </xf>
    <xf numFmtId="0" fontId="112" fillId="0" borderId="71" xfId="0" applyFont="1" applyBorder="1" applyAlignment="1">
      <alignment horizontal="center"/>
    </xf>
    <xf numFmtId="0" fontId="112" fillId="0" borderId="68" xfId="0" applyFont="1" applyBorder="1" applyAlignment="1">
      <alignment horizontal="center"/>
    </xf>
    <xf numFmtId="0" fontId="112" fillId="0" borderId="72" xfId="0" applyFont="1" applyBorder="1" applyAlignment="1">
      <alignment horizontal="center"/>
    </xf>
    <xf numFmtId="178" fontId="110" fillId="0" borderId="10" xfId="0" applyNumberFormat="1" applyFont="1" applyBorder="1" applyAlignment="1">
      <alignment horizontal="center" vertical="center" shrinkToFit="1"/>
    </xf>
    <xf numFmtId="49" fontId="116" fillId="0" borderId="61" xfId="0" applyNumberFormat="1" applyFont="1" applyBorder="1" applyAlignment="1" applyProtection="1">
      <alignment horizontal="center" vertical="center"/>
      <protection locked="0"/>
    </xf>
    <xf numFmtId="49" fontId="191" fillId="0" borderId="0" xfId="0" applyNumberFormat="1" applyFont="1" applyBorder="1" applyAlignment="1" applyProtection="1">
      <alignment horizontal="center" vertical="center"/>
      <protection locked="0"/>
    </xf>
    <xf numFmtId="0" fontId="191" fillId="0" borderId="0" xfId="0" applyFont="1" applyBorder="1" applyAlignment="1" applyProtection="1">
      <alignment horizontal="center" vertical="center"/>
      <protection locked="0"/>
    </xf>
    <xf numFmtId="182" fontId="110" fillId="0" borderId="68" xfId="0" applyNumberFormat="1" applyFont="1" applyBorder="1" applyAlignment="1">
      <alignment horizontal="center"/>
    </xf>
    <xf numFmtId="0" fontId="110" fillId="0" borderId="85" xfId="0" applyFont="1" applyBorder="1" applyAlignment="1">
      <alignment horizontal="center"/>
    </xf>
    <xf numFmtId="0" fontId="110" fillId="0" borderId="68" xfId="0" applyFont="1" applyBorder="1" applyAlignment="1">
      <alignment horizontal="center"/>
    </xf>
    <xf numFmtId="182" fontId="110" fillId="0" borderId="92" xfId="0" applyNumberFormat="1" applyFont="1" applyBorder="1" applyAlignment="1">
      <alignment horizontal="center"/>
    </xf>
    <xf numFmtId="0" fontId="110" fillId="0" borderId="67" xfId="0" applyFont="1" applyBorder="1" applyAlignment="1">
      <alignment horizontal="center"/>
    </xf>
    <xf numFmtId="0" fontId="110" fillId="0" borderId="92" xfId="0" applyFont="1" applyBorder="1" applyAlignment="1">
      <alignment horizontal="center"/>
    </xf>
    <xf numFmtId="0" fontId="113" fillId="0" borderId="70" xfId="0" applyFont="1" applyBorder="1" applyAlignment="1">
      <alignment horizontal="center"/>
    </xf>
    <xf numFmtId="0" fontId="113" fillId="0" borderId="71" xfId="0" applyFont="1" applyBorder="1" applyAlignment="1">
      <alignment horizontal="center"/>
    </xf>
    <xf numFmtId="0" fontId="113" fillId="0" borderId="68" xfId="0" applyFont="1" applyBorder="1" applyAlignment="1">
      <alignment horizontal="center"/>
    </xf>
    <xf numFmtId="0" fontId="113" fillId="0" borderId="72" xfId="0" applyFont="1" applyBorder="1" applyAlignment="1">
      <alignment horizontal="center"/>
    </xf>
    <xf numFmtId="0" fontId="100" fillId="0" borderId="282" xfId="0" applyFont="1" applyBorder="1" applyAlignment="1">
      <alignment horizontal="center" wrapText="1"/>
    </xf>
    <xf numFmtId="0" fontId="100" fillId="0" borderId="70" xfId="0" applyFont="1" applyBorder="1" applyAlignment="1">
      <alignment horizontal="center" wrapText="1"/>
    </xf>
    <xf numFmtId="0" fontId="100" fillId="0" borderId="85" xfId="0" applyFont="1" applyBorder="1" applyAlignment="1">
      <alignment horizontal="center" wrapText="1"/>
    </xf>
    <xf numFmtId="0" fontId="100" fillId="0" borderId="68" xfId="0" applyFont="1" applyBorder="1" applyAlignment="1">
      <alignment horizontal="center" wrapText="1"/>
    </xf>
    <xf numFmtId="0" fontId="103" fillId="0" borderId="282" xfId="0" applyFont="1" applyBorder="1" applyAlignment="1">
      <alignment horizontal="center" wrapText="1"/>
    </xf>
    <xf numFmtId="0" fontId="103" fillId="0" borderId="70" xfId="0" applyFont="1" applyBorder="1" applyAlignment="1">
      <alignment horizontal="center" wrapText="1"/>
    </xf>
    <xf numFmtId="0" fontId="103" fillId="0" borderId="85" xfId="0" applyFont="1" applyBorder="1" applyAlignment="1">
      <alignment horizontal="center" wrapText="1"/>
    </xf>
    <xf numFmtId="0" fontId="103" fillId="0" borderId="68" xfId="0" applyFont="1" applyBorder="1" applyAlignment="1">
      <alignment horizontal="center" wrapText="1"/>
    </xf>
    <xf numFmtId="0" fontId="80" fillId="0" borderId="170" xfId="0" applyFont="1" applyBorder="1" applyAlignment="1">
      <alignment horizontal="center" vertical="center"/>
    </xf>
    <xf numFmtId="0" fontId="80" fillId="0" borderId="263" xfId="0" applyFont="1" applyBorder="1" applyAlignment="1">
      <alignment horizontal="center" vertical="center"/>
    </xf>
    <xf numFmtId="0" fontId="80" fillId="0" borderId="172" xfId="0" applyFont="1" applyBorder="1" applyAlignment="1">
      <alignment horizontal="center" vertical="center"/>
    </xf>
    <xf numFmtId="0" fontId="80" fillId="0" borderId="249" xfId="0" applyFont="1" applyBorder="1" applyAlignment="1">
      <alignment horizontal="center" vertical="center"/>
    </xf>
    <xf numFmtId="0" fontId="121" fillId="0" borderId="115" xfId="0" applyFont="1" applyBorder="1" applyAlignment="1">
      <alignment horizontal="left" vertical="center" wrapText="1"/>
    </xf>
    <xf numFmtId="0" fontId="101" fillId="0" borderId="83" xfId="0" applyFont="1" applyBorder="1" applyAlignment="1">
      <alignment horizontal="left" vertical="center" wrapText="1"/>
    </xf>
    <xf numFmtId="0" fontId="101" fillId="0" borderId="78" xfId="0" applyFont="1" applyBorder="1" applyAlignment="1">
      <alignment horizontal="left" vertical="center" wrapText="1"/>
    </xf>
    <xf numFmtId="181" fontId="80" fillId="0" borderId="60" xfId="0" applyNumberFormat="1" applyFont="1" applyBorder="1" applyAlignment="1">
      <alignment horizontal="center" vertical="center"/>
    </xf>
    <xf numFmtId="181" fontId="80" fillId="0" borderId="21" xfId="0" applyNumberFormat="1" applyFont="1" applyBorder="1" applyAlignment="1">
      <alignment horizontal="center" vertical="center"/>
    </xf>
    <xf numFmtId="49" fontId="103" fillId="3" borderId="167" xfId="0" applyNumberFormat="1" applyFont="1" applyFill="1" applyBorder="1" applyAlignment="1">
      <alignment horizontal="center" vertical="center"/>
    </xf>
    <xf numFmtId="0" fontId="96" fillId="0" borderId="0" xfId="0" applyFont="1" applyAlignment="1">
      <alignment horizontal="center"/>
    </xf>
    <xf numFmtId="0" fontId="80" fillId="0" borderId="245" xfId="0" applyFont="1" applyBorder="1" applyAlignment="1">
      <alignment horizontal="center" vertical="center"/>
    </xf>
    <xf numFmtId="49" fontId="103" fillId="3" borderId="104" xfId="0" applyNumberFormat="1" applyFont="1" applyFill="1" applyBorder="1" applyAlignment="1">
      <alignment horizontal="center" vertical="center"/>
    </xf>
    <xf numFmtId="49" fontId="103" fillId="3" borderId="103" xfId="0" applyNumberFormat="1" applyFont="1" applyFill="1" applyBorder="1" applyAlignment="1">
      <alignment horizontal="center" vertical="center"/>
    </xf>
    <xf numFmtId="0" fontId="100" fillId="0" borderId="67" xfId="0" applyFont="1" applyBorder="1" applyAlignment="1">
      <alignment horizontal="center" vertical="center"/>
    </xf>
    <xf numFmtId="0" fontId="100" fillId="0" borderId="92" xfId="0" applyFont="1" applyBorder="1" applyAlignment="1">
      <alignment horizontal="center" vertical="center"/>
    </xf>
    <xf numFmtId="0" fontId="100" fillId="0" borderId="167" xfId="0" applyFont="1" applyBorder="1" applyAlignment="1">
      <alignment horizontal="center" vertical="center"/>
    </xf>
    <xf numFmtId="0" fontId="80" fillId="9" borderId="0" xfId="0" applyFont="1" applyFill="1" applyAlignment="1">
      <alignment horizontal="left" vertical="top" wrapText="1"/>
    </xf>
    <xf numFmtId="0" fontId="80" fillId="0" borderId="13" xfId="0" applyFont="1" applyBorder="1" applyAlignment="1">
      <alignment horizontal="center" vertical="center" wrapText="1"/>
    </xf>
    <xf numFmtId="0" fontId="80" fillId="0" borderId="61" xfId="0" applyFont="1" applyBorder="1" applyAlignment="1">
      <alignment horizontal="center" vertical="center" textRotation="255"/>
    </xf>
    <xf numFmtId="0" fontId="101" fillId="0" borderId="115" xfId="0" applyFont="1" applyBorder="1" applyAlignment="1">
      <alignment vertical="center" wrapText="1"/>
    </xf>
    <xf numFmtId="0" fontId="101" fillId="0" borderId="83" xfId="0" applyFont="1" applyBorder="1" applyAlignment="1">
      <alignment vertical="center" wrapText="1"/>
    </xf>
    <xf numFmtId="0" fontId="101" fillId="0" borderId="78" xfId="0" applyFont="1" applyBorder="1" applyAlignment="1">
      <alignment vertical="center" wrapText="1"/>
    </xf>
    <xf numFmtId="178" fontId="110" fillId="0" borderId="2" xfId="0" applyNumberFormat="1" applyFont="1" applyBorder="1" applyAlignment="1">
      <alignment horizontal="center" vertical="center"/>
    </xf>
    <xf numFmtId="49" fontId="110" fillId="0" borderId="0" xfId="0" applyNumberFormat="1" applyFont="1" applyBorder="1" applyAlignment="1">
      <alignment horizontal="center"/>
    </xf>
    <xf numFmtId="0" fontId="82" fillId="0" borderId="115" xfId="0" applyFont="1" applyBorder="1" applyAlignment="1">
      <alignment vertical="center" wrapText="1"/>
    </xf>
    <xf numFmtId="0" fontId="100" fillId="0" borderId="10" xfId="0" applyFont="1" applyBorder="1" applyAlignment="1">
      <alignment horizontal="center" vertical="center"/>
    </xf>
    <xf numFmtId="0" fontId="100" fillId="0" borderId="2" xfId="0" applyFont="1" applyBorder="1" applyAlignment="1">
      <alignment horizontal="center" vertical="center"/>
    </xf>
    <xf numFmtId="0" fontId="121" fillId="0" borderId="115" xfId="0" applyFont="1" applyBorder="1" applyAlignment="1">
      <alignment vertical="center" wrapText="1"/>
    </xf>
    <xf numFmtId="177" fontId="178" fillId="0" borderId="0" xfId="0" applyNumberFormat="1" applyFont="1" applyBorder="1" applyAlignment="1">
      <alignment horizontal="center" vertical="center" textRotation="255"/>
    </xf>
    <xf numFmtId="0" fontId="178" fillId="0" borderId="0" xfId="0" applyFont="1" applyBorder="1" applyAlignment="1">
      <alignment horizontal="center" vertical="center"/>
    </xf>
    <xf numFmtId="178" fontId="188" fillId="0" borderId="0" xfId="0" applyNumberFormat="1" applyFont="1" applyBorder="1" applyAlignment="1">
      <alignment horizontal="center" vertical="center"/>
    </xf>
    <xf numFmtId="49" fontId="116" fillId="0" borderId="21" xfId="0" applyNumberFormat="1" applyFont="1" applyBorder="1" applyAlignment="1" applyProtection="1">
      <alignment horizontal="center" vertical="center"/>
      <protection locked="0"/>
    </xf>
    <xf numFmtId="177" fontId="178" fillId="0" borderId="0" xfId="0" applyNumberFormat="1" applyFont="1" applyBorder="1" applyAlignment="1">
      <alignment horizontal="center" vertical="center"/>
    </xf>
    <xf numFmtId="177" fontId="178" fillId="0" borderId="0" xfId="0" applyNumberFormat="1" applyFont="1" applyBorder="1" applyAlignment="1">
      <alignment horizontal="center" vertical="center" wrapText="1"/>
    </xf>
    <xf numFmtId="0" fontId="179" fillId="0" borderId="0" xfId="0" applyFont="1" applyBorder="1" applyAlignment="1">
      <alignment horizontal="center" vertical="center"/>
    </xf>
    <xf numFmtId="0" fontId="185" fillId="0" borderId="0" xfId="0" applyFont="1" applyBorder="1" applyAlignment="1">
      <alignment horizontal="center" vertical="center"/>
    </xf>
    <xf numFmtId="0" fontId="190" fillId="0" borderId="0" xfId="0" applyFont="1" applyBorder="1" applyAlignment="1">
      <alignment horizontal="center" vertical="center"/>
    </xf>
    <xf numFmtId="181" fontId="80" fillId="0" borderId="3" xfId="0" applyNumberFormat="1" applyFont="1" applyBorder="1" applyAlignment="1">
      <alignment horizontal="center" vertical="center"/>
    </xf>
    <xf numFmtId="181" fontId="80" fillId="0" borderId="39" xfId="0" applyNumberFormat="1" applyFont="1" applyBorder="1" applyAlignment="1">
      <alignment horizontal="center" vertical="center"/>
    </xf>
    <xf numFmtId="0" fontId="80" fillId="0" borderId="249" xfId="0" applyFont="1" applyBorder="1" applyAlignment="1">
      <alignment horizontal="center" vertical="center" wrapText="1"/>
    </xf>
    <xf numFmtId="49" fontId="116" fillId="0" borderId="15" xfId="0" applyNumberFormat="1" applyFont="1" applyBorder="1" applyAlignment="1" applyProtection="1">
      <alignment horizontal="center" vertical="center"/>
      <protection locked="0"/>
    </xf>
    <xf numFmtId="49" fontId="116" fillId="0" borderId="10" xfId="0" applyNumberFormat="1" applyFont="1" applyBorder="1" applyAlignment="1" applyProtection="1">
      <alignment horizontal="center" vertical="center"/>
      <protection locked="0"/>
    </xf>
    <xf numFmtId="49" fontId="116" fillId="0" borderId="14" xfId="0" applyNumberFormat="1" applyFont="1" applyBorder="1" applyAlignment="1" applyProtection="1">
      <alignment horizontal="center" vertical="center"/>
      <protection locked="0"/>
    </xf>
    <xf numFmtId="0" fontId="101" fillId="0" borderId="0" xfId="0" applyFont="1" applyBorder="1" applyAlignment="1">
      <alignment horizontal="center" vertical="center" wrapText="1"/>
    </xf>
    <xf numFmtId="182" fontId="110" fillId="0" borderId="92" xfId="0" applyNumberFormat="1" applyFont="1" applyBorder="1" applyAlignment="1">
      <alignment horizontal="center" shrinkToFit="1"/>
    </xf>
    <xf numFmtId="49" fontId="116" fillId="0" borderId="15" xfId="0" applyNumberFormat="1" applyFont="1" applyBorder="1" applyAlignment="1" applyProtection="1">
      <alignment horizontal="center" vertical="center" wrapText="1"/>
      <protection locked="0"/>
    </xf>
    <xf numFmtId="0" fontId="110" fillId="0" borderId="68" xfId="0" applyFont="1" applyBorder="1" applyAlignment="1">
      <alignment horizontal="center" vertical="center"/>
    </xf>
    <xf numFmtId="0" fontId="78" fillId="0" borderId="92" xfId="0" applyFont="1" applyBorder="1" applyAlignment="1">
      <alignment horizontal="center"/>
    </xf>
    <xf numFmtId="0" fontId="103" fillId="9" borderId="0" xfId="0" applyFont="1" applyFill="1" applyAlignment="1">
      <alignment horizontal="center" vertical="center"/>
    </xf>
    <xf numFmtId="0" fontId="110" fillId="0" borderId="67" xfId="0" applyFont="1" applyBorder="1" applyAlignment="1">
      <alignment horizontal="center" shrinkToFit="1"/>
    </xf>
    <xf numFmtId="0" fontId="110" fillId="0" borderId="92" xfId="0" applyFont="1" applyBorder="1" applyAlignment="1">
      <alignment horizontal="center" shrinkToFit="1"/>
    </xf>
    <xf numFmtId="0" fontId="78" fillId="0" borderId="92" xfId="0" applyFont="1" applyBorder="1" applyAlignment="1">
      <alignment horizontal="center" shrinkToFit="1"/>
    </xf>
    <xf numFmtId="0" fontId="78" fillId="0" borderId="68" xfId="0" applyFont="1" applyBorder="1" applyAlignment="1">
      <alignment horizontal="center"/>
    </xf>
    <xf numFmtId="176" fontId="90" fillId="0" borderId="346" xfId="0" applyNumberFormat="1" applyFont="1" applyFill="1" applyBorder="1" applyAlignment="1" applyProtection="1">
      <alignment horizontal="center" vertical="center" shrinkToFit="1"/>
      <protection locked="0"/>
    </xf>
    <xf numFmtId="176" fontId="90" fillId="0" borderId="344" xfId="0" applyNumberFormat="1" applyFont="1" applyFill="1" applyBorder="1" applyAlignment="1" applyProtection="1">
      <alignment horizontal="center" vertical="center" shrinkToFit="1"/>
      <protection locked="0"/>
    </xf>
    <xf numFmtId="176" fontId="90" fillId="0" borderId="345" xfId="0" applyNumberFormat="1" applyFont="1" applyFill="1" applyBorder="1" applyAlignment="1" applyProtection="1">
      <alignment horizontal="center" vertical="center" shrinkToFit="1"/>
      <protection locked="0"/>
    </xf>
    <xf numFmtId="178" fontId="99" fillId="0" borderId="61" xfId="0" applyNumberFormat="1" applyFont="1" applyFill="1" applyBorder="1" applyAlignment="1" applyProtection="1">
      <alignment horizontal="center" vertical="center" wrapText="1" shrinkToFit="1"/>
    </xf>
    <xf numFmtId="178" fontId="99" fillId="0" borderId="17" xfId="0" applyNumberFormat="1" applyFont="1" applyFill="1" applyBorder="1" applyAlignment="1" applyProtection="1">
      <alignment horizontal="center" vertical="center" shrinkToFit="1"/>
    </xf>
    <xf numFmtId="178" fontId="99" fillId="0" borderId="60" xfId="0" applyNumberFormat="1" applyFont="1" applyFill="1" applyBorder="1" applyAlignment="1" applyProtection="1">
      <alignment horizontal="center" vertical="center" shrinkToFit="1"/>
    </xf>
    <xf numFmtId="178" fontId="99" fillId="0" borderId="17" xfId="0" applyNumberFormat="1" applyFont="1" applyFill="1" applyBorder="1" applyAlignment="1" applyProtection="1">
      <alignment horizontal="center" vertical="center" wrapText="1" shrinkToFit="1"/>
    </xf>
    <xf numFmtId="178" fontId="99" fillId="0" borderId="60" xfId="0" applyNumberFormat="1" applyFont="1" applyFill="1" applyBorder="1" applyAlignment="1" applyProtection="1">
      <alignment horizontal="center" vertical="center" wrapText="1" shrinkToFit="1"/>
    </xf>
    <xf numFmtId="176" fontId="90" fillId="0" borderId="32" xfId="0" applyNumberFormat="1" applyFont="1" applyFill="1" applyBorder="1" applyAlignment="1" applyProtection="1">
      <alignment horizontal="center" vertical="center" shrinkToFit="1"/>
      <protection locked="0"/>
    </xf>
    <xf numFmtId="176" fontId="90" fillId="0" borderId="27" xfId="0" applyNumberFormat="1" applyFont="1" applyFill="1" applyBorder="1" applyAlignment="1" applyProtection="1">
      <alignment horizontal="center" vertical="center" shrinkToFit="1"/>
      <protection locked="0"/>
    </xf>
    <xf numFmtId="176" fontId="90" fillId="0" borderId="28" xfId="0" applyNumberFormat="1" applyFont="1" applyFill="1" applyBorder="1" applyAlignment="1" applyProtection="1">
      <alignment horizontal="center" vertical="center" shrinkToFit="1"/>
      <protection locked="0"/>
    </xf>
    <xf numFmtId="176" fontId="90" fillId="0" borderId="175" xfId="0" applyNumberFormat="1" applyFont="1" applyFill="1" applyBorder="1" applyAlignment="1" applyProtection="1">
      <alignment horizontal="center" vertical="center" shrinkToFit="1"/>
      <protection locked="0"/>
    </xf>
    <xf numFmtId="176" fontId="90" fillId="0" borderId="192" xfId="0" applyNumberFormat="1" applyFont="1" applyFill="1" applyBorder="1" applyAlignment="1" applyProtection="1">
      <alignment horizontal="center" vertical="center" shrinkToFit="1"/>
      <protection locked="0"/>
    </xf>
    <xf numFmtId="176" fontId="90" fillId="0" borderId="193" xfId="0" applyNumberFormat="1" applyFont="1" applyFill="1" applyBorder="1" applyAlignment="1" applyProtection="1">
      <alignment horizontal="center" vertical="center" shrinkToFit="1"/>
      <protection locked="0"/>
    </xf>
    <xf numFmtId="176" fontId="90" fillId="0" borderId="100" xfId="0" applyNumberFormat="1" applyFont="1" applyFill="1" applyBorder="1" applyAlignment="1" applyProtection="1">
      <alignment horizontal="center" vertical="center" shrinkToFit="1"/>
      <protection locked="0"/>
    </xf>
    <xf numFmtId="0" fontId="126" fillId="0" borderId="0" xfId="0" applyFont="1" applyFill="1" applyBorder="1" applyAlignment="1" applyProtection="1">
      <alignment horizontal="center" vertical="center"/>
    </xf>
    <xf numFmtId="176" fontId="90" fillId="0" borderId="348" xfId="0" applyNumberFormat="1" applyFont="1" applyFill="1" applyBorder="1" applyAlignment="1" applyProtection="1">
      <alignment horizontal="center" vertical="center" shrinkToFit="1"/>
      <protection locked="0"/>
    </xf>
    <xf numFmtId="176" fontId="90" fillId="0" borderId="261" xfId="0" applyNumberFormat="1" applyFont="1" applyFill="1" applyBorder="1" applyAlignment="1" applyProtection="1">
      <alignment horizontal="center" vertical="center" shrinkToFit="1"/>
      <protection locked="0"/>
    </xf>
    <xf numFmtId="176" fontId="90" fillId="0" borderId="262" xfId="0" applyNumberFormat="1" applyFont="1" applyFill="1" applyBorder="1" applyAlignment="1" applyProtection="1">
      <alignment horizontal="center" vertical="center" shrinkToFit="1"/>
      <protection locked="0"/>
    </xf>
    <xf numFmtId="176" fontId="90" fillId="0" borderId="260" xfId="0" applyNumberFormat="1" applyFont="1" applyFill="1" applyBorder="1" applyAlignment="1" applyProtection="1">
      <alignment horizontal="center" vertical="center" shrinkToFit="1"/>
      <protection locked="0"/>
    </xf>
    <xf numFmtId="176" fontId="90" fillId="0" borderId="343" xfId="0" applyNumberFormat="1" applyFont="1" applyFill="1" applyBorder="1" applyAlignment="1" applyProtection="1">
      <alignment horizontal="center" vertical="center" shrinkToFit="1"/>
      <protection locked="0"/>
    </xf>
    <xf numFmtId="178" fontId="99" fillId="0" borderId="15" xfId="0" applyNumberFormat="1" applyFont="1" applyFill="1" applyBorder="1" applyAlignment="1" applyProtection="1">
      <alignment horizontal="center" vertical="center" shrinkToFit="1"/>
    </xf>
    <xf numFmtId="178" fontId="99" fillId="0" borderId="10" xfId="0" applyNumberFormat="1" applyFont="1" applyFill="1" applyBorder="1" applyAlignment="1" applyProtection="1">
      <alignment horizontal="center" vertical="center" shrinkToFit="1"/>
    </xf>
    <xf numFmtId="178" fontId="99" fillId="0" borderId="14" xfId="0" applyNumberFormat="1" applyFont="1" applyFill="1" applyBorder="1" applyAlignment="1" applyProtection="1">
      <alignment horizontal="center" vertical="center" shrinkToFit="1"/>
    </xf>
    <xf numFmtId="0" fontId="126" fillId="0" borderId="155" xfId="0" applyFont="1" applyFill="1" applyBorder="1" applyAlignment="1" applyProtection="1">
      <alignment horizontal="left" vertical="center" shrinkToFit="1"/>
      <protection locked="0"/>
    </xf>
    <xf numFmtId="0" fontId="126" fillId="0" borderId="2" xfId="0" applyFont="1" applyFill="1" applyBorder="1" applyAlignment="1" applyProtection="1">
      <alignment horizontal="left" vertical="center" shrinkToFit="1"/>
      <protection locked="0"/>
    </xf>
    <xf numFmtId="0" fontId="126" fillId="0" borderId="151" xfId="0" applyFont="1" applyFill="1" applyBorder="1" applyAlignment="1" applyProtection="1">
      <alignment horizontal="left" vertical="center" shrinkToFit="1"/>
      <protection locked="0"/>
    </xf>
    <xf numFmtId="178" fontId="99" fillId="0" borderId="351" xfId="0" applyNumberFormat="1" applyFont="1" applyFill="1" applyBorder="1" applyAlignment="1" applyProtection="1">
      <alignment horizontal="center" vertical="center" shrinkToFit="1"/>
    </xf>
    <xf numFmtId="178" fontId="99" fillId="0" borderId="352" xfId="0" applyNumberFormat="1" applyFont="1" applyFill="1" applyBorder="1" applyAlignment="1" applyProtection="1">
      <alignment horizontal="center" vertical="center" shrinkToFit="1"/>
    </xf>
    <xf numFmtId="178" fontId="99" fillId="0" borderId="353" xfId="0" applyNumberFormat="1" applyFont="1" applyFill="1" applyBorder="1" applyAlignment="1" applyProtection="1">
      <alignment horizontal="center" vertical="center" shrinkToFit="1"/>
    </xf>
    <xf numFmtId="180" fontId="90" fillId="0" borderId="211" xfId="0" applyNumberFormat="1" applyFont="1" applyFill="1" applyBorder="1" applyAlignment="1" applyProtection="1">
      <alignment horizontal="center" vertical="center" shrinkToFit="1"/>
      <protection locked="0"/>
    </xf>
    <xf numFmtId="180" fontId="90" fillId="0" borderId="212" xfId="0" applyNumberFormat="1" applyFont="1" applyFill="1" applyBorder="1" applyAlignment="1" applyProtection="1">
      <alignment horizontal="center" vertical="center" shrinkToFit="1"/>
      <protection locked="0"/>
    </xf>
    <xf numFmtId="176" fontId="90" fillId="0" borderId="205" xfId="0" applyNumberFormat="1" applyFont="1" applyFill="1" applyBorder="1" applyAlignment="1" applyProtection="1">
      <alignment horizontal="center" vertical="center" shrinkToFit="1"/>
      <protection locked="0"/>
    </xf>
    <xf numFmtId="176" fontId="90" fillId="0" borderId="178" xfId="0" applyNumberFormat="1" applyFont="1" applyFill="1" applyBorder="1" applyAlignment="1" applyProtection="1">
      <alignment horizontal="center" vertical="center" shrinkToFit="1"/>
      <protection locked="0"/>
    </xf>
    <xf numFmtId="176" fontId="90" fillId="0" borderId="179" xfId="0" applyNumberFormat="1" applyFont="1" applyFill="1" applyBorder="1" applyAlignment="1" applyProtection="1">
      <alignment horizontal="center" vertical="center" shrinkToFit="1"/>
      <protection locked="0"/>
    </xf>
    <xf numFmtId="176" fontId="90" fillId="0" borderId="201" xfId="0" applyNumberFormat="1" applyFont="1" applyFill="1" applyBorder="1" applyAlignment="1" applyProtection="1">
      <alignment horizontal="center" vertical="center" shrinkToFit="1"/>
      <protection locked="0"/>
    </xf>
    <xf numFmtId="176" fontId="90" fillId="0" borderId="198" xfId="0" applyNumberFormat="1" applyFont="1" applyFill="1" applyBorder="1" applyAlignment="1" applyProtection="1">
      <alignment horizontal="center" vertical="center" shrinkToFit="1"/>
      <protection locked="0"/>
    </xf>
    <xf numFmtId="176" fontId="90" fillId="0" borderId="110" xfId="0" applyNumberFormat="1" applyFont="1" applyFill="1" applyBorder="1" applyAlignment="1" applyProtection="1">
      <alignment horizontal="center" vertical="center" shrinkToFit="1"/>
      <protection locked="0"/>
    </xf>
    <xf numFmtId="180" fontId="129" fillId="0" borderId="208" xfId="3" applyNumberFormat="1" applyFont="1" applyFill="1" applyBorder="1" applyAlignment="1" applyProtection="1">
      <alignment horizontal="right" vertical="center" shrinkToFit="1"/>
    </xf>
    <xf numFmtId="180" fontId="129" fillId="0" borderId="207" xfId="3" applyNumberFormat="1" applyFont="1" applyFill="1" applyBorder="1" applyAlignment="1" applyProtection="1">
      <alignment horizontal="right" vertical="center" shrinkToFit="1"/>
    </xf>
    <xf numFmtId="176" fontId="90" fillId="0" borderId="176" xfId="0" applyNumberFormat="1" applyFont="1" applyFill="1" applyBorder="1" applyAlignment="1" applyProtection="1">
      <alignment horizontal="center" vertical="center" shrinkToFit="1"/>
      <protection locked="0"/>
    </xf>
    <xf numFmtId="176" fontId="90" fillId="0" borderId="25" xfId="0" applyNumberFormat="1" applyFont="1" applyFill="1" applyBorder="1" applyAlignment="1" applyProtection="1">
      <alignment horizontal="center" vertical="center" shrinkToFit="1"/>
      <protection locked="0"/>
    </xf>
    <xf numFmtId="176" fontId="90" fillId="0" borderId="26" xfId="0" applyNumberFormat="1" applyFont="1" applyFill="1" applyBorder="1" applyAlignment="1" applyProtection="1">
      <alignment horizontal="center" vertical="center" shrinkToFit="1"/>
      <protection locked="0"/>
    </xf>
    <xf numFmtId="176" fontId="90" fillId="0" borderId="260" xfId="0" applyNumberFormat="1" applyFont="1" applyFill="1" applyBorder="1" applyAlignment="1" applyProtection="1">
      <alignment vertical="center" shrinkToFit="1"/>
      <protection locked="0"/>
    </xf>
    <xf numFmtId="176" fontId="90" fillId="0" borderId="261" xfId="0" applyNumberFormat="1" applyFont="1" applyFill="1" applyBorder="1" applyAlignment="1" applyProtection="1">
      <alignment vertical="center" shrinkToFit="1"/>
      <protection locked="0"/>
    </xf>
    <xf numFmtId="176" fontId="90" fillId="0" borderId="262" xfId="0" applyNumberFormat="1" applyFont="1" applyFill="1" applyBorder="1" applyAlignment="1" applyProtection="1">
      <alignment vertical="center" shrinkToFit="1"/>
      <protection locked="0"/>
    </xf>
    <xf numFmtId="176" fontId="90" fillId="0" borderId="205" xfId="0" applyNumberFormat="1" applyFont="1" applyFill="1" applyBorder="1" applyAlignment="1" applyProtection="1">
      <alignment vertical="center" shrinkToFit="1"/>
      <protection locked="0"/>
    </xf>
    <xf numFmtId="176" fontId="90" fillId="0" borderId="178" xfId="0" applyNumberFormat="1" applyFont="1" applyFill="1" applyBorder="1" applyAlignment="1" applyProtection="1">
      <alignment vertical="center" shrinkToFit="1"/>
      <protection locked="0"/>
    </xf>
    <xf numFmtId="176" fontId="90" fillId="0" borderId="179" xfId="0" applyNumberFormat="1" applyFont="1" applyFill="1" applyBorder="1" applyAlignment="1" applyProtection="1">
      <alignment vertical="center" shrinkToFit="1"/>
      <protection locked="0"/>
    </xf>
    <xf numFmtId="180" fontId="129" fillId="0" borderId="280" xfId="3" applyNumberFormat="1" applyFont="1" applyFill="1" applyBorder="1" applyAlignment="1" applyProtection="1">
      <alignment horizontal="right" vertical="center" shrinkToFit="1"/>
    </xf>
    <xf numFmtId="180" fontId="129" fillId="0" borderId="281" xfId="3" applyNumberFormat="1" applyFont="1" applyFill="1" applyBorder="1" applyAlignment="1" applyProtection="1">
      <alignment horizontal="right" vertical="center" shrinkToFit="1"/>
    </xf>
    <xf numFmtId="176" fontId="90" fillId="0" borderId="190" xfId="0" applyNumberFormat="1" applyFont="1" applyFill="1" applyBorder="1" applyAlignment="1" applyProtection="1">
      <alignment horizontal="center" vertical="center" shrinkToFit="1"/>
      <protection locked="0"/>
    </xf>
    <xf numFmtId="176" fontId="90" fillId="0" borderId="191" xfId="0" applyNumberFormat="1" applyFont="1" applyFill="1" applyBorder="1" applyAlignment="1" applyProtection="1">
      <alignment horizontal="center" vertical="center" shrinkToFit="1"/>
      <protection locked="0"/>
    </xf>
    <xf numFmtId="176" fontId="90" fillId="0" borderId="188" xfId="0" applyNumberFormat="1" applyFont="1" applyFill="1" applyBorder="1" applyAlignment="1" applyProtection="1">
      <alignment horizontal="center" vertical="center" shrinkToFit="1"/>
      <protection locked="0"/>
    </xf>
    <xf numFmtId="176" fontId="90" fillId="0" borderId="181" xfId="0" applyNumberFormat="1" applyFont="1" applyFill="1" applyBorder="1" applyAlignment="1" applyProtection="1">
      <alignment horizontal="center" vertical="center" shrinkToFit="1"/>
      <protection locked="0"/>
    </xf>
    <xf numFmtId="176" fontId="90" fillId="0" borderId="189" xfId="0" applyNumberFormat="1" applyFont="1" applyFill="1" applyBorder="1" applyAlignment="1" applyProtection="1">
      <alignment horizontal="center" vertical="center" shrinkToFit="1"/>
      <protection locked="0"/>
    </xf>
    <xf numFmtId="176" fontId="90" fillId="0" borderId="184" xfId="0" applyNumberFormat="1" applyFont="1" applyFill="1" applyBorder="1" applyAlignment="1" applyProtection="1">
      <alignment horizontal="center" vertical="center" shrinkToFit="1"/>
      <protection locked="0"/>
    </xf>
    <xf numFmtId="176" fontId="90" fillId="0" borderId="102" xfId="0" applyNumberFormat="1" applyFont="1" applyFill="1" applyBorder="1" applyAlignment="1" applyProtection="1">
      <alignment horizontal="center" vertical="center" shrinkToFit="1"/>
      <protection locked="0"/>
    </xf>
    <xf numFmtId="176" fontId="90" fillId="0" borderId="185" xfId="0" applyNumberFormat="1" applyFont="1" applyFill="1" applyBorder="1" applyAlignment="1" applyProtection="1">
      <alignment horizontal="center" vertical="center" shrinkToFit="1"/>
      <protection locked="0"/>
    </xf>
    <xf numFmtId="38" fontId="134" fillId="0" borderId="36" xfId="2" applyFont="1" applyFill="1" applyBorder="1" applyAlignment="1" applyProtection="1">
      <alignment horizontal="right" vertical="center" shrinkToFit="1"/>
    </xf>
    <xf numFmtId="38" fontId="134" fillId="0" borderId="35" xfId="2" applyFont="1" applyFill="1" applyBorder="1" applyAlignment="1" applyProtection="1">
      <alignment horizontal="right" vertical="center" shrinkToFit="1"/>
    </xf>
    <xf numFmtId="38" fontId="134" fillId="0" borderId="202" xfId="2" applyFont="1" applyFill="1" applyBorder="1" applyAlignment="1" applyProtection="1">
      <alignment horizontal="right" vertical="center" shrinkToFit="1"/>
    </xf>
    <xf numFmtId="0" fontId="99" fillId="0" borderId="15" xfId="0" applyFont="1" applyFill="1" applyBorder="1" applyAlignment="1" applyProtection="1">
      <alignment horizontal="center" vertical="center" textRotation="255" wrapText="1" shrinkToFit="1"/>
    </xf>
    <xf numFmtId="0" fontId="99" fillId="0" borderId="14" xfId="0" applyFont="1" applyFill="1" applyBorder="1" applyAlignment="1" applyProtection="1">
      <alignment horizontal="center" vertical="center" textRotation="255" wrapText="1" shrinkToFit="1"/>
    </xf>
    <xf numFmtId="0" fontId="99" fillId="0" borderId="13" xfId="0" applyFont="1" applyFill="1" applyBorder="1" applyAlignment="1" applyProtection="1">
      <alignment horizontal="center" vertical="center" textRotation="255" wrapText="1" shrinkToFit="1"/>
    </xf>
    <xf numFmtId="0" fontId="99" fillId="0" borderId="12" xfId="0" applyFont="1" applyFill="1" applyBorder="1" applyAlignment="1" applyProtection="1">
      <alignment horizontal="center" vertical="center" textRotation="255" wrapText="1" shrinkToFit="1"/>
    </xf>
    <xf numFmtId="0" fontId="99" fillId="0" borderId="11" xfId="0" applyFont="1" applyFill="1" applyBorder="1" applyAlignment="1" applyProtection="1">
      <alignment horizontal="center" vertical="center" textRotation="255" wrapText="1" shrinkToFit="1"/>
    </xf>
    <xf numFmtId="0" fontId="99" fillId="0" borderId="3" xfId="0" applyFont="1" applyFill="1" applyBorder="1" applyAlignment="1" applyProtection="1">
      <alignment horizontal="center" vertical="center" textRotation="255" wrapText="1" shrinkToFit="1"/>
    </xf>
    <xf numFmtId="0" fontId="99" fillId="0" borderId="61" xfId="0" applyFont="1" applyFill="1" applyBorder="1" applyAlignment="1" applyProtection="1">
      <alignment horizontal="center" vertical="center" justifyLastLine="1"/>
    </xf>
    <xf numFmtId="0" fontId="99" fillId="0" borderId="17" xfId="0" applyFont="1" applyFill="1" applyBorder="1" applyAlignment="1" applyProtection="1">
      <alignment horizontal="center" vertical="center" justifyLastLine="1"/>
    </xf>
    <xf numFmtId="0" fontId="99" fillId="0" borderId="62" xfId="0" applyFont="1" applyFill="1" applyBorder="1" applyAlignment="1" applyProtection="1">
      <alignment horizontal="center" vertical="center" justifyLastLine="1"/>
    </xf>
    <xf numFmtId="0" fontId="126" fillId="0" borderId="156" xfId="0" applyFont="1" applyFill="1" applyBorder="1" applyAlignment="1" applyProtection="1">
      <alignment horizontal="left" vertical="center" shrinkToFit="1"/>
      <protection locked="0"/>
    </xf>
    <xf numFmtId="0" fontId="126" fillId="0" borderId="19" xfId="0" applyFont="1" applyFill="1" applyBorder="1" applyAlignment="1" applyProtection="1">
      <alignment horizontal="left" vertical="center" shrinkToFit="1"/>
      <protection locked="0"/>
    </xf>
    <xf numFmtId="0" fontId="126" fillId="0" borderId="20" xfId="0" applyFont="1" applyFill="1" applyBorder="1" applyAlignment="1" applyProtection="1">
      <alignment horizontal="left" vertical="center" shrinkToFit="1"/>
      <protection locked="0"/>
    </xf>
    <xf numFmtId="176" fontId="90" fillId="0" borderId="228" xfId="0" applyNumberFormat="1" applyFont="1" applyFill="1" applyBorder="1" applyAlignment="1" applyProtection="1">
      <alignment horizontal="center" vertical="center" shrinkToFit="1"/>
      <protection locked="0"/>
    </xf>
    <xf numFmtId="178" fontId="80" fillId="0" borderId="73" xfId="0" applyNumberFormat="1" applyFont="1" applyFill="1" applyBorder="1" applyAlignment="1" applyProtection="1">
      <alignment horizontal="left" vertical="center" shrinkToFit="1"/>
    </xf>
    <xf numFmtId="178" fontId="108" fillId="0" borderId="73" xfId="0" applyNumberFormat="1" applyFont="1" applyFill="1" applyBorder="1" applyAlignment="1" applyProtection="1">
      <alignment horizontal="left" vertical="center" shrinkToFit="1"/>
    </xf>
    <xf numFmtId="0" fontId="129" fillId="3" borderId="34" xfId="0" applyFont="1" applyFill="1" applyBorder="1" applyAlignment="1" applyProtection="1">
      <alignment horizontal="center" vertical="center" textRotation="255"/>
    </xf>
    <xf numFmtId="0" fontId="129" fillId="3" borderId="38" xfId="0" applyFont="1" applyFill="1" applyBorder="1" applyAlignment="1" applyProtection="1">
      <alignment horizontal="center" vertical="center" textRotation="255"/>
    </xf>
    <xf numFmtId="0" fontId="129" fillId="3" borderId="233" xfId="0" applyFont="1" applyFill="1" applyBorder="1" applyAlignment="1" applyProtection="1">
      <alignment horizontal="center" vertical="center" textRotation="255"/>
    </xf>
    <xf numFmtId="0" fontId="126" fillId="0" borderId="61" xfId="0" applyFont="1" applyFill="1" applyBorder="1" applyAlignment="1" applyProtection="1">
      <alignment horizontal="center" vertical="center"/>
    </xf>
    <xf numFmtId="0" fontId="126" fillId="0" borderId="17" xfId="0" applyFont="1" applyFill="1" applyBorder="1" applyAlignment="1" applyProtection="1">
      <alignment horizontal="center" vertical="center"/>
    </xf>
    <xf numFmtId="178" fontId="99" fillId="0" borderId="34" xfId="0" applyNumberFormat="1" applyFont="1" applyFill="1" applyBorder="1" applyAlignment="1" applyProtection="1">
      <alignment horizontal="center" vertical="center" shrinkToFit="1"/>
    </xf>
    <xf numFmtId="176" fontId="90" fillId="0" borderId="177" xfId="0" applyNumberFormat="1" applyFont="1" applyFill="1" applyBorder="1" applyAlignment="1" applyProtection="1">
      <alignment horizontal="center" vertical="center" shrinkToFit="1"/>
      <protection locked="0"/>
    </xf>
    <xf numFmtId="38" fontId="134" fillId="0" borderId="13" xfId="2" applyFont="1" applyFill="1" applyBorder="1" applyAlignment="1" applyProtection="1">
      <alignment horizontal="right" vertical="center" shrinkToFit="1"/>
    </xf>
    <xf numFmtId="38" fontId="134" fillId="0" borderId="0" xfId="2" applyFont="1" applyFill="1" applyBorder="1" applyAlignment="1" applyProtection="1">
      <alignment horizontal="right" vertical="center" shrinkToFit="1"/>
    </xf>
    <xf numFmtId="38" fontId="134" fillId="0" borderId="12" xfId="2" applyFont="1" applyFill="1" applyBorder="1" applyAlignment="1" applyProtection="1">
      <alignment horizontal="right" vertical="center" shrinkToFit="1"/>
    </xf>
    <xf numFmtId="178" fontId="80" fillId="0" borderId="248" xfId="0" applyNumberFormat="1" applyFont="1" applyFill="1" applyBorder="1" applyAlignment="1" applyProtection="1">
      <alignment horizontal="center" vertical="center" wrapText="1" shrinkToFit="1"/>
    </xf>
    <xf numFmtId="178" fontId="108" fillId="0" borderId="248" xfId="0" applyNumberFormat="1" applyFont="1" applyFill="1" applyBorder="1" applyAlignment="1" applyProtection="1">
      <alignment horizontal="center" vertical="center" wrapText="1" shrinkToFit="1"/>
    </xf>
    <xf numFmtId="176" fontId="90" fillId="0" borderId="197" xfId="0" applyNumberFormat="1" applyFont="1" applyFill="1" applyBorder="1" applyAlignment="1" applyProtection="1">
      <alignment horizontal="center" vertical="center" shrinkToFit="1"/>
      <protection locked="0"/>
    </xf>
    <xf numFmtId="178" fontId="80" fillId="0" borderId="73" xfId="0" applyNumberFormat="1" applyFont="1" applyFill="1" applyBorder="1" applyAlignment="1" applyProtection="1">
      <alignment horizontal="center" vertical="center" wrapText="1" shrinkToFit="1"/>
    </xf>
    <xf numFmtId="178" fontId="108" fillId="0" borderId="73" xfId="0" applyNumberFormat="1" applyFont="1" applyFill="1" applyBorder="1" applyAlignment="1" applyProtection="1">
      <alignment horizontal="center" vertical="center" wrapText="1" shrinkToFit="1"/>
    </xf>
    <xf numFmtId="178" fontId="126" fillId="0" borderId="206" xfId="0" applyNumberFormat="1" applyFont="1" applyFill="1" applyBorder="1" applyAlignment="1" applyProtection="1">
      <alignment horizontal="center" vertical="center"/>
    </xf>
    <xf numFmtId="178" fontId="126" fillId="0" borderId="35" xfId="0" applyNumberFormat="1" applyFont="1" applyFill="1" applyBorder="1" applyAlignment="1" applyProtection="1">
      <alignment horizontal="center" vertical="center"/>
    </xf>
    <xf numFmtId="0" fontId="126" fillId="0" borderId="0" xfId="0" applyFont="1" applyFill="1" applyBorder="1" applyAlignment="1" applyProtection="1">
      <alignment horizontal="left" vertical="center" wrapText="1"/>
    </xf>
    <xf numFmtId="0" fontId="126" fillId="0" borderId="157" xfId="0" applyFont="1" applyFill="1" applyBorder="1" applyAlignment="1" applyProtection="1">
      <alignment horizontal="left" vertical="center" shrinkToFit="1"/>
      <protection locked="0"/>
    </xf>
    <xf numFmtId="0" fontId="126" fillId="0" borderId="17" xfId="0" applyFont="1" applyFill="1" applyBorder="1" applyAlignment="1" applyProtection="1">
      <alignment horizontal="left" vertical="center" shrinkToFit="1"/>
      <protection locked="0"/>
    </xf>
    <xf numFmtId="0" fontId="126" fillId="0" borderId="62" xfId="0" applyFont="1" applyFill="1" applyBorder="1" applyAlignment="1" applyProtection="1">
      <alignment horizontal="left" vertical="center" shrinkToFit="1"/>
      <protection locked="0"/>
    </xf>
    <xf numFmtId="178" fontId="80" fillId="0" borderId="73" xfId="0" applyNumberFormat="1" applyFont="1" applyFill="1" applyBorder="1" applyAlignment="1" applyProtection="1">
      <alignment horizontal="center" vertical="center" shrinkToFit="1"/>
    </xf>
    <xf numFmtId="178" fontId="108" fillId="0" borderId="73" xfId="0" applyNumberFormat="1" applyFont="1" applyFill="1" applyBorder="1" applyAlignment="1" applyProtection="1">
      <alignment horizontal="center" vertical="center" shrinkToFit="1"/>
    </xf>
    <xf numFmtId="178" fontId="133" fillId="0" borderId="146" xfId="0" applyNumberFormat="1" applyFont="1" applyFill="1" applyBorder="1" applyAlignment="1" applyProtection="1">
      <alignment horizontal="center" vertical="center" shrinkToFit="1"/>
    </xf>
    <xf numFmtId="178" fontId="133" fillId="0" borderId="147" xfId="0" applyNumberFormat="1" applyFont="1" applyFill="1" applyBorder="1" applyAlignment="1" applyProtection="1">
      <alignment horizontal="center" vertical="center" shrinkToFit="1"/>
    </xf>
    <xf numFmtId="178" fontId="133" fillId="0" borderId="258" xfId="0" applyNumberFormat="1" applyFont="1" applyFill="1" applyBorder="1" applyAlignment="1" applyProtection="1">
      <alignment horizontal="center" vertical="center" shrinkToFit="1"/>
    </xf>
    <xf numFmtId="0" fontId="126" fillId="0" borderId="2" xfId="0" applyFont="1" applyFill="1" applyBorder="1" applyAlignment="1" applyProtection="1">
      <alignment horizontal="left" vertical="center" wrapText="1"/>
    </xf>
    <xf numFmtId="0" fontId="18" fillId="0" borderId="0" xfId="0" applyFont="1" applyFill="1" applyAlignment="1" applyProtection="1">
      <alignment horizontal="left" vertical="center"/>
    </xf>
    <xf numFmtId="0" fontId="194" fillId="0" borderId="0" xfId="0" applyFont="1" applyFill="1" applyBorder="1" applyAlignment="1" applyProtection="1">
      <alignment horizontal="left" vertical="center"/>
    </xf>
    <xf numFmtId="0" fontId="126" fillId="0" borderId="21" xfId="0" applyFont="1" applyFill="1" applyBorder="1" applyAlignment="1" applyProtection="1">
      <alignment horizontal="center" vertical="center"/>
    </xf>
    <xf numFmtId="178" fontId="94" fillId="0" borderId="149" xfId="0" applyNumberFormat="1" applyFont="1" applyFill="1" applyBorder="1" applyAlignment="1" applyProtection="1">
      <alignment horizontal="center" vertical="center" shrinkToFit="1"/>
    </xf>
    <xf numFmtId="178" fontId="94" fillId="0" borderId="58" xfId="0" applyNumberFormat="1" applyFont="1" applyFill="1" applyBorder="1" applyAlignment="1" applyProtection="1">
      <alignment horizontal="center" vertical="center" shrinkToFit="1"/>
    </xf>
    <xf numFmtId="178" fontId="94" fillId="0" borderId="59" xfId="0" applyNumberFormat="1" applyFont="1" applyFill="1" applyBorder="1" applyAlignment="1" applyProtection="1">
      <alignment horizontal="center" vertical="center" shrinkToFit="1"/>
    </xf>
    <xf numFmtId="0" fontId="124" fillId="0" borderId="0" xfId="0" applyFont="1" applyFill="1" applyBorder="1" applyAlignment="1" applyProtection="1">
      <alignment horizontal="center" vertical="center" shrinkToFit="1"/>
    </xf>
    <xf numFmtId="0" fontId="125" fillId="0" borderId="0" xfId="0" applyFont="1" applyFill="1" applyBorder="1" applyAlignment="1" applyProtection="1">
      <alignment horizontal="center" vertical="top" shrinkToFit="1"/>
    </xf>
    <xf numFmtId="0" fontId="125" fillId="0" borderId="0" xfId="0" applyFont="1" applyFill="1" applyBorder="1" applyAlignment="1" applyProtection="1">
      <alignment horizontal="left" vertical="top" shrinkToFit="1"/>
    </xf>
    <xf numFmtId="178" fontId="94" fillId="0" borderId="206" xfId="0" applyNumberFormat="1" applyFont="1" applyFill="1" applyBorder="1" applyAlignment="1" applyProtection="1">
      <alignment horizontal="center" vertical="center" shrinkToFit="1"/>
    </xf>
    <xf numFmtId="178" fontId="94" fillId="0" borderId="35" xfId="0" applyNumberFormat="1" applyFont="1" applyFill="1" applyBorder="1" applyAlignment="1" applyProtection="1">
      <alignment horizontal="center" vertical="center" shrinkToFit="1"/>
    </xf>
    <xf numFmtId="178" fontId="94" fillId="0" borderId="37" xfId="0" applyNumberFormat="1" applyFont="1" applyFill="1" applyBorder="1" applyAlignment="1" applyProtection="1">
      <alignment horizontal="center" vertical="center" shrinkToFit="1"/>
    </xf>
    <xf numFmtId="0" fontId="126" fillId="0" borderId="173" xfId="0" applyFont="1" applyFill="1" applyBorder="1" applyAlignment="1" applyProtection="1">
      <alignment horizontal="center" vertical="center"/>
    </xf>
    <xf numFmtId="0" fontId="126" fillId="0" borderId="63" xfId="0" applyFont="1" applyFill="1" applyBorder="1" applyAlignment="1" applyProtection="1">
      <alignment horizontal="center" vertical="center"/>
    </xf>
    <xf numFmtId="0" fontId="126" fillId="0" borderId="66" xfId="0" applyFont="1" applyFill="1" applyBorder="1" applyAlignment="1" applyProtection="1">
      <alignment horizontal="center" vertical="center"/>
    </xf>
    <xf numFmtId="0" fontId="126" fillId="0" borderId="35" xfId="0" applyFont="1" applyFill="1" applyBorder="1" applyAlignment="1" applyProtection="1">
      <alignment horizontal="center" vertical="center" shrinkToFit="1"/>
    </xf>
    <xf numFmtId="0" fontId="126" fillId="0" borderId="37" xfId="0" applyFont="1" applyFill="1" applyBorder="1" applyAlignment="1" applyProtection="1">
      <alignment horizontal="center" vertical="center" shrinkToFit="1"/>
    </xf>
    <xf numFmtId="177" fontId="125" fillId="0" borderId="0" xfId="0" applyNumberFormat="1" applyFont="1" applyFill="1" applyBorder="1" applyAlignment="1" applyProtection="1">
      <alignment horizontal="center" vertical="top" shrinkToFit="1"/>
    </xf>
    <xf numFmtId="178" fontId="108" fillId="0" borderId="15" xfId="0" applyNumberFormat="1" applyFont="1" applyFill="1" applyBorder="1" applyAlignment="1" applyProtection="1">
      <alignment horizontal="center" vertical="center" shrinkToFit="1"/>
    </xf>
    <xf numFmtId="178" fontId="108" fillId="0" borderId="10" xfId="0" applyNumberFormat="1" applyFont="1" applyFill="1" applyBorder="1" applyAlignment="1" applyProtection="1">
      <alignment horizontal="center" vertical="center" shrinkToFit="1"/>
    </xf>
    <xf numFmtId="178" fontId="108" fillId="0" borderId="14" xfId="0" applyNumberFormat="1" applyFont="1" applyFill="1" applyBorder="1" applyAlignment="1" applyProtection="1">
      <alignment horizontal="center" vertical="center" shrinkToFit="1"/>
    </xf>
    <xf numFmtId="0" fontId="92" fillId="0" borderId="61" xfId="0" applyFont="1" applyFill="1" applyBorder="1" applyAlignment="1" applyProtection="1">
      <alignment horizontal="center" vertical="center" wrapText="1"/>
    </xf>
    <xf numFmtId="0" fontId="92" fillId="0" borderId="61" xfId="0" applyFont="1" applyFill="1" applyBorder="1" applyAlignment="1" applyProtection="1">
      <alignment horizontal="center" vertical="center"/>
    </xf>
    <xf numFmtId="0" fontId="194" fillId="0" borderId="0" xfId="0" applyFont="1" applyFill="1" applyBorder="1" applyAlignment="1" applyProtection="1">
      <alignment horizontal="center" vertical="center"/>
    </xf>
    <xf numFmtId="0" fontId="99" fillId="0" borderId="65" xfId="0" applyFont="1" applyFill="1" applyBorder="1" applyAlignment="1" applyProtection="1">
      <alignment horizontal="center" vertical="center"/>
    </xf>
    <xf numFmtId="0" fontId="99" fillId="0" borderId="64" xfId="0" applyFont="1" applyFill="1" applyBorder="1" applyAlignment="1" applyProtection="1">
      <alignment horizontal="center" vertical="center"/>
    </xf>
    <xf numFmtId="178" fontId="99" fillId="0" borderId="65" xfId="0" applyNumberFormat="1" applyFont="1" applyFill="1" applyBorder="1" applyAlignment="1" applyProtection="1">
      <alignment horizontal="center" vertical="center" shrinkToFit="1"/>
    </xf>
    <xf numFmtId="178" fontId="99" fillId="0" borderId="63" xfId="0" applyNumberFormat="1" applyFont="1" applyFill="1" applyBorder="1" applyAlignment="1" applyProtection="1">
      <alignment horizontal="center" vertical="center" shrinkToFit="1"/>
    </xf>
    <xf numFmtId="178" fontId="99" fillId="0" borderId="64" xfId="0" applyNumberFormat="1" applyFont="1" applyFill="1" applyBorder="1" applyAlignment="1" applyProtection="1">
      <alignment horizontal="center" vertical="center" shrinkToFit="1"/>
    </xf>
    <xf numFmtId="178" fontId="80" fillId="0" borderId="248" xfId="0" applyNumberFormat="1" applyFont="1" applyFill="1" applyBorder="1" applyAlignment="1" applyProtection="1">
      <alignment horizontal="center" vertical="center" shrinkToFit="1"/>
    </xf>
    <xf numFmtId="178" fontId="108" fillId="0" borderId="248" xfId="0" applyNumberFormat="1" applyFont="1" applyFill="1" applyBorder="1" applyAlignment="1" applyProtection="1">
      <alignment horizontal="center" vertical="center" shrinkToFit="1"/>
    </xf>
    <xf numFmtId="0" fontId="99" fillId="0" borderId="15" xfId="0" applyFont="1" applyFill="1" applyBorder="1" applyAlignment="1" applyProtection="1">
      <alignment horizontal="center" vertical="center"/>
    </xf>
    <xf numFmtId="0" fontId="99" fillId="0" borderId="14" xfId="0" applyFont="1" applyFill="1" applyBorder="1" applyAlignment="1" applyProtection="1">
      <alignment horizontal="center" vertical="center"/>
    </xf>
    <xf numFmtId="178" fontId="129" fillId="10" borderId="34" xfId="0" applyNumberFormat="1" applyFont="1" applyFill="1" applyBorder="1" applyAlignment="1" applyProtection="1">
      <alignment horizontal="center" vertical="center" textRotation="255"/>
    </xf>
    <xf numFmtId="178" fontId="129" fillId="10" borderId="38" xfId="0" applyNumberFormat="1" applyFont="1" applyFill="1" applyBorder="1" applyAlignment="1" applyProtection="1">
      <alignment horizontal="center" vertical="center" textRotation="255"/>
    </xf>
    <xf numFmtId="178" fontId="129" fillId="10" borderId="56" xfId="0" applyNumberFormat="1" applyFont="1" applyFill="1" applyBorder="1" applyAlignment="1" applyProtection="1">
      <alignment horizontal="center" vertical="center" textRotation="255"/>
    </xf>
    <xf numFmtId="0" fontId="126" fillId="0" borderId="15" xfId="0" applyFont="1" applyFill="1" applyBorder="1" applyAlignment="1" applyProtection="1">
      <alignment horizontal="center" vertical="center" wrapText="1"/>
    </xf>
    <xf numFmtId="0" fontId="126" fillId="0" borderId="10" xfId="0" applyFont="1" applyFill="1" applyBorder="1" applyAlignment="1" applyProtection="1">
      <alignment horizontal="center" vertical="center"/>
    </xf>
    <xf numFmtId="0" fontId="126" fillId="0" borderId="14" xfId="0" applyFont="1" applyFill="1" applyBorder="1" applyAlignment="1" applyProtection="1">
      <alignment horizontal="center" vertical="center"/>
    </xf>
    <xf numFmtId="178" fontId="99" fillId="0" borderId="175" xfId="0" applyNumberFormat="1" applyFont="1" applyFill="1" applyBorder="1" applyAlignment="1" applyProtection="1">
      <alignment horizontal="center" vertical="center" shrinkToFit="1"/>
    </xf>
    <xf numFmtId="178" fontId="99" fillId="0" borderId="27" xfId="0" applyNumberFormat="1" applyFont="1" applyFill="1" applyBorder="1" applyAlignment="1" applyProtection="1">
      <alignment horizontal="center" vertical="center" shrinkToFit="1"/>
    </xf>
    <xf numFmtId="178" fontId="99" fillId="0" borderId="28" xfId="0" applyNumberFormat="1" applyFont="1" applyFill="1" applyBorder="1" applyAlignment="1" applyProtection="1">
      <alignment horizontal="center" vertical="center" shrinkToFit="1"/>
    </xf>
    <xf numFmtId="178" fontId="99" fillId="0" borderId="175" xfId="0" applyNumberFormat="1" applyFont="1" applyFill="1" applyBorder="1" applyAlignment="1" applyProtection="1">
      <alignment horizontal="center" vertical="center" wrapText="1" shrinkToFit="1"/>
    </xf>
    <xf numFmtId="38" fontId="134" fillId="0" borderId="257" xfId="2" applyFont="1" applyFill="1" applyBorder="1" applyAlignment="1" applyProtection="1">
      <alignment horizontal="right" vertical="center" shrinkToFit="1"/>
    </xf>
    <xf numFmtId="38" fontId="134" fillId="0" borderId="258" xfId="2" applyFont="1" applyFill="1" applyBorder="1" applyAlignment="1" applyProtection="1">
      <alignment horizontal="right" vertical="center" shrinkToFit="1"/>
    </xf>
    <xf numFmtId="178" fontId="80" fillId="0" borderId="342" xfId="0" applyNumberFormat="1" applyFont="1" applyFill="1" applyBorder="1" applyAlignment="1" applyProtection="1">
      <alignment horizontal="center" vertical="center" wrapText="1" shrinkToFit="1"/>
    </xf>
    <xf numFmtId="178" fontId="108" fillId="0" borderId="342" xfId="0" applyNumberFormat="1" applyFont="1" applyFill="1" applyBorder="1" applyAlignment="1" applyProtection="1">
      <alignment horizontal="center" vertical="center" wrapText="1" shrinkToFit="1"/>
    </xf>
    <xf numFmtId="0" fontId="92" fillId="0" borderId="242" xfId="0" applyFont="1" applyFill="1" applyBorder="1" applyAlignment="1" applyProtection="1">
      <alignment horizontal="center" vertical="center" wrapText="1"/>
    </xf>
    <xf numFmtId="0" fontId="92" fillId="0" borderId="243" xfId="0" applyFont="1" applyFill="1" applyBorder="1" applyAlignment="1" applyProtection="1">
      <alignment horizontal="center" vertical="center" wrapText="1"/>
    </xf>
    <xf numFmtId="0" fontId="108" fillId="0" borderId="60" xfId="0" applyFont="1" applyFill="1" applyBorder="1" applyAlignment="1" applyProtection="1">
      <alignment horizontal="center" vertical="center" wrapText="1" shrinkToFit="1"/>
    </xf>
    <xf numFmtId="0" fontId="108" fillId="0" borderId="21" xfId="0" applyFont="1" applyFill="1" applyBorder="1" applyAlignment="1" applyProtection="1">
      <alignment horizontal="center" vertical="center" shrinkToFit="1"/>
    </xf>
    <xf numFmtId="180" fontId="94" fillId="0" borderId="214" xfId="3" applyNumberFormat="1" applyFont="1" applyFill="1" applyBorder="1" applyAlignment="1" applyProtection="1">
      <alignment horizontal="right" vertical="center" shrinkToFit="1"/>
    </xf>
    <xf numFmtId="180" fontId="94" fillId="0" borderId="215" xfId="3" applyNumberFormat="1" applyFont="1" applyFill="1" applyBorder="1" applyAlignment="1" applyProtection="1">
      <alignment horizontal="right" vertical="center" shrinkToFit="1"/>
    </xf>
    <xf numFmtId="0" fontId="126" fillId="0" borderId="173" xfId="0" applyFont="1" applyFill="1" applyBorder="1" applyAlignment="1" applyProtection="1">
      <alignment horizontal="left" vertical="center" shrinkToFit="1"/>
      <protection locked="0"/>
    </xf>
    <xf numFmtId="0" fontId="126" fillId="0" borderId="63" xfId="0" applyFont="1" applyFill="1" applyBorder="1" applyAlignment="1" applyProtection="1">
      <alignment horizontal="left" vertical="center" shrinkToFit="1"/>
      <protection locked="0"/>
    </xf>
    <xf numFmtId="0" fontId="126" fillId="0" borderId="66" xfId="0" applyFont="1" applyFill="1" applyBorder="1" applyAlignment="1" applyProtection="1">
      <alignment horizontal="left" vertical="center" shrinkToFit="1"/>
      <protection locked="0"/>
    </xf>
    <xf numFmtId="0" fontId="126" fillId="0" borderId="15" xfId="0" applyFont="1" applyFill="1" applyBorder="1" applyAlignment="1" applyProtection="1">
      <alignment horizontal="center" vertical="center" textRotation="255" shrinkToFit="1"/>
    </xf>
    <xf numFmtId="0" fontId="126" fillId="0" borderId="13" xfId="0" applyFont="1" applyFill="1" applyBorder="1" applyAlignment="1" applyProtection="1">
      <alignment horizontal="center" vertical="center" textRotation="255" shrinkToFit="1"/>
    </xf>
    <xf numFmtId="0" fontId="126" fillId="0" borderId="168" xfId="0" applyFont="1" applyFill="1" applyBorder="1" applyAlignment="1" applyProtection="1">
      <alignment horizontal="center" vertical="center" textRotation="255" shrinkToFit="1"/>
    </xf>
    <xf numFmtId="0" fontId="108" fillId="0" borderId="21" xfId="0" applyFont="1" applyFill="1" applyBorder="1" applyAlignment="1" applyProtection="1">
      <alignment horizontal="center" vertical="center" wrapText="1"/>
    </xf>
    <xf numFmtId="0" fontId="108" fillId="0" borderId="21" xfId="0" applyFont="1" applyFill="1" applyBorder="1" applyAlignment="1" applyProtection="1">
      <alignment horizontal="center" vertical="center"/>
    </xf>
    <xf numFmtId="38" fontId="95" fillId="0" borderId="15" xfId="3" applyFont="1" applyFill="1" applyBorder="1" applyAlignment="1" applyProtection="1">
      <alignment horizontal="center"/>
    </xf>
    <xf numFmtId="38" fontId="95" fillId="0" borderId="14" xfId="3" applyFont="1" applyFill="1" applyBorder="1" applyAlignment="1" applyProtection="1">
      <alignment horizontal="center"/>
    </xf>
    <xf numFmtId="6" fontId="126" fillId="0" borderId="0" xfId="6" applyFont="1" applyFill="1" applyBorder="1" applyAlignment="1" applyProtection="1">
      <alignment horizontal="left" vertical="center" wrapText="1"/>
    </xf>
    <xf numFmtId="0" fontId="99" fillId="0" borderId="38" xfId="0" applyFont="1" applyFill="1" applyBorder="1" applyAlignment="1" applyProtection="1">
      <alignment horizontal="center" vertical="center" wrapText="1" shrinkToFit="1"/>
    </xf>
    <xf numFmtId="0" fontId="99" fillId="0" borderId="38" xfId="0" applyFont="1" applyFill="1" applyBorder="1" applyAlignment="1" applyProtection="1">
      <alignment horizontal="center" vertical="center" shrinkToFit="1"/>
    </xf>
    <xf numFmtId="0" fontId="99" fillId="0" borderId="13" xfId="0" applyFont="1" applyFill="1" applyBorder="1" applyAlignment="1" applyProtection="1">
      <alignment horizontal="center" vertical="center" shrinkToFit="1"/>
    </xf>
    <xf numFmtId="0" fontId="94" fillId="0" borderId="204" xfId="0" applyFont="1" applyFill="1" applyBorder="1" applyAlignment="1" applyProtection="1">
      <alignment horizontal="center" vertical="center"/>
      <protection locked="0"/>
    </xf>
    <xf numFmtId="0" fontId="94" fillId="0" borderId="106" xfId="0" applyFont="1" applyFill="1" applyBorder="1" applyAlignment="1" applyProtection="1">
      <alignment horizontal="center" vertical="center"/>
      <protection locked="0"/>
    </xf>
    <xf numFmtId="0" fontId="108" fillId="0" borderId="15" xfId="0" applyFont="1" applyFill="1" applyBorder="1" applyAlignment="1" applyProtection="1">
      <alignment horizontal="center" vertical="center" wrapText="1"/>
    </xf>
    <xf numFmtId="0" fontId="108" fillId="0" borderId="10" xfId="0" applyFont="1" applyFill="1" applyBorder="1" applyAlignment="1" applyProtection="1">
      <alignment horizontal="center" vertical="center"/>
    </xf>
    <xf numFmtId="0" fontId="108" fillId="0" borderId="14" xfId="0" applyFont="1" applyFill="1" applyBorder="1" applyAlignment="1" applyProtection="1">
      <alignment horizontal="center" vertical="center"/>
    </xf>
    <xf numFmtId="0" fontId="108" fillId="0" borderId="11" xfId="0" applyFont="1" applyFill="1" applyBorder="1" applyAlignment="1" applyProtection="1">
      <alignment horizontal="center" vertical="center"/>
    </xf>
    <xf numFmtId="0" fontId="108" fillId="0" borderId="2" xfId="0" applyFont="1" applyFill="1" applyBorder="1" applyAlignment="1" applyProtection="1">
      <alignment horizontal="center" vertical="center"/>
    </xf>
    <xf numFmtId="0" fontId="108" fillId="0" borderId="3" xfId="0" applyFont="1" applyFill="1" applyBorder="1" applyAlignment="1" applyProtection="1">
      <alignment horizontal="center" vertical="center"/>
    </xf>
    <xf numFmtId="180" fontId="132" fillId="0" borderId="251" xfId="3" applyNumberFormat="1" applyFont="1" applyFill="1" applyBorder="1" applyAlignment="1" applyProtection="1">
      <alignment horizontal="right" vertical="center" shrinkToFit="1"/>
    </xf>
    <xf numFmtId="180" fontId="129" fillId="0" borderId="101" xfId="3" applyNumberFormat="1" applyFont="1" applyFill="1" applyBorder="1" applyAlignment="1" applyProtection="1">
      <alignment horizontal="right" vertical="center" shrinkToFit="1"/>
    </xf>
    <xf numFmtId="0" fontId="108" fillId="0" borderId="213" xfId="0" applyFont="1" applyFill="1" applyBorder="1" applyAlignment="1" applyProtection="1">
      <alignment horizontal="center" vertical="center" wrapText="1" shrinkToFit="1"/>
    </xf>
    <xf numFmtId="0" fontId="108" fillId="0" borderId="213" xfId="0" applyFont="1" applyFill="1" applyBorder="1" applyAlignment="1" applyProtection="1">
      <alignment horizontal="center" vertical="center" shrinkToFit="1"/>
    </xf>
    <xf numFmtId="0" fontId="94" fillId="0" borderId="203" xfId="0" applyFont="1" applyFill="1" applyBorder="1" applyAlignment="1" applyProtection="1">
      <alignment horizontal="center" vertical="center"/>
      <protection locked="0"/>
    </xf>
    <xf numFmtId="180" fontId="132" fillId="0" borderId="152" xfId="3" applyNumberFormat="1" applyFont="1" applyFill="1" applyBorder="1" applyAlignment="1" applyProtection="1">
      <alignment horizontal="right" vertical="center" shrinkToFit="1"/>
    </xf>
    <xf numFmtId="180" fontId="129" fillId="0" borderId="14" xfId="3" applyNumberFormat="1" applyFont="1" applyFill="1" applyBorder="1" applyAlignment="1" applyProtection="1">
      <alignment horizontal="right" vertical="center" shrinkToFit="1"/>
    </xf>
    <xf numFmtId="178" fontId="133" fillId="0" borderId="13" xfId="0" applyNumberFormat="1" applyFont="1" applyFill="1" applyBorder="1" applyAlignment="1" applyProtection="1">
      <alignment horizontal="center" vertical="center" shrinkToFit="1"/>
    </xf>
    <xf numFmtId="178" fontId="133" fillId="0" borderId="0" xfId="0" applyNumberFormat="1" applyFont="1" applyFill="1" applyBorder="1" applyAlignment="1" applyProtection="1">
      <alignment horizontal="center" vertical="center" shrinkToFit="1"/>
    </xf>
    <xf numFmtId="178" fontId="133" fillId="0" borderId="12" xfId="0" applyNumberFormat="1" applyFont="1" applyFill="1" applyBorder="1" applyAlignment="1" applyProtection="1">
      <alignment horizontal="center" vertical="center" shrinkToFit="1"/>
    </xf>
    <xf numFmtId="0" fontId="108" fillId="0" borderId="34" xfId="0" applyFont="1" applyFill="1" applyBorder="1" applyAlignment="1" applyProtection="1">
      <alignment horizontal="center" vertical="center"/>
    </xf>
    <xf numFmtId="38" fontId="108" fillId="0" borderId="11" xfId="3" applyFont="1" applyFill="1" applyBorder="1" applyAlignment="1" applyProtection="1">
      <alignment horizontal="center"/>
    </xf>
    <xf numFmtId="38" fontId="108" fillId="0" borderId="3" xfId="3" applyFont="1" applyFill="1" applyBorder="1" applyAlignment="1" applyProtection="1">
      <alignment horizontal="center"/>
    </xf>
    <xf numFmtId="178" fontId="99" fillId="0" borderId="197" xfId="0" applyNumberFormat="1" applyFont="1" applyFill="1" applyBorder="1" applyAlignment="1" applyProtection="1">
      <alignment horizontal="center" vertical="center" shrinkToFit="1"/>
    </xf>
    <xf numFmtId="178" fontId="99" fillId="0" borderId="198" xfId="0" applyNumberFormat="1" applyFont="1" applyFill="1" applyBorder="1" applyAlignment="1" applyProtection="1">
      <alignment horizontal="center" vertical="center" shrinkToFit="1"/>
    </xf>
    <xf numFmtId="178" fontId="99" fillId="0" borderId="110" xfId="0" applyNumberFormat="1" applyFont="1" applyFill="1" applyBorder="1" applyAlignment="1" applyProtection="1">
      <alignment horizontal="center" vertical="center" shrinkToFit="1"/>
    </xf>
    <xf numFmtId="178" fontId="126" fillId="0" borderId="34" xfId="0" applyNumberFormat="1" applyFont="1" applyFill="1" applyBorder="1" applyAlignment="1" applyProtection="1">
      <alignment horizontal="center" vertical="center" textRotation="255" shrinkToFit="1"/>
    </xf>
    <xf numFmtId="178" fontId="126" fillId="0" borderId="38" xfId="0" applyNumberFormat="1" applyFont="1" applyFill="1" applyBorder="1" applyAlignment="1" applyProtection="1">
      <alignment horizontal="center" vertical="center" textRotation="255" shrinkToFit="1"/>
    </xf>
    <xf numFmtId="178" fontId="126" fillId="0" borderId="233" xfId="0" applyNumberFormat="1" applyFont="1" applyFill="1" applyBorder="1" applyAlignment="1" applyProtection="1">
      <alignment horizontal="center" vertical="center" textRotation="255" shrinkToFit="1"/>
    </xf>
    <xf numFmtId="178" fontId="126" fillId="0" borderId="13" xfId="0" applyNumberFormat="1" applyFont="1" applyFill="1" applyBorder="1" applyAlignment="1" applyProtection="1">
      <alignment horizontal="center" vertical="center" textRotation="255" shrinkToFit="1"/>
    </xf>
    <xf numFmtId="178" fontId="126" fillId="0" borderId="146" xfId="0" applyNumberFormat="1" applyFont="1" applyFill="1" applyBorder="1" applyAlignment="1" applyProtection="1">
      <alignment horizontal="center" vertical="center" textRotation="255" shrinkToFit="1"/>
    </xf>
    <xf numFmtId="180" fontId="90" fillId="0" borderId="239" xfId="0" applyNumberFormat="1" applyFont="1" applyFill="1" applyBorder="1" applyAlignment="1" applyProtection="1">
      <alignment horizontal="center" vertical="center" shrinkToFit="1"/>
      <protection locked="0"/>
    </xf>
    <xf numFmtId="178" fontId="99" fillId="0" borderId="192" xfId="0" applyNumberFormat="1" applyFont="1" applyFill="1" applyBorder="1" applyAlignment="1" applyProtection="1">
      <alignment horizontal="center" vertical="center" wrapText="1" shrinkToFit="1"/>
    </xf>
    <xf numFmtId="178" fontId="99" fillId="0" borderId="193" xfId="0" applyNumberFormat="1" applyFont="1" applyFill="1" applyBorder="1" applyAlignment="1" applyProtection="1">
      <alignment horizontal="center" vertical="center" shrinkToFit="1"/>
    </xf>
    <xf numFmtId="178" fontId="99" fillId="0" borderId="194" xfId="0" applyNumberFormat="1" applyFont="1" applyFill="1" applyBorder="1" applyAlignment="1" applyProtection="1">
      <alignment horizontal="center" vertical="center" shrinkToFit="1"/>
    </xf>
    <xf numFmtId="180" fontId="94" fillId="0" borderId="209" xfId="3" applyNumberFormat="1" applyFont="1" applyFill="1" applyBorder="1" applyAlignment="1" applyProtection="1">
      <alignment horizontal="right" vertical="center" shrinkToFit="1"/>
    </xf>
    <xf numFmtId="180" fontId="94" fillId="0" borderId="210" xfId="3" applyNumberFormat="1" applyFont="1" applyFill="1" applyBorder="1" applyAlignment="1" applyProtection="1">
      <alignment horizontal="right" vertical="center" shrinkToFit="1"/>
    </xf>
    <xf numFmtId="178" fontId="99" fillId="0" borderId="175" xfId="0" applyNumberFormat="1" applyFont="1" applyFill="1" applyBorder="1" applyAlignment="1" applyProtection="1">
      <alignment horizontal="center" vertical="center" shrinkToFit="1"/>
      <protection locked="0"/>
    </xf>
    <xf numFmtId="178" fontId="99" fillId="0" borderId="27" xfId="0" applyNumberFormat="1" applyFont="1" applyFill="1" applyBorder="1" applyAlignment="1" applyProtection="1">
      <alignment horizontal="center" vertical="center" shrinkToFit="1"/>
      <protection locked="0"/>
    </xf>
    <xf numFmtId="178" fontId="99" fillId="0" borderId="28" xfId="0" applyNumberFormat="1" applyFont="1" applyFill="1" applyBorder="1" applyAlignment="1" applyProtection="1">
      <alignment horizontal="center" vertical="center" shrinkToFit="1"/>
      <protection locked="0"/>
    </xf>
    <xf numFmtId="180" fontId="90" fillId="0" borderId="40" xfId="0" applyNumberFormat="1" applyFont="1" applyFill="1" applyBorder="1" applyAlignment="1" applyProtection="1">
      <alignment horizontal="center" vertical="center" shrinkToFit="1"/>
      <protection locked="0"/>
    </xf>
    <xf numFmtId="180" fontId="90" fillId="0" borderId="41" xfId="0" applyNumberFormat="1" applyFont="1" applyFill="1" applyBorder="1" applyAlignment="1" applyProtection="1">
      <alignment horizontal="center" vertical="center" shrinkToFit="1"/>
      <protection locked="0"/>
    </xf>
    <xf numFmtId="6" fontId="134" fillId="0" borderId="168" xfId="4" applyFont="1" applyFill="1" applyBorder="1" applyAlignment="1" applyProtection="1">
      <alignment horizontal="right" vertical="center" shrinkToFit="1"/>
    </xf>
    <xf numFmtId="6" fontId="134" fillId="0" borderId="69" xfId="4" applyFont="1" applyFill="1" applyBorder="1" applyAlignment="1" applyProtection="1">
      <alignment horizontal="right" vertical="center" shrinkToFit="1"/>
    </xf>
    <xf numFmtId="38" fontId="129" fillId="0" borderId="28" xfId="1" applyFont="1" applyFill="1" applyBorder="1" applyAlignment="1" applyProtection="1">
      <alignment horizontal="right" vertical="center" shrinkToFit="1"/>
    </xf>
    <xf numFmtId="38" fontId="129" fillId="0" borderId="44" xfId="1" applyFont="1" applyFill="1" applyBorder="1" applyAlignment="1" applyProtection="1">
      <alignment horizontal="right" vertical="center" shrinkToFit="1"/>
    </xf>
    <xf numFmtId="178" fontId="99" fillId="0" borderId="192" xfId="0" applyNumberFormat="1" applyFont="1" applyFill="1" applyBorder="1" applyAlignment="1" applyProtection="1">
      <alignment horizontal="center" vertical="center" shrinkToFit="1"/>
    </xf>
    <xf numFmtId="0" fontId="108" fillId="0" borderId="88" xfId="0" applyFont="1" applyFill="1" applyBorder="1" applyAlignment="1" applyProtection="1">
      <alignment horizontal="center" vertical="center" shrinkToFit="1"/>
      <protection locked="0"/>
    </xf>
    <xf numFmtId="0" fontId="108" fillId="0" borderId="199" xfId="0" applyFont="1" applyFill="1" applyBorder="1" applyAlignment="1" applyProtection="1">
      <alignment horizontal="center" vertical="center" shrinkToFit="1"/>
      <protection locked="0"/>
    </xf>
    <xf numFmtId="0" fontId="108" fillId="0" borderId="231" xfId="0" applyFont="1" applyFill="1" applyBorder="1" applyAlignment="1" applyProtection="1">
      <alignment horizontal="center" vertical="center" shrinkToFit="1"/>
      <protection locked="0"/>
    </xf>
    <xf numFmtId="180" fontId="90" fillId="0" borderId="182" xfId="0" applyNumberFormat="1" applyFont="1" applyFill="1" applyBorder="1" applyAlignment="1" applyProtection="1">
      <alignment horizontal="center" vertical="center" shrinkToFit="1"/>
      <protection locked="0"/>
    </xf>
    <xf numFmtId="180" fontId="90" fillId="0" borderId="107" xfId="0" applyNumberFormat="1" applyFont="1" applyFill="1" applyBorder="1" applyAlignment="1" applyProtection="1">
      <alignment horizontal="center" vertical="center" shrinkToFit="1"/>
      <protection locked="0"/>
    </xf>
    <xf numFmtId="180" fontId="90" fillId="0" borderId="200" xfId="0" applyNumberFormat="1" applyFont="1" applyFill="1" applyBorder="1" applyAlignment="1" applyProtection="1">
      <alignment horizontal="center" vertical="center" shrinkToFit="1"/>
      <protection locked="0"/>
    </xf>
    <xf numFmtId="180" fontId="132" fillId="0" borderId="180" xfId="3" applyNumberFormat="1" applyFont="1" applyFill="1" applyBorder="1" applyAlignment="1" applyProtection="1">
      <alignment horizontal="right" vertical="center" shrinkToFit="1"/>
    </xf>
    <xf numFmtId="180" fontId="129" fillId="0" borderId="102" xfId="3" applyNumberFormat="1" applyFont="1" applyFill="1" applyBorder="1" applyAlignment="1" applyProtection="1">
      <alignment horizontal="right" vertical="center" shrinkToFit="1"/>
    </xf>
    <xf numFmtId="0" fontId="133" fillId="0" borderId="170" xfId="0" applyFont="1" applyFill="1" applyBorder="1" applyAlignment="1" applyProtection="1">
      <alignment horizontal="center" vertical="center"/>
    </xf>
    <xf numFmtId="0" fontId="133" fillId="0" borderId="171" xfId="0" applyFont="1" applyFill="1" applyBorder="1" applyAlignment="1" applyProtection="1">
      <alignment horizontal="center" vertical="center"/>
    </xf>
    <xf numFmtId="0" fontId="133" fillId="0" borderId="172" xfId="0" applyFont="1" applyFill="1" applyBorder="1" applyAlignment="1" applyProtection="1">
      <alignment horizontal="center" vertical="center"/>
    </xf>
    <xf numFmtId="0" fontId="133" fillId="0" borderId="11" xfId="0" applyFont="1" applyFill="1" applyBorder="1" applyAlignment="1" applyProtection="1">
      <alignment horizontal="center" vertical="center" shrinkToFit="1"/>
    </xf>
    <xf numFmtId="0" fontId="133" fillId="0" borderId="2" xfId="0" applyFont="1" applyFill="1" applyBorder="1" applyAlignment="1" applyProtection="1">
      <alignment horizontal="center" vertical="center" shrinkToFit="1"/>
    </xf>
    <xf numFmtId="0" fontId="133" fillId="0" borderId="3" xfId="0" applyFont="1" applyFill="1" applyBorder="1" applyAlignment="1" applyProtection="1">
      <alignment horizontal="center" vertical="center" shrinkToFit="1"/>
    </xf>
    <xf numFmtId="0" fontId="108" fillId="0" borderId="32" xfId="0" applyFont="1" applyFill="1" applyBorder="1" applyAlignment="1" applyProtection="1">
      <alignment horizontal="center" vertical="center" wrapText="1"/>
    </xf>
    <xf numFmtId="0" fontId="108" fillId="0" borderId="27" xfId="0" applyFont="1" applyFill="1" applyBorder="1" applyAlignment="1" applyProtection="1">
      <alignment horizontal="center" vertical="center" wrapText="1"/>
    </xf>
    <xf numFmtId="0" fontId="108" fillId="0" borderId="27" xfId="0" applyFont="1" applyFill="1" applyBorder="1" applyAlignment="1" applyProtection="1">
      <alignment horizontal="center" vertical="center"/>
    </xf>
    <xf numFmtId="0" fontId="108" fillId="0" borderId="28" xfId="0" applyFont="1" applyFill="1" applyBorder="1" applyAlignment="1" applyProtection="1">
      <alignment horizontal="center" vertical="center"/>
    </xf>
    <xf numFmtId="180" fontId="90" fillId="0" borderId="43" xfId="0" applyNumberFormat="1" applyFont="1" applyFill="1" applyBorder="1" applyAlignment="1" applyProtection="1">
      <alignment horizontal="center" vertical="center" shrinkToFit="1"/>
      <protection locked="0"/>
    </xf>
    <xf numFmtId="180" fontId="90" fillId="0" borderId="44" xfId="0" applyNumberFormat="1" applyFont="1" applyFill="1" applyBorder="1" applyAlignment="1" applyProtection="1">
      <alignment horizontal="center" vertical="center" shrinkToFit="1"/>
      <protection locked="0"/>
    </xf>
    <xf numFmtId="180" fontId="90" fillId="0" borderId="30" xfId="0" applyNumberFormat="1" applyFont="1" applyFill="1" applyBorder="1" applyAlignment="1" applyProtection="1">
      <alignment horizontal="center" vertical="center" shrinkToFit="1"/>
      <protection locked="0"/>
    </xf>
    <xf numFmtId="0" fontId="108" fillId="0" borderId="228" xfId="0" applyFont="1" applyFill="1" applyBorder="1" applyAlignment="1" applyProtection="1">
      <alignment horizontal="center" vertical="center" wrapText="1" shrinkToFit="1"/>
    </xf>
    <xf numFmtId="0" fontId="108" fillId="0" borderId="228" xfId="0" applyFont="1" applyFill="1" applyBorder="1" applyAlignment="1" applyProtection="1">
      <alignment horizontal="center" vertical="center" shrinkToFit="1"/>
    </xf>
    <xf numFmtId="180" fontId="90" fillId="0" borderId="229" xfId="0" applyNumberFormat="1" applyFont="1" applyFill="1" applyBorder="1" applyAlignment="1" applyProtection="1">
      <alignment horizontal="center" vertical="center" shrinkToFit="1"/>
      <protection locked="0"/>
    </xf>
    <xf numFmtId="180" fontId="90" fillId="0" borderId="108" xfId="0" applyNumberFormat="1" applyFont="1" applyFill="1" applyBorder="1" applyAlignment="1" applyProtection="1">
      <alignment horizontal="center" vertical="center" shrinkToFit="1"/>
      <protection locked="0"/>
    </xf>
    <xf numFmtId="180" fontId="90" fillId="0" borderId="230" xfId="0" applyNumberFormat="1" applyFont="1" applyFill="1" applyBorder="1" applyAlignment="1" applyProtection="1">
      <alignment horizontal="center" vertical="center" shrinkToFit="1"/>
      <protection locked="0"/>
    </xf>
    <xf numFmtId="0" fontId="108" fillId="0" borderId="112" xfId="0" applyFont="1" applyFill="1" applyBorder="1" applyAlignment="1" applyProtection="1">
      <alignment horizontal="center" vertical="center" wrapText="1" shrinkToFit="1"/>
      <protection locked="0"/>
    </xf>
    <xf numFmtId="0" fontId="108" fillId="0" borderId="225" xfId="0" applyFont="1" applyFill="1" applyBorder="1" applyAlignment="1" applyProtection="1">
      <alignment horizontal="center" vertical="center" wrapText="1" shrinkToFit="1"/>
      <protection locked="0"/>
    </xf>
    <xf numFmtId="0" fontId="108" fillId="0" borderId="217" xfId="0" applyFont="1" applyFill="1" applyBorder="1" applyAlignment="1" applyProtection="1">
      <alignment horizontal="center" vertical="center" wrapText="1" shrinkToFit="1"/>
      <protection locked="0"/>
    </xf>
    <xf numFmtId="180" fontId="90" fillId="0" borderId="238" xfId="0" applyNumberFormat="1" applyFont="1" applyFill="1" applyBorder="1" applyAlignment="1" applyProtection="1">
      <alignment horizontal="center" vertical="center" shrinkToFit="1"/>
      <protection locked="0"/>
    </xf>
    <xf numFmtId="180" fontId="90" fillId="0" borderId="226" xfId="0" applyNumberFormat="1" applyFont="1" applyFill="1" applyBorder="1" applyAlignment="1" applyProtection="1">
      <alignment horizontal="center" vertical="center" shrinkToFit="1"/>
      <protection locked="0"/>
    </xf>
    <xf numFmtId="180" fontId="90" fillId="0" borderId="227" xfId="0" applyNumberFormat="1" applyFont="1" applyFill="1" applyBorder="1" applyAlignment="1" applyProtection="1">
      <alignment horizontal="center" vertical="center" shrinkToFit="1"/>
      <protection locked="0"/>
    </xf>
    <xf numFmtId="0" fontId="133" fillId="0" borderId="168" xfId="0" applyFont="1" applyFill="1" applyBorder="1" applyAlignment="1" applyProtection="1">
      <alignment horizontal="center" vertical="center" shrinkToFit="1"/>
    </xf>
    <xf numFmtId="0" fontId="133" fillId="0" borderId="169" xfId="0" applyFont="1" applyFill="1" applyBorder="1" applyAlignment="1" applyProtection="1">
      <alignment horizontal="center" vertical="center" shrinkToFit="1"/>
    </xf>
    <xf numFmtId="0" fontId="133" fillId="0" borderId="69" xfId="0" applyFont="1" applyFill="1" applyBorder="1" applyAlignment="1" applyProtection="1">
      <alignment horizontal="center" vertical="center" shrinkToFit="1"/>
    </xf>
    <xf numFmtId="0" fontId="126" fillId="0" borderId="113" xfId="0" applyFont="1" applyFill="1" applyBorder="1" applyAlignment="1" applyProtection="1">
      <alignment horizontal="center" vertical="distributed" textRotation="255" justifyLastLine="1"/>
    </xf>
    <xf numFmtId="0" fontId="126" fillId="0" borderId="44" xfId="0" applyFont="1" applyFill="1" applyBorder="1" applyAlignment="1" applyProtection="1">
      <alignment horizontal="center" vertical="distributed" textRotation="255" justifyLastLine="1"/>
    </xf>
    <xf numFmtId="0" fontId="126" fillId="0" borderId="224" xfId="0" applyFont="1" applyFill="1" applyBorder="1" applyAlignment="1" applyProtection="1">
      <alignment horizontal="center" vertical="distributed" textRotation="255" justifyLastLine="1"/>
    </xf>
    <xf numFmtId="0" fontId="108" fillId="0" borderId="113" xfId="0" applyFont="1" applyFill="1" applyBorder="1" applyAlignment="1" applyProtection="1">
      <alignment horizontal="center" vertical="center"/>
    </xf>
    <xf numFmtId="0" fontId="108" fillId="0" borderId="44" xfId="0" applyFont="1" applyFill="1" applyBorder="1" applyAlignment="1" applyProtection="1">
      <alignment horizontal="center" vertical="center"/>
    </xf>
    <xf numFmtId="180" fontId="90" fillId="0" borderId="29" xfId="0" applyNumberFormat="1" applyFont="1" applyFill="1" applyBorder="1" applyAlignment="1" applyProtection="1">
      <alignment horizontal="center" vertical="center" shrinkToFit="1"/>
      <protection locked="0"/>
    </xf>
    <xf numFmtId="0" fontId="108" fillId="0" borderId="221" xfId="0" applyFont="1" applyFill="1" applyBorder="1" applyAlignment="1" applyProtection="1">
      <alignment horizontal="center" vertical="center" wrapText="1"/>
    </xf>
    <xf numFmtId="0" fontId="108" fillId="0" borderId="209" xfId="0" applyFont="1" applyFill="1" applyBorder="1" applyAlignment="1" applyProtection="1">
      <alignment horizontal="center" vertical="center" wrapText="1"/>
    </xf>
    <xf numFmtId="0" fontId="108" fillId="0" borderId="209" xfId="0" applyFont="1" applyFill="1" applyBorder="1" applyAlignment="1" applyProtection="1">
      <alignment horizontal="center" vertical="center"/>
    </xf>
    <xf numFmtId="0" fontId="108" fillId="0" borderId="210" xfId="0" applyFont="1" applyFill="1" applyBorder="1" applyAlignment="1" applyProtection="1">
      <alignment horizontal="center" vertical="center"/>
    </xf>
    <xf numFmtId="180" fontId="90" fillId="0" borderId="109" xfId="0" applyNumberFormat="1" applyFont="1" applyFill="1" applyBorder="1" applyAlignment="1" applyProtection="1">
      <alignment horizontal="center" vertical="center" shrinkToFit="1"/>
      <protection locked="0"/>
    </xf>
    <xf numFmtId="180" fontId="90" fillId="0" borderId="57" xfId="0" applyNumberFormat="1" applyFont="1" applyFill="1" applyBorder="1" applyAlignment="1" applyProtection="1">
      <alignment horizontal="center" vertical="center" shrinkToFit="1"/>
      <protection locked="0"/>
    </xf>
    <xf numFmtId="0" fontId="150" fillId="7" borderId="10" xfId="0" applyFont="1" applyFill="1" applyBorder="1" applyAlignment="1" applyProtection="1">
      <alignment horizontal="center" vertical="center"/>
    </xf>
    <xf numFmtId="0" fontId="129" fillId="10" borderId="38" xfId="0" applyFont="1" applyFill="1" applyBorder="1" applyAlignment="1" applyProtection="1">
      <alignment horizontal="center" vertical="center" textRotation="255"/>
    </xf>
    <xf numFmtId="0" fontId="129" fillId="10" borderId="138" xfId="0" applyFont="1" applyFill="1" applyBorder="1" applyAlignment="1" applyProtection="1">
      <alignment horizontal="center" vertical="center" textRotation="255"/>
    </xf>
    <xf numFmtId="0" fontId="129" fillId="10" borderId="39" xfId="0" applyFont="1" applyFill="1" applyBorder="1" applyAlignment="1" applyProtection="1">
      <alignment horizontal="center" vertical="center" textRotation="255"/>
    </xf>
    <xf numFmtId="38" fontId="129" fillId="0" borderId="26" xfId="1" applyFont="1" applyFill="1" applyBorder="1" applyAlignment="1" applyProtection="1">
      <alignment horizontal="right" vertical="center" shrinkToFit="1"/>
    </xf>
    <xf numFmtId="38" fontId="129" fillId="0" borderId="99" xfId="1" applyFont="1" applyFill="1" applyBorder="1" applyAlignment="1" applyProtection="1">
      <alignment horizontal="right" vertical="center" shrinkToFit="1"/>
    </xf>
    <xf numFmtId="0" fontId="108" fillId="0" borderId="111" xfId="0" applyFont="1" applyFill="1" applyBorder="1" applyAlignment="1" applyProtection="1">
      <alignment horizontal="center" vertical="center" wrapText="1"/>
    </xf>
    <xf numFmtId="0" fontId="108" fillId="0" borderId="220" xfId="0" applyFont="1" applyFill="1" applyBorder="1" applyAlignment="1" applyProtection="1">
      <alignment horizontal="center" vertical="center" wrapText="1"/>
    </xf>
    <xf numFmtId="0" fontId="108" fillId="0" borderId="220" xfId="0" applyFont="1" applyFill="1" applyBorder="1" applyAlignment="1" applyProtection="1">
      <alignment horizontal="center" vertical="center"/>
    </xf>
    <xf numFmtId="0" fontId="108" fillId="0" borderId="219" xfId="0" applyFont="1" applyFill="1" applyBorder="1" applyAlignment="1" applyProtection="1">
      <alignment horizontal="center" vertical="center"/>
    </xf>
    <xf numFmtId="180" fontId="129" fillId="0" borderId="28" xfId="3" applyNumberFormat="1" applyFont="1" applyFill="1" applyBorder="1" applyAlignment="1" applyProtection="1">
      <alignment horizontal="right" vertical="center" shrinkToFit="1"/>
    </xf>
    <xf numFmtId="180" fontId="129" fillId="0" borderId="44" xfId="3" applyNumberFormat="1" applyFont="1" applyFill="1" applyBorder="1" applyAlignment="1" applyProtection="1">
      <alignment horizontal="right" vertical="center" shrinkToFit="1"/>
    </xf>
    <xf numFmtId="180" fontId="90" fillId="0" borderId="197" xfId="0" applyNumberFormat="1" applyFont="1" applyFill="1" applyBorder="1" applyAlignment="1" applyProtection="1">
      <alignment horizontal="center" vertical="center" shrinkToFit="1"/>
      <protection locked="0"/>
    </xf>
    <xf numFmtId="180" fontId="90" fillId="0" borderId="110" xfId="0" applyNumberFormat="1" applyFont="1" applyFill="1" applyBorder="1" applyAlignment="1" applyProtection="1">
      <alignment horizontal="center" vertical="center" shrinkToFit="1"/>
      <protection locked="0"/>
    </xf>
    <xf numFmtId="180" fontId="90" fillId="0" borderId="201" xfId="0" applyNumberFormat="1" applyFont="1" applyFill="1" applyBorder="1" applyAlignment="1" applyProtection="1">
      <alignment horizontal="center" vertical="center" shrinkToFit="1"/>
      <protection locked="0"/>
    </xf>
    <xf numFmtId="0" fontId="126" fillId="0" borderId="38" xfId="0" applyFont="1" applyFill="1" applyBorder="1" applyAlignment="1" applyProtection="1">
      <alignment horizontal="center" vertical="center" textRotation="255"/>
    </xf>
    <xf numFmtId="0" fontId="126" fillId="0" borderId="138" xfId="0" applyFont="1" applyFill="1" applyBorder="1" applyAlignment="1" applyProtection="1">
      <alignment horizontal="center" vertical="center" textRotation="255"/>
    </xf>
    <xf numFmtId="0" fontId="126" fillId="0" borderId="39" xfId="0" applyFont="1" applyFill="1" applyBorder="1" applyAlignment="1" applyProtection="1">
      <alignment horizontal="center" vertical="center" textRotation="255"/>
    </xf>
    <xf numFmtId="0" fontId="126" fillId="0" borderId="99" xfId="0" applyFont="1" applyFill="1" applyBorder="1" applyAlignment="1" applyProtection="1">
      <alignment horizontal="center" vertical="distributed" textRotation="255" justifyLastLine="1"/>
    </xf>
    <xf numFmtId="0" fontId="126" fillId="0" borderId="196" xfId="0" applyFont="1" applyFill="1" applyBorder="1" applyAlignment="1" applyProtection="1">
      <alignment horizontal="center" vertical="distributed" textRotation="255" justifyLastLine="1"/>
    </xf>
    <xf numFmtId="0" fontId="126" fillId="0" borderId="174" xfId="0" applyFont="1" applyFill="1" applyBorder="1" applyAlignment="1" applyProtection="1">
      <alignment horizontal="center" vertical="distributed" textRotation="255" justifyLastLine="1"/>
    </xf>
    <xf numFmtId="0" fontId="99" fillId="0" borderId="99" xfId="0" applyFont="1" applyFill="1" applyBorder="1" applyAlignment="1" applyProtection="1">
      <alignment horizontal="center" vertical="center"/>
    </xf>
    <xf numFmtId="180" fontId="90" fillId="0" borderId="210" xfId="0" applyNumberFormat="1" applyFont="1" applyFill="1" applyBorder="1" applyAlignment="1" applyProtection="1">
      <alignment horizontal="center" vertical="center" shrinkToFit="1"/>
      <protection locked="0"/>
    </xf>
    <xf numFmtId="180" fontId="90" fillId="0" borderId="222" xfId="0" applyNumberFormat="1" applyFont="1" applyFill="1" applyBorder="1" applyAlignment="1" applyProtection="1">
      <alignment horizontal="center" vertical="center" shrinkToFit="1"/>
      <protection locked="0"/>
    </xf>
    <xf numFmtId="178" fontId="99" fillId="0" borderId="177" xfId="0" applyNumberFormat="1" applyFont="1" applyFill="1" applyBorder="1" applyAlignment="1" applyProtection="1">
      <alignment horizontal="center" vertical="center" shrinkToFit="1"/>
      <protection locked="0"/>
    </xf>
    <xf numFmtId="178" fontId="99" fillId="0" borderId="178" xfId="0" applyNumberFormat="1" applyFont="1" applyFill="1" applyBorder="1" applyAlignment="1" applyProtection="1">
      <alignment horizontal="center" vertical="center" shrinkToFit="1"/>
      <protection locked="0"/>
    </xf>
    <xf numFmtId="178" fontId="99" fillId="0" borderId="179" xfId="0" applyNumberFormat="1" applyFont="1" applyFill="1" applyBorder="1" applyAlignment="1" applyProtection="1">
      <alignment horizontal="center" vertical="center" shrinkToFit="1"/>
      <protection locked="0"/>
    </xf>
    <xf numFmtId="176" fontId="90" fillId="0" borderId="372" xfId="0" applyNumberFormat="1" applyFont="1" applyFill="1" applyBorder="1" applyAlignment="1" applyProtection="1">
      <alignment horizontal="center" vertical="center" shrinkToFit="1"/>
      <protection locked="0"/>
    </xf>
    <xf numFmtId="176" fontId="90" fillId="0" borderId="373" xfId="0" applyNumberFormat="1" applyFont="1" applyFill="1" applyBorder="1" applyAlignment="1" applyProtection="1">
      <alignment horizontal="center" vertical="center" shrinkToFit="1"/>
      <protection locked="0"/>
    </xf>
    <xf numFmtId="176" fontId="90" fillId="0" borderId="374" xfId="0" applyNumberFormat="1" applyFont="1" applyFill="1" applyBorder="1" applyAlignment="1" applyProtection="1">
      <alignment horizontal="center" vertical="center" shrinkToFit="1"/>
      <protection locked="0"/>
    </xf>
    <xf numFmtId="38" fontId="112" fillId="0" borderId="65" xfId="2" applyFont="1" applyBorder="1" applyAlignment="1" applyProtection="1">
      <alignment horizontal="right" vertical="center" shrinkToFit="1"/>
    </xf>
    <xf numFmtId="38" fontId="112" fillId="0" borderId="63" xfId="2" applyFont="1" applyBorder="1" applyAlignment="1" applyProtection="1">
      <alignment horizontal="right" vertical="center" shrinkToFit="1"/>
    </xf>
    <xf numFmtId="38" fontId="112" fillId="0" borderId="64" xfId="2" applyFont="1" applyBorder="1" applyAlignment="1" applyProtection="1">
      <alignment horizontal="right" vertical="center" shrinkToFit="1"/>
    </xf>
    <xf numFmtId="180" fontId="90" fillId="0" borderId="218" xfId="0" applyNumberFormat="1" applyFont="1" applyFill="1" applyBorder="1" applyAlignment="1" applyProtection="1">
      <alignment horizontal="center" vertical="center" shrinkToFit="1"/>
      <protection locked="0"/>
    </xf>
    <xf numFmtId="180" fontId="94" fillId="0" borderId="219" xfId="3" applyNumberFormat="1" applyFont="1" applyFill="1" applyBorder="1" applyAlignment="1" applyProtection="1">
      <alignment horizontal="right" vertical="center" shrinkToFit="1"/>
    </xf>
    <xf numFmtId="180" fontId="94" fillId="0" borderId="218" xfId="3" applyNumberFormat="1" applyFont="1" applyFill="1" applyBorder="1" applyAlignment="1" applyProtection="1">
      <alignment horizontal="right" vertical="center" shrinkToFit="1"/>
    </xf>
    <xf numFmtId="38" fontId="112" fillId="0" borderId="271" xfId="2" applyFont="1" applyBorder="1" applyAlignment="1" applyProtection="1">
      <alignment horizontal="right" vertical="center" shrinkToFit="1"/>
    </xf>
    <xf numFmtId="38" fontId="112" fillId="0" borderId="272" xfId="2" applyFont="1" applyBorder="1" applyAlignment="1" applyProtection="1">
      <alignment horizontal="right" vertical="center" shrinkToFit="1"/>
    </xf>
    <xf numFmtId="38" fontId="112" fillId="0" borderId="273" xfId="2" applyFont="1" applyBorder="1" applyAlignment="1" applyProtection="1">
      <alignment horizontal="right" vertical="center" shrinkToFit="1"/>
    </xf>
    <xf numFmtId="0" fontId="112" fillId="12" borderId="195" xfId="0" applyFont="1" applyFill="1" applyBorder="1" applyAlignment="1" applyProtection="1">
      <alignment horizontal="center" vertical="center" textRotation="255"/>
    </xf>
    <xf numFmtId="0" fontId="112" fillId="12" borderId="274" xfId="0" applyFont="1" applyFill="1" applyBorder="1" applyAlignment="1" applyProtection="1">
      <alignment horizontal="center" vertical="center" textRotation="255"/>
    </xf>
    <xf numFmtId="178" fontId="133" fillId="0" borderId="63" xfId="0" applyNumberFormat="1" applyFont="1" applyFill="1" applyBorder="1" applyAlignment="1" applyProtection="1">
      <alignment horizontal="center" vertical="center"/>
    </xf>
    <xf numFmtId="178" fontId="133" fillId="0" borderId="64" xfId="0" applyNumberFormat="1" applyFont="1" applyFill="1" applyBorder="1" applyAlignment="1" applyProtection="1">
      <alignment horizontal="center" vertical="center"/>
    </xf>
    <xf numFmtId="38" fontId="134" fillId="11" borderId="11" xfId="2" applyFont="1" applyFill="1" applyBorder="1" applyAlignment="1" applyProtection="1">
      <alignment horizontal="right" vertical="center" shrinkToFit="1"/>
    </xf>
    <xf numFmtId="38" fontId="134" fillId="11" borderId="2" xfId="2" applyFont="1" applyFill="1" applyBorder="1" applyAlignment="1" applyProtection="1">
      <alignment horizontal="right" vertical="center" shrinkToFit="1"/>
    </xf>
    <xf numFmtId="38" fontId="134" fillId="11" borderId="3" xfId="2" applyFont="1" applyFill="1" applyBorder="1" applyAlignment="1" applyProtection="1">
      <alignment horizontal="right" vertical="center" shrinkToFit="1"/>
    </xf>
    <xf numFmtId="38" fontId="134" fillId="11" borderId="11" xfId="1" applyFont="1" applyFill="1" applyBorder="1" applyAlignment="1" applyProtection="1">
      <alignment horizontal="right" vertical="center" shrinkToFit="1"/>
    </xf>
    <xf numFmtId="38" fontId="134" fillId="11" borderId="2" xfId="1" applyFont="1" applyFill="1" applyBorder="1" applyAlignment="1" applyProtection="1">
      <alignment horizontal="right" vertical="center" shrinkToFit="1"/>
    </xf>
    <xf numFmtId="38" fontId="134" fillId="11" borderId="3" xfId="1" applyFont="1" applyFill="1" applyBorder="1" applyAlignment="1" applyProtection="1">
      <alignment horizontal="right" vertical="center" shrinkToFit="1"/>
    </xf>
    <xf numFmtId="191" fontId="95" fillId="0" borderId="96" xfId="0" applyNumberFormat="1" applyFont="1" applyFill="1" applyBorder="1" applyAlignment="1" applyProtection="1">
      <alignment horizontal="center" vertical="center"/>
    </xf>
    <xf numFmtId="191" fontId="95" fillId="0" borderId="97" xfId="0" applyNumberFormat="1" applyFont="1" applyFill="1" applyBorder="1" applyAlignment="1" applyProtection="1">
      <alignment horizontal="center" vertical="center"/>
    </xf>
    <xf numFmtId="0" fontId="95" fillId="0" borderId="68" xfId="0" applyFont="1" applyFill="1" applyBorder="1" applyAlignment="1" applyProtection="1">
      <alignment horizontal="left" vertical="center"/>
    </xf>
    <xf numFmtId="0" fontId="108" fillId="0" borderId="216" xfId="0" applyFont="1" applyFill="1" applyBorder="1" applyAlignment="1" applyProtection="1">
      <alignment horizontal="center" vertical="center"/>
    </xf>
    <xf numFmtId="180" fontId="90" fillId="0" borderId="217" xfId="0" applyNumberFormat="1" applyFont="1" applyFill="1" applyBorder="1" applyAlignment="1" applyProtection="1">
      <alignment horizontal="center" vertical="center" shrinkToFit="1"/>
      <protection locked="0"/>
    </xf>
    <xf numFmtId="180" fontId="90" fillId="0" borderId="216" xfId="0" applyNumberFormat="1" applyFont="1" applyFill="1" applyBorder="1" applyAlignment="1" applyProtection="1">
      <alignment horizontal="center" vertical="center" shrinkToFit="1"/>
      <protection locked="0"/>
    </xf>
    <xf numFmtId="180" fontId="90" fillId="0" borderId="219" xfId="0" applyNumberFormat="1" applyFont="1" applyFill="1" applyBorder="1" applyAlignment="1" applyProtection="1">
      <alignment horizontal="center" vertical="center" shrinkToFit="1"/>
      <protection locked="0"/>
    </xf>
    <xf numFmtId="180" fontId="90" fillId="0" borderId="223" xfId="0" applyNumberFormat="1" applyFont="1" applyFill="1" applyBorder="1" applyAlignment="1" applyProtection="1">
      <alignment horizontal="center" vertical="center" shrinkToFit="1"/>
      <protection locked="0"/>
    </xf>
    <xf numFmtId="180" fontId="90" fillId="0" borderId="42" xfId="0" applyNumberFormat="1" applyFont="1" applyFill="1" applyBorder="1" applyAlignment="1" applyProtection="1">
      <alignment horizontal="center" vertical="center" shrinkToFit="1"/>
      <protection locked="0"/>
    </xf>
    <xf numFmtId="180" fontId="129" fillId="0" borderId="93" xfId="3" applyNumberFormat="1" applyFont="1" applyFill="1" applyBorder="1" applyAlignment="1" applyProtection="1">
      <alignment horizontal="right" vertical="center" shrinkToFit="1"/>
    </xf>
    <xf numFmtId="180" fontId="129" fillId="0" borderId="113" xfId="3" applyNumberFormat="1" applyFont="1" applyFill="1" applyBorder="1" applyAlignment="1" applyProtection="1">
      <alignment horizontal="right" vertical="center" shrinkToFit="1"/>
    </xf>
    <xf numFmtId="38" fontId="112" fillId="0" borderId="10" xfId="2" applyFont="1" applyFill="1" applyBorder="1" applyAlignment="1" applyProtection="1">
      <alignment horizontal="right" vertical="center" shrinkToFit="1"/>
      <protection locked="0"/>
    </xf>
    <xf numFmtId="38" fontId="112" fillId="0" borderId="14" xfId="2" applyFont="1" applyFill="1" applyBorder="1" applyAlignment="1" applyProtection="1">
      <alignment horizontal="right" vertical="center" shrinkToFit="1"/>
      <protection locked="0"/>
    </xf>
    <xf numFmtId="180" fontId="94" fillId="0" borderId="217" xfId="3" applyNumberFormat="1" applyFont="1" applyFill="1" applyBorder="1" applyAlignment="1" applyProtection="1">
      <alignment horizontal="right" vertical="center" shrinkToFit="1"/>
    </xf>
    <xf numFmtId="180" fontId="94" fillId="0" borderId="216" xfId="3" applyNumberFormat="1" applyFont="1" applyFill="1" applyBorder="1" applyAlignment="1" applyProtection="1">
      <alignment horizontal="right" vertical="center" shrinkToFit="1"/>
    </xf>
    <xf numFmtId="38" fontId="134" fillId="0" borderId="253" xfId="2" applyFont="1" applyFill="1" applyBorder="1" applyAlignment="1" applyProtection="1">
      <alignment horizontal="right" vertical="center" shrinkToFit="1"/>
    </xf>
    <xf numFmtId="38" fontId="134" fillId="0" borderId="254" xfId="2" applyFont="1" applyFill="1" applyBorder="1" applyAlignment="1" applyProtection="1">
      <alignment horizontal="right" vertical="center" shrinkToFit="1"/>
    </xf>
    <xf numFmtId="38" fontId="134" fillId="0" borderId="255" xfId="2" applyFont="1" applyFill="1" applyBorder="1" applyAlignment="1" applyProtection="1">
      <alignment horizontal="right" vertical="center" shrinkToFit="1"/>
    </xf>
    <xf numFmtId="38" fontId="134" fillId="0" borderId="256" xfId="2" applyFont="1" applyFill="1" applyBorder="1" applyAlignment="1" applyProtection="1">
      <alignment horizontal="right" vertical="center" shrinkToFit="1"/>
    </xf>
    <xf numFmtId="176" fontId="90" fillId="0" borderId="370" xfId="0" applyNumberFormat="1" applyFont="1" applyFill="1" applyBorder="1" applyAlignment="1" applyProtection="1">
      <alignment horizontal="center" vertical="center" shrinkToFit="1"/>
      <protection locked="0"/>
    </xf>
    <xf numFmtId="176" fontId="90" fillId="0" borderId="371" xfId="0" applyNumberFormat="1" applyFont="1" applyFill="1" applyBorder="1" applyAlignment="1" applyProtection="1">
      <alignment horizontal="center" vertical="center" shrinkToFit="1"/>
      <protection locked="0"/>
    </xf>
    <xf numFmtId="176" fontId="90" fillId="0" borderId="101" xfId="0" applyNumberFormat="1" applyFont="1" applyFill="1" applyBorder="1" applyAlignment="1" applyProtection="1">
      <alignment horizontal="center" vertical="center" shrinkToFit="1"/>
      <protection locked="0"/>
    </xf>
    <xf numFmtId="38" fontId="112" fillId="0" borderId="15" xfId="2" applyFont="1" applyFill="1" applyBorder="1" applyAlignment="1" applyProtection="1">
      <alignment horizontal="right" vertical="center" shrinkToFit="1"/>
      <protection locked="0"/>
    </xf>
    <xf numFmtId="6" fontId="134" fillId="0" borderId="60" xfId="4" applyFont="1" applyFill="1" applyBorder="1" applyAlignment="1" applyProtection="1">
      <alignment horizontal="right" vertical="center" shrinkToFit="1"/>
    </xf>
    <xf numFmtId="6" fontId="134" fillId="0" borderId="21" xfId="4" applyFont="1" applyFill="1" applyBorder="1" applyAlignment="1" applyProtection="1">
      <alignment horizontal="right" vertical="center" shrinkToFit="1"/>
    </xf>
    <xf numFmtId="38" fontId="112" fillId="0" borderId="170" xfId="2" applyFont="1" applyFill="1" applyBorder="1" applyAlignment="1" applyProtection="1">
      <alignment horizontal="right" vertical="center" shrinkToFit="1"/>
      <protection locked="0"/>
    </xf>
    <xf numFmtId="38" fontId="112" fillId="0" borderId="172" xfId="2" applyFont="1" applyFill="1" applyBorder="1" applyAlignment="1" applyProtection="1">
      <alignment horizontal="right" vertical="center" shrinkToFit="1"/>
      <protection locked="0"/>
    </xf>
    <xf numFmtId="6" fontId="134" fillId="0" borderId="39" xfId="4" applyFont="1" applyFill="1" applyBorder="1" applyAlignment="1" applyProtection="1">
      <alignment horizontal="right" vertical="center" shrinkToFit="1"/>
    </xf>
    <xf numFmtId="38" fontId="112" fillId="0" borderId="171" xfId="2" applyFont="1" applyFill="1" applyBorder="1" applyAlignment="1" applyProtection="1">
      <alignment horizontal="right" vertical="center" shrinkToFit="1"/>
      <protection locked="0"/>
    </xf>
    <xf numFmtId="6" fontId="134" fillId="0" borderId="249" xfId="4" applyFont="1" applyFill="1" applyBorder="1" applyAlignment="1" applyProtection="1">
      <alignment horizontal="right" vertical="center" shrinkToFit="1"/>
    </xf>
    <xf numFmtId="0" fontId="111" fillId="11" borderId="2" xfId="0" applyFont="1" applyFill="1" applyBorder="1" applyAlignment="1" applyProtection="1">
      <alignment horizontal="center" vertical="center"/>
    </xf>
    <xf numFmtId="0" fontId="111" fillId="11" borderId="3" xfId="0" applyFont="1" applyFill="1" applyBorder="1" applyAlignment="1" applyProtection="1">
      <alignment horizontal="center" vertical="center"/>
    </xf>
    <xf numFmtId="0" fontId="112" fillId="3" borderId="195" xfId="0" applyFont="1" applyFill="1" applyBorder="1" applyAlignment="1" applyProtection="1">
      <alignment horizontal="center" vertical="center" textRotation="255"/>
    </xf>
    <xf numFmtId="0" fontId="112" fillId="3" borderId="274" xfId="0" applyFont="1" applyFill="1" applyBorder="1" applyAlignment="1" applyProtection="1">
      <alignment horizontal="center" vertical="center" textRotation="255"/>
    </xf>
    <xf numFmtId="178" fontId="133" fillId="11" borderId="2" xfId="0" applyNumberFormat="1" applyFont="1" applyFill="1" applyBorder="1" applyAlignment="1" applyProtection="1">
      <alignment horizontal="center" vertical="center"/>
    </xf>
    <xf numFmtId="178" fontId="133" fillId="11" borderId="3" xfId="0" applyNumberFormat="1" applyFont="1" applyFill="1" applyBorder="1" applyAlignment="1" applyProtection="1">
      <alignment horizontal="center" vertical="center"/>
    </xf>
    <xf numFmtId="176" fontId="90" fillId="0" borderId="32" xfId="0" applyNumberFormat="1" applyFont="1" applyFill="1" applyBorder="1" applyAlignment="1" applyProtection="1">
      <alignment vertical="center" shrinkToFit="1"/>
      <protection locked="0"/>
    </xf>
    <xf numFmtId="176" fontId="90" fillId="0" borderId="27" xfId="0" applyNumberFormat="1" applyFont="1" applyFill="1" applyBorder="1" applyAlignment="1" applyProtection="1">
      <alignment vertical="center" shrinkToFit="1"/>
      <protection locked="0"/>
    </xf>
    <xf numFmtId="176" fontId="90" fillId="0" borderId="28" xfId="0" applyNumberFormat="1" applyFont="1" applyFill="1" applyBorder="1" applyAlignment="1" applyProtection="1">
      <alignment vertical="center" shrinkToFit="1"/>
      <protection locked="0"/>
    </xf>
    <xf numFmtId="180" fontId="99" fillId="0" borderId="190" xfId="3" applyNumberFormat="1" applyFont="1" applyFill="1" applyBorder="1" applyAlignment="1" applyProtection="1">
      <alignment horizontal="center" vertical="center" shrinkToFit="1"/>
    </xf>
    <xf numFmtId="180" fontId="99" fillId="0" borderId="191" xfId="3" applyNumberFormat="1" applyFont="1" applyFill="1" applyBorder="1" applyAlignment="1" applyProtection="1">
      <alignment horizontal="center" vertical="center" shrinkToFit="1"/>
    </xf>
    <xf numFmtId="38" fontId="134" fillId="0" borderId="146" xfId="2" applyFont="1" applyFill="1" applyBorder="1" applyAlignment="1" applyProtection="1">
      <alignment horizontal="right" vertical="center" shrinkToFit="1"/>
    </xf>
    <xf numFmtId="38" fontId="134" fillId="0" borderId="147" xfId="2" applyFont="1" applyFill="1" applyBorder="1" applyAlignment="1" applyProtection="1">
      <alignment horizontal="right" vertical="center" shrinkToFit="1"/>
    </xf>
    <xf numFmtId="38" fontId="134" fillId="0" borderId="289" xfId="2" applyFont="1" applyFill="1" applyBorder="1" applyAlignment="1" applyProtection="1">
      <alignment horizontal="right" vertical="center" shrinkToFit="1"/>
    </xf>
    <xf numFmtId="178" fontId="167" fillId="0" borderId="153" xfId="0" applyNumberFormat="1" applyFont="1" applyFill="1" applyBorder="1" applyAlignment="1" applyProtection="1">
      <alignment horizontal="center" vertical="center" wrapText="1" shrinkToFit="1"/>
    </xf>
    <xf numFmtId="178" fontId="167" fillId="0" borderId="0" xfId="0" applyNumberFormat="1" applyFont="1" applyFill="1" applyBorder="1" applyAlignment="1" applyProtection="1">
      <alignment horizontal="center" vertical="center" wrapText="1" shrinkToFit="1"/>
    </xf>
    <xf numFmtId="178" fontId="167" fillId="0" borderId="12" xfId="0" applyNumberFormat="1" applyFont="1" applyFill="1" applyBorder="1" applyAlignment="1" applyProtection="1">
      <alignment horizontal="center" vertical="center" wrapText="1" shrinkToFit="1"/>
    </xf>
    <xf numFmtId="176" fontId="94" fillId="0" borderId="186" xfId="0" applyNumberFormat="1" applyFont="1" applyFill="1" applyBorder="1" applyAlignment="1" applyProtection="1">
      <alignment horizontal="center" vertical="center" shrinkToFit="1"/>
    </xf>
    <xf numFmtId="176" fontId="94" fillId="0" borderId="187" xfId="0" applyNumberFormat="1" applyFont="1" applyFill="1" applyBorder="1" applyAlignment="1" applyProtection="1">
      <alignment horizontal="center" vertical="center" shrinkToFit="1"/>
    </xf>
    <xf numFmtId="176" fontId="90" fillId="0" borderId="180" xfId="0" applyNumberFormat="1" applyFont="1" applyFill="1" applyBorder="1" applyAlignment="1" applyProtection="1">
      <alignment horizontal="center" vertical="center" shrinkToFit="1"/>
      <protection locked="0"/>
    </xf>
    <xf numFmtId="176" fontId="90" fillId="0" borderId="183" xfId="0" applyNumberFormat="1" applyFont="1" applyFill="1" applyBorder="1" applyAlignment="1" applyProtection="1">
      <alignment horizontal="center" vertical="center" shrinkToFit="1"/>
      <protection locked="0"/>
    </xf>
    <xf numFmtId="0" fontId="133" fillId="0" borderId="61" xfId="0" applyFont="1" applyFill="1" applyBorder="1" applyAlignment="1" applyProtection="1">
      <alignment horizontal="center" vertical="center"/>
    </xf>
    <xf numFmtId="0" fontId="133" fillId="0" borderId="17" xfId="0" applyFont="1" applyFill="1" applyBorder="1" applyAlignment="1" applyProtection="1">
      <alignment horizontal="center" vertical="center"/>
    </xf>
    <xf numFmtId="0" fontId="133" fillId="0" borderId="60" xfId="0" applyFont="1" applyFill="1" applyBorder="1" applyAlignment="1" applyProtection="1">
      <alignment horizontal="center" vertical="center"/>
    </xf>
    <xf numFmtId="38" fontId="134" fillId="11" borderId="11" xfId="2" applyFont="1" applyFill="1" applyBorder="1" applyAlignment="1" applyProtection="1">
      <alignment vertical="center" shrinkToFit="1"/>
    </xf>
    <xf numFmtId="38" fontId="134" fillId="11" borderId="2" xfId="2" applyFont="1" applyFill="1" applyBorder="1" applyAlignment="1" applyProtection="1">
      <alignment vertical="center" shrinkToFit="1"/>
    </xf>
    <xf numFmtId="38" fontId="134" fillId="11" borderId="3" xfId="2" applyFont="1" applyFill="1" applyBorder="1" applyAlignment="1" applyProtection="1">
      <alignment vertical="center" shrinkToFit="1"/>
    </xf>
    <xf numFmtId="176" fontId="90" fillId="0" borderId="370" xfId="0" applyNumberFormat="1" applyFont="1" applyFill="1" applyBorder="1" applyAlignment="1" applyProtection="1">
      <alignment vertical="center" shrinkToFit="1"/>
      <protection locked="0"/>
    </xf>
    <xf numFmtId="176" fontId="90" fillId="0" borderId="371" xfId="0" applyNumberFormat="1" applyFont="1" applyFill="1" applyBorder="1" applyAlignment="1" applyProtection="1">
      <alignment vertical="center" shrinkToFit="1"/>
      <protection locked="0"/>
    </xf>
    <xf numFmtId="176" fontId="90" fillId="0" borderId="101" xfId="0" applyNumberFormat="1" applyFont="1" applyFill="1" applyBorder="1" applyAlignment="1" applyProtection="1">
      <alignment vertical="center" shrinkToFit="1"/>
      <protection locked="0"/>
    </xf>
    <xf numFmtId="176" fontId="90" fillId="0" borderId="372" xfId="0" applyNumberFormat="1" applyFont="1" applyFill="1" applyBorder="1" applyAlignment="1" applyProtection="1">
      <alignment vertical="center" shrinkToFit="1"/>
      <protection locked="0"/>
    </xf>
    <xf numFmtId="176" fontId="90" fillId="0" borderId="373" xfId="0" applyNumberFormat="1" applyFont="1" applyFill="1" applyBorder="1" applyAlignment="1" applyProtection="1">
      <alignment vertical="center" shrinkToFit="1"/>
      <protection locked="0"/>
    </xf>
    <xf numFmtId="176" fontId="90" fillId="0" borderId="374" xfId="0" applyNumberFormat="1" applyFont="1" applyFill="1" applyBorder="1" applyAlignment="1" applyProtection="1">
      <alignment vertical="center" shrinkToFit="1"/>
      <protection locked="0"/>
    </xf>
    <xf numFmtId="176" fontId="90" fillId="0" borderId="201" xfId="0" applyNumberFormat="1" applyFont="1" applyFill="1" applyBorder="1" applyAlignment="1" applyProtection="1">
      <alignment vertical="center" shrinkToFit="1"/>
      <protection locked="0"/>
    </xf>
    <xf numFmtId="176" fontId="90" fillId="0" borderId="198" xfId="0" applyNumberFormat="1" applyFont="1" applyFill="1" applyBorder="1" applyAlignment="1" applyProtection="1">
      <alignment vertical="center" shrinkToFit="1"/>
      <protection locked="0"/>
    </xf>
    <xf numFmtId="176" fontId="90" fillId="0" borderId="110" xfId="0" applyNumberFormat="1" applyFont="1" applyFill="1" applyBorder="1" applyAlignment="1" applyProtection="1">
      <alignment vertical="center" shrinkToFit="1"/>
      <protection locked="0"/>
    </xf>
    <xf numFmtId="180" fontId="129" fillId="0" borderId="185" xfId="3" applyNumberFormat="1" applyFont="1" applyFill="1" applyBorder="1" applyAlignment="1" applyProtection="1">
      <alignment horizontal="right" vertical="center" shrinkToFit="1"/>
    </xf>
    <xf numFmtId="0" fontId="126" fillId="0" borderId="157" xfId="0" applyFont="1" applyFill="1" applyBorder="1" applyAlignment="1" applyProtection="1">
      <alignment horizontal="left" vertical="center" justifyLastLine="1"/>
      <protection locked="0"/>
    </xf>
    <xf numFmtId="0" fontId="126" fillId="0" borderId="17" xfId="0" applyFont="1" applyFill="1" applyBorder="1" applyAlignment="1" applyProtection="1">
      <alignment horizontal="left" vertical="center" justifyLastLine="1"/>
      <protection locked="0"/>
    </xf>
    <xf numFmtId="0" fontId="126" fillId="0" borderId="62" xfId="0" applyFont="1" applyFill="1" applyBorder="1" applyAlignment="1" applyProtection="1">
      <alignment horizontal="left" vertical="center" justifyLastLine="1"/>
      <protection locked="0"/>
    </xf>
    <xf numFmtId="0" fontId="126" fillId="0" borderId="156" xfId="0" applyFont="1" applyFill="1" applyBorder="1" applyAlignment="1" applyProtection="1">
      <alignment horizontal="left" vertical="center" justifyLastLine="1"/>
      <protection locked="0"/>
    </xf>
    <xf numFmtId="0" fontId="126" fillId="0" borderId="19" xfId="0" applyFont="1" applyFill="1" applyBorder="1" applyAlignment="1" applyProtection="1">
      <alignment horizontal="left" vertical="center" justifyLastLine="1"/>
      <protection locked="0"/>
    </xf>
    <xf numFmtId="0" fontId="126" fillId="0" borderId="20" xfId="0" applyFont="1" applyFill="1" applyBorder="1" applyAlignment="1" applyProtection="1">
      <alignment horizontal="left" vertical="center" justifyLastLine="1"/>
      <protection locked="0"/>
    </xf>
    <xf numFmtId="0" fontId="126" fillId="0" borderId="173" xfId="0" applyFont="1" applyFill="1" applyBorder="1" applyAlignment="1" applyProtection="1">
      <alignment horizontal="left" vertical="center" justifyLastLine="1"/>
      <protection locked="0"/>
    </xf>
    <xf numFmtId="0" fontId="126" fillId="0" borderId="63" xfId="0" applyFont="1" applyFill="1" applyBorder="1" applyAlignment="1" applyProtection="1">
      <alignment horizontal="left" vertical="center" justifyLastLine="1"/>
      <protection locked="0"/>
    </xf>
    <xf numFmtId="0" fontId="126" fillId="0" borderId="66" xfId="0" applyFont="1" applyFill="1" applyBorder="1" applyAlignment="1" applyProtection="1">
      <alignment horizontal="left" vertical="center" justifyLastLine="1"/>
      <protection locked="0"/>
    </xf>
    <xf numFmtId="178" fontId="80" fillId="0" borderId="269" xfId="0" applyNumberFormat="1" applyFont="1" applyFill="1" applyBorder="1" applyAlignment="1" applyProtection="1">
      <alignment horizontal="left" vertical="center" shrinkToFit="1"/>
    </xf>
    <xf numFmtId="178" fontId="108" fillId="0" borderId="269" xfId="0" applyNumberFormat="1" applyFont="1" applyFill="1" applyBorder="1" applyAlignment="1" applyProtection="1">
      <alignment horizontal="left" vertical="center" shrinkToFit="1"/>
    </xf>
    <xf numFmtId="38" fontId="134" fillId="0" borderId="36" xfId="2" applyFont="1" applyFill="1" applyBorder="1" applyAlignment="1" applyProtection="1">
      <alignment vertical="center" shrinkToFit="1"/>
    </xf>
    <xf numFmtId="38" fontId="134" fillId="0" borderId="35" xfId="2" applyFont="1" applyFill="1" applyBorder="1" applyAlignment="1" applyProtection="1">
      <alignment vertical="center" shrinkToFit="1"/>
    </xf>
    <xf numFmtId="38" fontId="134" fillId="0" borderId="202" xfId="2" applyFont="1" applyFill="1" applyBorder="1" applyAlignment="1" applyProtection="1">
      <alignment vertical="center" shrinkToFit="1"/>
    </xf>
    <xf numFmtId="0" fontId="126" fillId="0" borderId="155" xfId="0" applyFont="1" applyFill="1" applyBorder="1" applyAlignment="1" applyProtection="1">
      <alignment horizontal="left" vertical="center" justifyLastLine="1"/>
      <protection locked="0"/>
    </xf>
    <xf numFmtId="0" fontId="126" fillId="0" borderId="2" xfId="0" applyFont="1" applyFill="1" applyBorder="1" applyAlignment="1" applyProtection="1">
      <alignment horizontal="left" vertical="center" justifyLastLine="1"/>
      <protection locked="0"/>
    </xf>
    <xf numFmtId="0" fontId="126" fillId="0" borderId="151" xfId="0" applyFont="1" applyFill="1" applyBorder="1" applyAlignment="1" applyProtection="1">
      <alignment horizontal="left" vertical="center" justifyLastLine="1"/>
      <protection locked="0"/>
    </xf>
    <xf numFmtId="184" fontId="134" fillId="0" borderId="249" xfId="3" applyNumberFormat="1" applyFont="1" applyFill="1" applyBorder="1" applyAlignment="1" applyProtection="1">
      <alignment horizontal="right" vertical="center" shrinkToFit="1"/>
    </xf>
    <xf numFmtId="0" fontId="18" fillId="0" borderId="0" xfId="0" applyFont="1" applyFill="1" applyBorder="1" applyAlignment="1" applyProtection="1">
      <alignment horizontal="center" vertical="center"/>
    </xf>
    <xf numFmtId="0" fontId="126" fillId="0" borderId="0" xfId="0" applyFont="1" applyFill="1" applyAlignment="1" applyProtection="1">
      <alignment horizontal="left" vertical="center"/>
    </xf>
    <xf numFmtId="0" fontId="180" fillId="0" borderId="61" xfId="0" applyFont="1" applyFill="1" applyBorder="1" applyAlignment="1" applyProtection="1">
      <alignment horizontal="center" vertical="center"/>
    </xf>
    <xf numFmtId="0" fontId="180" fillId="0" borderId="60" xfId="0" applyFont="1" applyFill="1" applyBorder="1" applyAlignment="1" applyProtection="1">
      <alignment horizontal="center" vertical="center"/>
    </xf>
    <xf numFmtId="0" fontId="128" fillId="0" borderId="10" xfId="0" applyFont="1" applyFill="1" applyBorder="1" applyAlignment="1" applyProtection="1">
      <alignment horizontal="center" vertical="center"/>
    </xf>
    <xf numFmtId="0" fontId="129" fillId="10" borderId="12" xfId="0" applyFont="1" applyFill="1" applyBorder="1" applyAlignment="1" applyProtection="1">
      <alignment horizontal="center" vertical="center" textRotation="255"/>
    </xf>
    <xf numFmtId="0" fontId="129" fillId="10" borderId="3" xfId="0" applyFont="1" applyFill="1" applyBorder="1" applyAlignment="1" applyProtection="1">
      <alignment horizontal="center" vertical="center" textRotation="255"/>
    </xf>
    <xf numFmtId="184" fontId="134" fillId="0" borderId="39" xfId="3" applyNumberFormat="1" applyFont="1" applyFill="1" applyBorder="1" applyAlignment="1" applyProtection="1">
      <alignment horizontal="right" vertical="center" shrinkToFit="1"/>
    </xf>
    <xf numFmtId="178" fontId="99" fillId="0" borderId="21" xfId="0" applyNumberFormat="1" applyFont="1" applyFill="1" applyBorder="1" applyAlignment="1" applyProtection="1">
      <alignment horizontal="center" vertical="center" wrapText="1" shrinkToFit="1"/>
    </xf>
    <xf numFmtId="176" fontId="90" fillId="0" borderId="44" xfId="0" applyNumberFormat="1" applyFont="1" applyFill="1" applyBorder="1" applyAlignment="1" applyProtection="1">
      <alignment horizontal="center" vertical="center" shrinkToFit="1"/>
      <protection locked="0"/>
    </xf>
    <xf numFmtId="191" fontId="95" fillId="0" borderId="61" xfId="0" applyNumberFormat="1" applyFont="1" applyFill="1" applyBorder="1" applyAlignment="1" applyProtection="1">
      <alignment horizontal="center" vertical="center" justifyLastLine="1"/>
    </xf>
    <xf numFmtId="191" fontId="95" fillId="0" borderId="17" xfId="0" applyNumberFormat="1" applyFont="1" applyFill="1" applyBorder="1" applyAlignment="1" applyProtection="1">
      <alignment horizontal="center" vertical="center" justifyLastLine="1"/>
    </xf>
    <xf numFmtId="191" fontId="95" fillId="0" borderId="60" xfId="0" applyNumberFormat="1" applyFont="1" applyFill="1" applyBorder="1" applyAlignment="1" applyProtection="1">
      <alignment horizontal="center" vertical="center" justifyLastLine="1"/>
    </xf>
    <xf numFmtId="191" fontId="95" fillId="0" borderId="142" xfId="0" applyNumberFormat="1" applyFont="1" applyFill="1" applyBorder="1" applyAlignment="1" applyProtection="1">
      <alignment horizontal="center" vertical="center"/>
    </xf>
    <xf numFmtId="176" fontId="90" fillId="0" borderId="109" xfId="0" applyNumberFormat="1" applyFont="1" applyFill="1" applyBorder="1" applyAlignment="1" applyProtection="1">
      <alignment horizontal="center" vertical="center" shrinkToFit="1"/>
      <protection locked="0"/>
    </xf>
    <xf numFmtId="176" fontId="90" fillId="0" borderId="41" xfId="0" applyNumberFormat="1" applyFont="1" applyFill="1" applyBorder="1" applyAlignment="1" applyProtection="1">
      <alignment horizontal="center" vertical="center" shrinkToFit="1"/>
      <protection locked="0"/>
    </xf>
    <xf numFmtId="178" fontId="99" fillId="0" borderId="38" xfId="0" applyNumberFormat="1" applyFont="1" applyFill="1" applyBorder="1" applyAlignment="1" applyProtection="1">
      <alignment horizontal="center" vertical="center" shrinkToFit="1"/>
    </xf>
    <xf numFmtId="176" fontId="90" fillId="0" borderId="29" xfId="0" applyNumberFormat="1" applyFont="1" applyFill="1" applyBorder="1" applyAlignment="1" applyProtection="1">
      <alignment horizontal="center" vertical="center" shrinkToFit="1"/>
      <protection locked="0"/>
    </xf>
    <xf numFmtId="176" fontId="90" fillId="0" borderId="99" xfId="0" applyNumberFormat="1" applyFont="1" applyFill="1" applyBorder="1" applyAlignment="1" applyProtection="1">
      <alignment horizontal="center" vertical="center" shrinkToFit="1"/>
      <protection locked="0"/>
    </xf>
    <xf numFmtId="176" fontId="90" fillId="0" borderId="89" xfId="0" applyNumberFormat="1" applyFont="1" applyFill="1" applyBorder="1" applyAlignment="1" applyProtection="1">
      <alignment horizontal="center" vertical="center" shrinkToFit="1"/>
      <protection locked="0"/>
    </xf>
    <xf numFmtId="176" fontId="90" fillId="0" borderId="56" xfId="0" applyNumberFormat="1" applyFont="1" applyFill="1" applyBorder="1" applyAlignment="1" applyProtection="1">
      <alignment horizontal="center" vertical="center" shrinkToFit="1"/>
      <protection locked="0"/>
    </xf>
    <xf numFmtId="176" fontId="90" fillId="0" borderId="376" xfId="0" applyNumberFormat="1" applyFont="1" applyFill="1" applyBorder="1" applyAlignment="1" applyProtection="1">
      <alignment horizontal="center" vertical="center" shrinkToFit="1"/>
      <protection locked="0"/>
    </xf>
    <xf numFmtId="38" fontId="134" fillId="0" borderId="13" xfId="2" applyFont="1" applyFill="1" applyBorder="1" applyAlignment="1" applyProtection="1">
      <alignment vertical="center" shrinkToFit="1"/>
    </xf>
    <xf numFmtId="38" fontId="134" fillId="0" borderId="0" xfId="2" applyFont="1" applyFill="1" applyBorder="1" applyAlignment="1" applyProtection="1">
      <alignment vertical="center" shrinkToFit="1"/>
    </xf>
    <xf numFmtId="38" fontId="134" fillId="0" borderId="12" xfId="2" applyFont="1" applyFill="1" applyBorder="1" applyAlignment="1" applyProtection="1">
      <alignment vertical="center" shrinkToFit="1"/>
    </xf>
    <xf numFmtId="176" fontId="90" fillId="0" borderId="375" xfId="0" applyNumberFormat="1" applyFont="1" applyFill="1" applyBorder="1" applyAlignment="1" applyProtection="1">
      <alignment horizontal="center" vertical="center" shrinkToFit="1"/>
      <protection locked="0"/>
    </xf>
    <xf numFmtId="176" fontId="90" fillId="0" borderId="194" xfId="0" applyNumberFormat="1" applyFont="1" applyFill="1" applyBorder="1" applyAlignment="1" applyProtection="1">
      <alignment horizontal="center" vertical="center" shrinkToFit="1"/>
      <protection locked="0"/>
    </xf>
    <xf numFmtId="176" fontId="90" fillId="0" borderId="13" xfId="0" applyNumberFormat="1" applyFont="1" applyFill="1" applyBorder="1" applyAlignment="1" applyProtection="1">
      <alignment horizontal="center" vertical="center" shrinkToFit="1"/>
      <protection locked="0"/>
    </xf>
    <xf numFmtId="176" fontId="90" fillId="0" borderId="0" xfId="0" applyNumberFormat="1" applyFont="1" applyFill="1" applyBorder="1" applyAlignment="1" applyProtection="1">
      <alignment horizontal="center" vertical="center" shrinkToFit="1"/>
      <protection locked="0"/>
    </xf>
    <xf numFmtId="176" fontId="90" fillId="0" borderId="12" xfId="0" applyNumberFormat="1" applyFont="1" applyFill="1" applyBorder="1" applyAlignment="1" applyProtection="1">
      <alignment horizontal="center" vertical="center" shrinkToFit="1"/>
      <protection locked="0"/>
    </xf>
    <xf numFmtId="176" fontId="90" fillId="0" borderId="42" xfId="0" applyNumberFormat="1" applyFont="1" applyFill="1" applyBorder="1" applyAlignment="1" applyProtection="1">
      <alignment horizontal="center" vertical="center" shrinkToFit="1"/>
      <protection locked="0"/>
    </xf>
    <xf numFmtId="176" fontId="90" fillId="0" borderId="31" xfId="0" applyNumberFormat="1" applyFont="1" applyFill="1" applyBorder="1" applyAlignment="1" applyProtection="1">
      <alignment horizontal="center" vertical="center" shrinkToFit="1"/>
      <protection locked="0"/>
    </xf>
    <xf numFmtId="176" fontId="90" fillId="0" borderId="52" xfId="0" applyNumberFormat="1" applyFont="1" applyFill="1" applyBorder="1" applyAlignment="1" applyProtection="1">
      <alignment horizontal="center" vertical="center" shrinkToFit="1"/>
      <protection locked="0"/>
    </xf>
    <xf numFmtId="176" fontId="90" fillId="0" borderId="377" xfId="0" applyNumberFormat="1" applyFont="1" applyFill="1" applyBorder="1" applyAlignment="1" applyProtection="1">
      <alignment horizontal="center" vertical="center" shrinkToFit="1"/>
      <protection locked="0"/>
    </xf>
    <xf numFmtId="176" fontId="90" fillId="0" borderId="378" xfId="0" applyNumberFormat="1" applyFont="1" applyFill="1" applyBorder="1" applyAlignment="1" applyProtection="1">
      <alignment horizontal="center" vertical="center" shrinkToFit="1"/>
      <protection locked="0"/>
    </xf>
    <xf numFmtId="176" fontId="90" fillId="0" borderId="379" xfId="0" applyNumberFormat="1" applyFont="1" applyFill="1" applyBorder="1" applyAlignment="1" applyProtection="1">
      <alignment vertical="center" shrinkToFit="1"/>
      <protection locked="0"/>
    </xf>
    <xf numFmtId="176" fontId="90" fillId="0" borderId="350" xfId="0" applyNumberFormat="1" applyFont="1" applyFill="1" applyBorder="1" applyAlignment="1" applyProtection="1">
      <alignment vertical="center" shrinkToFit="1"/>
      <protection locked="0"/>
    </xf>
    <xf numFmtId="191" fontId="95" fillId="0" borderId="139" xfId="0" applyNumberFormat="1" applyFont="1" applyFill="1" applyBorder="1" applyAlignment="1" applyProtection="1">
      <alignment horizontal="center" vertical="center" justifyLastLine="1"/>
    </xf>
    <xf numFmtId="191" fontId="95" fillId="0" borderId="81" xfId="0" applyNumberFormat="1" applyFont="1" applyFill="1" applyBorder="1" applyAlignment="1" applyProtection="1">
      <alignment horizontal="center" vertical="center" justifyLastLine="1"/>
    </xf>
    <xf numFmtId="191" fontId="95" fillId="0" borderId="80" xfId="0" applyNumberFormat="1" applyFont="1" applyFill="1" applyBorder="1" applyAlignment="1" applyProtection="1">
      <alignment horizontal="center" vertical="center" justifyLastLine="1"/>
    </xf>
    <xf numFmtId="38" fontId="134" fillId="0" borderId="146" xfId="2" applyFont="1" applyFill="1" applyBorder="1" applyAlignment="1" applyProtection="1">
      <alignment vertical="center" shrinkToFit="1"/>
    </xf>
    <xf numFmtId="38" fontId="134" fillId="0" borderId="147" xfId="2" applyFont="1" applyFill="1" applyBorder="1" applyAlignment="1" applyProtection="1">
      <alignment vertical="center" shrinkToFit="1"/>
    </xf>
    <xf numFmtId="38" fontId="134" fillId="0" borderId="289" xfId="2" applyFont="1" applyFill="1" applyBorder="1" applyAlignment="1" applyProtection="1">
      <alignment vertical="center" shrinkToFit="1"/>
    </xf>
    <xf numFmtId="38" fontId="134" fillId="11" borderId="380" xfId="2" applyFont="1" applyFill="1" applyBorder="1" applyAlignment="1" applyProtection="1">
      <alignment vertical="center" shrinkToFit="1"/>
    </xf>
    <xf numFmtId="38" fontId="134" fillId="11" borderId="19" xfId="2" applyFont="1" applyFill="1" applyBorder="1" applyAlignment="1" applyProtection="1">
      <alignment vertical="center" shrinkToFit="1"/>
    </xf>
    <xf numFmtId="38" fontId="134" fillId="11" borderId="381" xfId="2" applyFont="1" applyFill="1" applyBorder="1" applyAlignment="1" applyProtection="1">
      <alignment vertical="center" shrinkToFit="1"/>
    </xf>
    <xf numFmtId="38" fontId="134" fillId="11" borderId="20" xfId="2" applyFont="1" applyFill="1" applyBorder="1" applyAlignment="1" applyProtection="1">
      <alignment vertical="center" shrinkToFit="1"/>
    </xf>
    <xf numFmtId="38" fontId="112" fillId="0" borderId="65" xfId="2" applyFont="1" applyBorder="1" applyAlignment="1" applyProtection="1">
      <alignment vertical="center" shrinkToFit="1"/>
    </xf>
    <xf numFmtId="38" fontId="112" fillId="0" borderId="63" xfId="2" applyFont="1" applyBorder="1" applyAlignment="1" applyProtection="1">
      <alignment vertical="center" shrinkToFit="1"/>
    </xf>
    <xf numFmtId="38" fontId="112" fillId="0" borderId="66" xfId="2" applyFont="1" applyBorder="1" applyAlignment="1" applyProtection="1">
      <alignment vertical="center" shrinkToFit="1"/>
    </xf>
    <xf numFmtId="38" fontId="112" fillId="0" borderId="64" xfId="2" applyFont="1" applyBorder="1" applyAlignment="1" applyProtection="1">
      <alignment vertical="center" shrinkToFit="1"/>
    </xf>
    <xf numFmtId="0" fontId="180" fillId="0" borderId="0" xfId="0" applyFont="1" applyFill="1" applyBorder="1" applyAlignment="1" applyProtection="1">
      <alignment horizontal="center" vertical="center"/>
    </xf>
    <xf numFmtId="0" fontId="94" fillId="0" borderId="324" xfId="0" applyFont="1" applyFill="1" applyBorder="1" applyAlignment="1" applyProtection="1">
      <alignment horizontal="center" vertical="center"/>
      <protection locked="0"/>
    </xf>
    <xf numFmtId="0" fontId="94" fillId="0" borderId="227" xfId="0" applyFont="1" applyFill="1" applyBorder="1" applyAlignment="1" applyProtection="1">
      <alignment horizontal="center" vertical="center"/>
      <protection locked="0"/>
    </xf>
    <xf numFmtId="0" fontId="94" fillId="0" borderId="325" xfId="0" applyFont="1" applyFill="1" applyBorder="1" applyAlignment="1" applyProtection="1">
      <alignment horizontal="center" vertical="center"/>
      <protection locked="0"/>
    </xf>
    <xf numFmtId="180" fontId="132" fillId="0" borderId="326" xfId="3" applyNumberFormat="1" applyFont="1" applyFill="1" applyBorder="1" applyAlignment="1" applyProtection="1">
      <alignment horizontal="right" vertical="center" shrinkToFit="1"/>
    </xf>
    <xf numFmtId="180" fontId="129" fillId="0" borderId="327" xfId="3" applyNumberFormat="1" applyFont="1" applyFill="1" applyBorder="1" applyAlignment="1" applyProtection="1">
      <alignment horizontal="right" vertical="center" shrinkToFit="1"/>
    </xf>
    <xf numFmtId="180" fontId="90" fillId="0" borderId="329" xfId="0" applyNumberFormat="1" applyFont="1" applyFill="1" applyBorder="1" applyAlignment="1" applyProtection="1">
      <alignment horizontal="center" vertical="center" shrinkToFit="1"/>
      <protection locked="0"/>
    </xf>
    <xf numFmtId="180" fontId="90" fillId="0" borderId="330" xfId="0" applyNumberFormat="1" applyFont="1" applyFill="1" applyBorder="1" applyAlignment="1" applyProtection="1">
      <alignment horizontal="center" vertical="center" shrinkToFit="1"/>
      <protection locked="0"/>
    </xf>
    <xf numFmtId="180" fontId="90" fillId="0" borderId="331" xfId="0" applyNumberFormat="1" applyFont="1" applyFill="1" applyBorder="1" applyAlignment="1" applyProtection="1">
      <alignment horizontal="center" vertical="center" shrinkToFit="1"/>
      <protection locked="0"/>
    </xf>
    <xf numFmtId="180" fontId="132" fillId="0" borderId="332" xfId="3" applyNumberFormat="1" applyFont="1" applyFill="1" applyBorder="1" applyAlignment="1" applyProtection="1">
      <alignment horizontal="right" vertical="center" shrinkToFit="1"/>
    </xf>
    <xf numFmtId="180" fontId="129" fillId="0" borderId="333" xfId="3" applyNumberFormat="1" applyFont="1" applyFill="1" applyBorder="1" applyAlignment="1" applyProtection="1">
      <alignment horizontal="right" vertical="center" shrinkToFit="1"/>
    </xf>
    <xf numFmtId="180" fontId="90" fillId="0" borderId="336" xfId="0" applyNumberFormat="1" applyFont="1" applyFill="1" applyBorder="1" applyAlignment="1" applyProtection="1">
      <alignment horizontal="center" vertical="center" shrinkToFit="1"/>
      <protection locked="0"/>
    </xf>
    <xf numFmtId="180" fontId="90" fillId="0" borderId="337" xfId="0" applyNumberFormat="1" applyFont="1" applyFill="1" applyBorder="1" applyAlignment="1" applyProtection="1">
      <alignment horizontal="center" vertical="center" shrinkToFit="1"/>
      <protection locked="0"/>
    </xf>
    <xf numFmtId="180" fontId="90" fillId="0" borderId="335" xfId="0" applyNumberFormat="1" applyFont="1" applyFill="1" applyBorder="1" applyAlignment="1" applyProtection="1">
      <alignment horizontal="center" vertical="center" shrinkToFit="1"/>
      <protection locked="0"/>
    </xf>
    <xf numFmtId="180" fontId="132" fillId="0" borderId="338" xfId="3" applyNumberFormat="1" applyFont="1" applyFill="1" applyBorder="1" applyAlignment="1" applyProtection="1">
      <alignment horizontal="right" vertical="center" shrinkToFit="1"/>
    </xf>
    <xf numFmtId="180" fontId="129" fillId="0" borderId="339" xfId="3" applyNumberFormat="1" applyFont="1" applyFill="1" applyBorder="1" applyAlignment="1" applyProtection="1">
      <alignment horizontal="right" vertical="center" shrinkToFit="1"/>
    </xf>
    <xf numFmtId="176" fontId="90" fillId="0" borderId="350" xfId="0" applyNumberFormat="1" applyFont="1" applyFill="1" applyBorder="1" applyAlignment="1" applyProtection="1">
      <alignment horizontal="center" vertical="center" shrinkToFit="1"/>
      <protection locked="0"/>
    </xf>
    <xf numFmtId="178" fontId="99" fillId="0" borderId="15" xfId="0" applyNumberFormat="1" applyFont="1" applyFill="1" applyBorder="1" applyAlignment="1" applyProtection="1">
      <alignment horizontal="center" vertical="center" wrapText="1" shrinkToFit="1"/>
    </xf>
    <xf numFmtId="178" fontId="99" fillId="0" borderId="10" xfId="0" applyNumberFormat="1" applyFont="1" applyFill="1" applyBorder="1" applyAlignment="1" applyProtection="1">
      <alignment horizontal="center" vertical="center" wrapText="1" shrinkToFit="1"/>
    </xf>
    <xf numFmtId="178" fontId="99" fillId="0" borderId="14" xfId="0" applyNumberFormat="1" applyFont="1" applyFill="1" applyBorder="1" applyAlignment="1" applyProtection="1">
      <alignment horizontal="center" vertical="center" wrapText="1" shrinkToFit="1"/>
    </xf>
    <xf numFmtId="176" fontId="90" fillId="0" borderId="45" xfId="0" applyNumberFormat="1" applyFont="1" applyFill="1" applyBorder="1" applyAlignment="1" applyProtection="1">
      <alignment horizontal="center" vertical="center" shrinkToFit="1"/>
      <protection locked="0"/>
    </xf>
    <xf numFmtId="0" fontId="132" fillId="0" borderId="10" xfId="0" applyFont="1" applyBorder="1" applyAlignment="1">
      <alignment horizontal="center" shrinkToFit="1"/>
    </xf>
    <xf numFmtId="0" fontId="132" fillId="0" borderId="2" xfId="0" applyFont="1" applyBorder="1" applyAlignment="1">
      <alignment horizontal="center" shrinkToFit="1"/>
    </xf>
    <xf numFmtId="6" fontId="132" fillId="0" borderId="10" xfId="4" applyFont="1" applyBorder="1" applyAlignment="1">
      <alignment horizontal="right" shrinkToFit="1"/>
    </xf>
    <xf numFmtId="6" fontId="132" fillId="0" borderId="2" xfId="4" applyFont="1" applyBorder="1" applyAlignment="1">
      <alignment horizontal="right" shrinkToFit="1"/>
    </xf>
    <xf numFmtId="0" fontId="101" fillId="0" borderId="0" xfId="0" applyFont="1" applyBorder="1" applyAlignment="1">
      <alignment horizontal="center" wrapText="1"/>
    </xf>
    <xf numFmtId="0" fontId="100" fillId="0" borderId="15" xfId="0" applyFont="1" applyBorder="1" applyAlignment="1">
      <alignment horizontal="center" vertical="center"/>
    </xf>
    <xf numFmtId="0" fontId="100" fillId="0" borderId="14" xfId="0" applyFont="1" applyBorder="1" applyAlignment="1">
      <alignment horizontal="center" vertical="center"/>
    </xf>
    <xf numFmtId="0" fontId="100" fillId="0" borderId="13" xfId="0" applyFont="1" applyBorder="1" applyAlignment="1">
      <alignment horizontal="center" vertical="center"/>
    </xf>
    <xf numFmtId="0" fontId="100" fillId="0" borderId="0" xfId="0" applyFont="1" applyBorder="1" applyAlignment="1">
      <alignment horizontal="center" vertical="center"/>
    </xf>
    <xf numFmtId="0" fontId="100" fillId="0" borderId="12" xfId="0" applyFont="1" applyBorder="1" applyAlignment="1">
      <alignment horizontal="center" vertical="center"/>
    </xf>
    <xf numFmtId="0" fontId="100" fillId="0" borderId="11" xfId="0" applyFont="1" applyBorder="1" applyAlignment="1">
      <alignment horizontal="center" vertical="center"/>
    </xf>
    <xf numFmtId="0" fontId="100" fillId="0" borderId="3" xfId="0" applyFont="1" applyBorder="1" applyAlignment="1">
      <alignment horizontal="center" vertical="center"/>
    </xf>
    <xf numFmtId="0" fontId="100" fillId="0" borderId="21" xfId="0" applyFont="1" applyBorder="1" applyAlignment="1">
      <alignment horizontal="center" vertical="center"/>
    </xf>
    <xf numFmtId="0" fontId="132" fillId="0" borderId="10" xfId="0" applyFont="1" applyBorder="1" applyAlignment="1">
      <alignment horizontal="center"/>
    </xf>
    <xf numFmtId="0" fontId="132" fillId="0" borderId="2" xfId="0" applyFont="1" applyBorder="1" applyAlignment="1">
      <alignment horizontal="center"/>
    </xf>
    <xf numFmtId="0" fontId="132" fillId="0" borderId="0" xfId="0" applyFont="1" applyBorder="1" applyAlignment="1">
      <alignment horizontal="center" shrinkToFit="1"/>
    </xf>
    <xf numFmtId="6" fontId="132" fillId="0" borderId="0" xfId="4" applyFont="1" applyBorder="1" applyAlignment="1">
      <alignment horizontal="right" shrinkToFit="1"/>
    </xf>
    <xf numFmtId="0" fontId="132" fillId="0" borderId="0" xfId="0" applyFont="1" applyBorder="1" applyAlignment="1">
      <alignment horizontal="center"/>
    </xf>
    <xf numFmtId="38" fontId="90" fillId="0" borderId="0" xfId="1" applyFont="1" applyBorder="1" applyAlignment="1">
      <alignment horizontal="right"/>
    </xf>
    <xf numFmtId="38" fontId="90" fillId="0" borderId="68" xfId="1" applyFont="1" applyBorder="1" applyAlignment="1">
      <alignment horizontal="right"/>
    </xf>
    <xf numFmtId="49" fontId="100" fillId="0" borderId="13" xfId="0" applyNumberFormat="1" applyFont="1" applyBorder="1" applyAlignment="1">
      <alignment horizontal="left" vertical="center"/>
    </xf>
    <xf numFmtId="49" fontId="100" fillId="0" borderId="0" xfId="0" applyNumberFormat="1" applyFont="1" applyBorder="1" applyAlignment="1">
      <alignment horizontal="left" vertical="center"/>
    </xf>
    <xf numFmtId="38" fontId="90" fillId="0" borderId="0" xfId="1" applyFont="1" applyBorder="1" applyAlignment="1">
      <alignment horizontal="center"/>
    </xf>
    <xf numFmtId="38" fontId="90" fillId="0" borderId="68" xfId="1" applyFont="1" applyBorder="1" applyAlignment="1">
      <alignment horizontal="center"/>
    </xf>
    <xf numFmtId="0" fontId="100" fillId="0" borderId="13" xfId="0" applyFont="1" applyBorder="1" applyAlignment="1">
      <alignment horizontal="left" vertical="center"/>
    </xf>
    <xf numFmtId="49" fontId="100" fillId="0" borderId="11" xfId="0" applyNumberFormat="1" applyFont="1" applyBorder="1" applyAlignment="1">
      <alignment horizontal="center" vertical="center"/>
    </xf>
    <xf numFmtId="49" fontId="100" fillId="0" borderId="2" xfId="0" applyNumberFormat="1" applyFont="1" applyBorder="1" applyAlignment="1">
      <alignment horizontal="center" vertical="center"/>
    </xf>
    <xf numFmtId="49" fontId="100" fillId="0" borderId="3" xfId="0" applyNumberFormat="1" applyFont="1" applyBorder="1" applyAlignment="1">
      <alignment horizontal="center" vertical="center"/>
    </xf>
    <xf numFmtId="49" fontId="80" fillId="0" borderId="17" xfId="0" applyNumberFormat="1" applyFont="1" applyBorder="1" applyAlignment="1">
      <alignment horizontal="left" vertical="center" wrapText="1"/>
    </xf>
    <xf numFmtId="49" fontId="80" fillId="0" borderId="60" xfId="0" applyNumberFormat="1" applyFont="1" applyBorder="1" applyAlignment="1">
      <alignment horizontal="left" vertical="center" wrapText="1"/>
    </xf>
    <xf numFmtId="49" fontId="100" fillId="0" borderId="0" xfId="0" applyNumberFormat="1" applyFont="1" applyBorder="1" applyAlignment="1">
      <alignment horizontal="center" vertical="center"/>
    </xf>
    <xf numFmtId="49" fontId="100" fillId="0" borderId="10" xfId="0" applyNumberFormat="1" applyFont="1" applyBorder="1" applyAlignment="1">
      <alignment horizontal="center" vertical="center"/>
    </xf>
    <xf numFmtId="49" fontId="100" fillId="0" borderId="15" xfId="0" applyNumberFormat="1" applyFont="1" applyBorder="1" applyAlignment="1">
      <alignment horizontal="center" vertical="center"/>
    </xf>
    <xf numFmtId="49" fontId="100" fillId="0" borderId="14" xfId="0" applyNumberFormat="1" applyFont="1" applyBorder="1" applyAlignment="1">
      <alignment horizontal="center" vertical="center"/>
    </xf>
    <xf numFmtId="49" fontId="100" fillId="0" borderId="13" xfId="0" applyNumberFormat="1" applyFont="1" applyBorder="1" applyAlignment="1">
      <alignment horizontal="center" vertical="center"/>
    </xf>
    <xf numFmtId="49" fontId="100" fillId="0" borderId="12" xfId="0" applyNumberFormat="1" applyFont="1" applyBorder="1" applyAlignment="1">
      <alignment horizontal="center" vertical="center"/>
    </xf>
    <xf numFmtId="49" fontId="100" fillId="0" borderId="17" xfId="0" applyNumberFormat="1" applyFont="1" applyBorder="1" applyAlignment="1">
      <alignment horizontal="center" vertical="center"/>
    </xf>
    <xf numFmtId="49" fontId="100" fillId="0" borderId="60" xfId="0" applyNumberFormat="1" applyFont="1" applyBorder="1" applyAlignment="1">
      <alignment horizontal="center" vertical="center"/>
    </xf>
    <xf numFmtId="0" fontId="78" fillId="0" borderId="61" xfId="0" applyNumberFormat="1" applyFont="1" applyBorder="1" applyAlignment="1">
      <alignment horizontal="right" vertical="center"/>
    </xf>
    <xf numFmtId="49" fontId="78" fillId="0" borderId="17" xfId="0" applyNumberFormat="1" applyFont="1" applyBorder="1" applyAlignment="1">
      <alignment horizontal="right" vertical="center"/>
    </xf>
    <xf numFmtId="0" fontId="111" fillId="0" borderId="17" xfId="0" applyNumberFormat="1" applyFont="1" applyBorder="1" applyAlignment="1" applyProtection="1">
      <alignment horizontal="center" vertical="center"/>
    </xf>
    <xf numFmtId="49" fontId="78" fillId="0" borderId="61" xfId="0" applyNumberFormat="1" applyFont="1" applyBorder="1" applyAlignment="1" applyProtection="1">
      <alignment horizontal="center" vertical="center"/>
    </xf>
    <xf numFmtId="49" fontId="78" fillId="0" borderId="17" xfId="0" applyNumberFormat="1" applyFont="1" applyBorder="1" applyAlignment="1" applyProtection="1">
      <alignment horizontal="center" vertical="center"/>
    </xf>
    <xf numFmtId="0" fontId="78" fillId="0" borderId="61" xfId="0" applyNumberFormat="1" applyFont="1" applyBorder="1" applyAlignment="1" applyProtection="1">
      <alignment horizontal="center" vertical="center"/>
    </xf>
    <xf numFmtId="0" fontId="78" fillId="0" borderId="17" xfId="0" applyNumberFormat="1" applyFont="1" applyBorder="1" applyAlignment="1" applyProtection="1">
      <alignment horizontal="center" vertical="center"/>
    </xf>
    <xf numFmtId="0" fontId="78" fillId="0" borderId="60" xfId="0" applyNumberFormat="1" applyFont="1" applyBorder="1" applyAlignment="1" applyProtection="1">
      <alignment horizontal="center" vertical="center"/>
    </xf>
    <xf numFmtId="49" fontId="78" fillId="0" borderId="61" xfId="0" applyNumberFormat="1" applyFont="1" applyBorder="1" applyAlignment="1">
      <alignment horizontal="center" vertical="center"/>
    </xf>
    <xf numFmtId="49" fontId="78" fillId="0" borderId="17" xfId="0" applyNumberFormat="1" applyFont="1" applyBorder="1" applyAlignment="1">
      <alignment horizontal="center" vertical="center"/>
    </xf>
    <xf numFmtId="49" fontId="78" fillId="0" borderId="60" xfId="0" applyNumberFormat="1" applyFont="1" applyBorder="1" applyAlignment="1">
      <alignment horizontal="center" vertical="center"/>
    </xf>
    <xf numFmtId="49" fontId="100" fillId="0" borderId="61" xfId="0" applyNumberFormat="1" applyFont="1" applyBorder="1" applyAlignment="1">
      <alignment horizontal="center" vertical="center"/>
    </xf>
    <xf numFmtId="178" fontId="100" fillId="0" borderId="17" xfId="0" applyNumberFormat="1" applyFont="1" applyBorder="1" applyAlignment="1">
      <alignment horizontal="center" vertical="center"/>
    </xf>
    <xf numFmtId="49" fontId="100" fillId="0" borderId="12" xfId="0" applyNumberFormat="1" applyFont="1" applyBorder="1" applyAlignment="1">
      <alignment horizontal="left" vertical="center"/>
    </xf>
    <xf numFmtId="49" fontId="78" fillId="0" borderId="0" xfId="0" applyNumberFormat="1" applyFont="1" applyBorder="1" applyAlignment="1">
      <alignment horizontal="center" vertical="center"/>
    </xf>
    <xf numFmtId="0" fontId="78" fillId="0" borderId="0" xfId="0" applyNumberFormat="1" applyFont="1" applyBorder="1" applyAlignment="1">
      <alignment horizontal="center" vertical="center"/>
    </xf>
    <xf numFmtId="0" fontId="103" fillId="0" borderId="0" xfId="0" applyNumberFormat="1" applyFont="1" applyBorder="1" applyAlignment="1">
      <alignment horizontal="center" vertical="center"/>
    </xf>
    <xf numFmtId="0" fontId="103" fillId="0" borderId="12" xfId="0" applyNumberFormat="1" applyFont="1" applyBorder="1" applyAlignment="1">
      <alignment horizontal="center" vertical="center"/>
    </xf>
    <xf numFmtId="178" fontId="78" fillId="0" borderId="0" xfId="0" applyNumberFormat="1" applyFont="1" applyBorder="1" applyAlignment="1">
      <alignment horizontal="center" vertical="center" shrinkToFit="1"/>
    </xf>
    <xf numFmtId="178" fontId="78" fillId="0" borderId="12" xfId="0" applyNumberFormat="1" applyFont="1" applyBorder="1" applyAlignment="1">
      <alignment horizontal="center" vertical="center" shrinkToFit="1"/>
    </xf>
    <xf numFmtId="0" fontId="78" fillId="0" borderId="12" xfId="0" applyNumberFormat="1" applyFont="1" applyBorder="1" applyAlignment="1">
      <alignment horizontal="center" vertical="center"/>
    </xf>
    <xf numFmtId="181" fontId="78" fillId="0" borderId="0" xfId="0" applyNumberFormat="1" applyFont="1" applyBorder="1" applyAlignment="1">
      <alignment horizontal="center" vertical="center" shrinkToFit="1"/>
    </xf>
    <xf numFmtId="181" fontId="78" fillId="0" borderId="12" xfId="0" applyNumberFormat="1" applyFont="1" applyBorder="1" applyAlignment="1">
      <alignment horizontal="center" vertical="center" shrinkToFit="1"/>
    </xf>
    <xf numFmtId="0" fontId="74" fillId="0" borderId="0" xfId="0" applyFont="1" applyBorder="1" applyAlignment="1">
      <alignment horizontal="center" vertical="center"/>
    </xf>
    <xf numFmtId="49" fontId="35" fillId="0" borderId="15" xfId="0" applyNumberFormat="1" applyFont="1" applyBorder="1" applyAlignment="1">
      <alignment horizontal="center" vertical="center"/>
    </xf>
    <xf numFmtId="49" fontId="35" fillId="0" borderId="10" xfId="0" applyNumberFormat="1" applyFont="1" applyBorder="1" applyAlignment="1">
      <alignment horizontal="center" vertical="center"/>
    </xf>
    <xf numFmtId="49" fontId="35" fillId="0" borderId="14" xfId="0" applyNumberFormat="1" applyFont="1" applyBorder="1" applyAlignment="1">
      <alignment horizontal="center" vertical="center"/>
    </xf>
    <xf numFmtId="49" fontId="90" fillId="0" borderId="13" xfId="0" applyNumberFormat="1" applyFont="1" applyBorder="1" applyAlignment="1">
      <alignment horizontal="center" vertical="center"/>
    </xf>
    <xf numFmtId="49" fontId="90" fillId="0" borderId="0" xfId="0" applyNumberFormat="1" applyFont="1" applyBorder="1" applyAlignment="1">
      <alignment horizontal="center" vertical="center"/>
    </xf>
    <xf numFmtId="49" fontId="90" fillId="0" borderId="12" xfId="0" applyNumberFormat="1" applyFont="1" applyBorder="1" applyAlignment="1">
      <alignment horizontal="center" vertical="center"/>
    </xf>
    <xf numFmtId="178" fontId="78" fillId="0" borderId="13" xfId="0" applyNumberFormat="1" applyFont="1" applyBorder="1" applyAlignment="1">
      <alignment horizontal="right" vertical="center"/>
    </xf>
    <xf numFmtId="178" fontId="78" fillId="0" borderId="0" xfId="0" applyNumberFormat="1" applyFont="1" applyBorder="1" applyAlignment="1">
      <alignment horizontal="right" vertical="center"/>
    </xf>
    <xf numFmtId="0" fontId="78" fillId="0" borderId="0" xfId="0" applyNumberFormat="1" applyFont="1" applyBorder="1" applyAlignment="1" applyProtection="1">
      <alignment horizontal="center" vertical="center" shrinkToFit="1"/>
      <protection locked="0"/>
    </xf>
    <xf numFmtId="49" fontId="119" fillId="0" borderId="13" xfId="0" applyNumberFormat="1" applyFont="1" applyBorder="1" applyAlignment="1">
      <alignment horizontal="center" vertical="center"/>
    </xf>
    <xf numFmtId="49" fontId="119" fillId="0" borderId="0" xfId="0" applyNumberFormat="1" applyFont="1" applyBorder="1" applyAlignment="1">
      <alignment horizontal="center" vertical="center"/>
    </xf>
    <xf numFmtId="0" fontId="79" fillId="0" borderId="0" xfId="0" applyNumberFormat="1" applyFont="1" applyBorder="1" applyAlignment="1">
      <alignment horizontal="center" vertical="center"/>
    </xf>
    <xf numFmtId="0" fontId="79" fillId="0" borderId="12" xfId="0" applyNumberFormat="1" applyFont="1" applyBorder="1" applyAlignment="1">
      <alignment horizontal="center" vertical="center"/>
    </xf>
    <xf numFmtId="0" fontId="79" fillId="0" borderId="0" xfId="0" applyNumberFormat="1" applyFont="1" applyBorder="1" applyAlignment="1" applyProtection="1">
      <alignment horizontal="right" vertical="center"/>
      <protection locked="0"/>
    </xf>
    <xf numFmtId="49" fontId="79" fillId="0" borderId="0" xfId="0" applyNumberFormat="1" applyFont="1" applyBorder="1" applyAlignment="1" applyProtection="1">
      <alignment horizontal="right" vertical="center"/>
      <protection locked="0"/>
    </xf>
    <xf numFmtId="49" fontId="79" fillId="0" borderId="13" xfId="0" applyNumberFormat="1" applyFont="1" applyBorder="1" applyAlignment="1">
      <alignment horizontal="right" vertical="center"/>
    </xf>
    <xf numFmtId="49" fontId="79" fillId="0" borderId="0" xfId="0" applyNumberFormat="1" applyFont="1" applyBorder="1" applyAlignment="1">
      <alignment horizontal="right" vertical="center"/>
    </xf>
    <xf numFmtId="49" fontId="119" fillId="0" borderId="15" xfId="0" applyNumberFormat="1" applyFont="1" applyBorder="1" applyAlignment="1">
      <alignment horizontal="center" vertical="center"/>
    </xf>
    <xf numFmtId="49" fontId="119" fillId="0" borderId="10" xfId="0" applyNumberFormat="1" applyFont="1" applyBorder="1" applyAlignment="1">
      <alignment horizontal="center" vertical="center"/>
    </xf>
    <xf numFmtId="49" fontId="119" fillId="0" borderId="14" xfId="0" applyNumberFormat="1" applyFont="1" applyBorder="1" applyAlignment="1">
      <alignment horizontal="center" vertical="center"/>
    </xf>
    <xf numFmtId="49" fontId="85" fillId="0" borderId="13" xfId="0" applyNumberFormat="1" applyFont="1" applyBorder="1" applyAlignment="1">
      <alignment horizontal="center" vertical="center"/>
    </xf>
    <xf numFmtId="49" fontId="85" fillId="0" borderId="0" xfId="0" applyNumberFormat="1" applyFont="1" applyBorder="1" applyAlignment="1">
      <alignment horizontal="center" vertical="center"/>
    </xf>
    <xf numFmtId="49" fontId="85" fillId="0" borderId="12" xfId="0" applyNumberFormat="1" applyFont="1" applyBorder="1" applyAlignment="1">
      <alignment horizontal="center" vertical="center"/>
    </xf>
    <xf numFmtId="49" fontId="119" fillId="0" borderId="12" xfId="0" applyNumberFormat="1" applyFont="1" applyBorder="1" applyAlignment="1">
      <alignment horizontal="center" vertical="center"/>
    </xf>
    <xf numFmtId="49" fontId="119" fillId="0" borderId="13" xfId="0" applyNumberFormat="1" applyFont="1" applyBorder="1" applyAlignment="1">
      <alignment horizontal="left" vertical="center"/>
    </xf>
    <xf numFmtId="49" fontId="119" fillId="0" borderId="0" xfId="0" applyNumberFormat="1" applyFont="1" applyBorder="1" applyAlignment="1">
      <alignment horizontal="left" vertical="center"/>
    </xf>
    <xf numFmtId="49" fontId="119" fillId="0" borderId="12" xfId="0" applyNumberFormat="1" applyFont="1" applyBorder="1" applyAlignment="1">
      <alignment horizontal="left" vertical="center"/>
    </xf>
    <xf numFmtId="178" fontId="79" fillId="0" borderId="0" xfId="0" applyNumberFormat="1" applyFont="1" applyBorder="1" applyAlignment="1">
      <alignment horizontal="center" vertical="center"/>
    </xf>
    <xf numFmtId="178" fontId="109" fillId="0" borderId="0" xfId="0" applyNumberFormat="1" applyFont="1" applyBorder="1" applyAlignment="1">
      <alignment horizontal="center" vertical="center"/>
    </xf>
    <xf numFmtId="178" fontId="109" fillId="0" borderId="12" xfId="0" applyNumberFormat="1" applyFont="1" applyBorder="1" applyAlignment="1">
      <alignment horizontal="center" vertical="center"/>
    </xf>
    <xf numFmtId="0" fontId="109" fillId="0" borderId="0" xfId="0" applyNumberFormat="1" applyFont="1" applyBorder="1" applyAlignment="1">
      <alignment horizontal="center" vertical="center"/>
    </xf>
    <xf numFmtId="0" fontId="109" fillId="0" borderId="12" xfId="0" applyNumberFormat="1" applyFont="1" applyBorder="1" applyAlignment="1">
      <alignment horizontal="center" vertical="center"/>
    </xf>
    <xf numFmtId="49" fontId="119" fillId="0" borderId="13" xfId="0" applyNumberFormat="1" applyFont="1" applyBorder="1" applyAlignment="1">
      <alignment horizontal="center" vertical="center" wrapText="1"/>
    </xf>
    <xf numFmtId="49" fontId="119" fillId="0" borderId="0" xfId="0" applyNumberFormat="1" applyFont="1" applyBorder="1" applyAlignment="1">
      <alignment horizontal="center" vertical="center" wrapText="1"/>
    </xf>
    <xf numFmtId="49" fontId="119" fillId="0" borderId="12" xfId="0" applyNumberFormat="1" applyFont="1" applyBorder="1" applyAlignment="1">
      <alignment horizontal="center" vertical="center" wrapText="1"/>
    </xf>
    <xf numFmtId="49" fontId="119" fillId="0" borderId="13" xfId="0" applyNumberFormat="1" applyFont="1" applyBorder="1" applyAlignment="1">
      <alignment horizontal="left"/>
    </xf>
    <xf numFmtId="49" fontId="119" fillId="0" borderId="0" xfId="0" applyNumberFormat="1" applyFont="1" applyBorder="1" applyAlignment="1">
      <alignment horizontal="left"/>
    </xf>
    <xf numFmtId="49" fontId="119" fillId="0" borderId="12" xfId="0" applyNumberFormat="1" applyFont="1" applyBorder="1" applyAlignment="1">
      <alignment horizontal="left"/>
    </xf>
    <xf numFmtId="181" fontId="79" fillId="0" borderId="0" xfId="0" applyNumberFormat="1" applyFont="1" applyBorder="1" applyAlignment="1">
      <alignment horizontal="center" vertical="center"/>
    </xf>
    <xf numFmtId="181" fontId="79" fillId="0" borderId="12" xfId="0" applyNumberFormat="1" applyFont="1" applyBorder="1" applyAlignment="1">
      <alignment horizontal="center" vertical="center"/>
    </xf>
    <xf numFmtId="0" fontId="100" fillId="0" borderId="0" xfId="0" applyFont="1" applyAlignment="1">
      <alignment horizontal="center" vertical="center"/>
    </xf>
    <xf numFmtId="0" fontId="78" fillId="0" borderId="0" xfId="0" applyFont="1" applyAlignment="1">
      <alignment horizontal="center" vertical="center"/>
    </xf>
    <xf numFmtId="0" fontId="78" fillId="0" borderId="12" xfId="0" applyFont="1" applyBorder="1" applyAlignment="1">
      <alignment horizontal="center" vertical="center"/>
    </xf>
    <xf numFmtId="49" fontId="119" fillId="0" borderId="17" xfId="0" applyNumberFormat="1" applyFont="1" applyBorder="1" applyAlignment="1">
      <alignment horizontal="center" vertical="center"/>
    </xf>
    <xf numFmtId="178" fontId="119" fillId="0" borderId="17" xfId="0" applyNumberFormat="1" applyFont="1" applyBorder="1" applyAlignment="1">
      <alignment horizontal="center" vertical="center"/>
    </xf>
    <xf numFmtId="49" fontId="119" fillId="0" borderId="60" xfId="0" applyNumberFormat="1" applyFont="1" applyBorder="1" applyAlignment="1">
      <alignment horizontal="center" vertical="center"/>
    </xf>
    <xf numFmtId="49" fontId="119" fillId="0" borderId="15" xfId="0" applyNumberFormat="1" applyFont="1" applyFill="1" applyBorder="1" applyAlignment="1">
      <alignment horizontal="left" wrapText="1"/>
    </xf>
    <xf numFmtId="49" fontId="119" fillId="0" borderId="10" xfId="0" applyNumberFormat="1" applyFont="1" applyFill="1" applyBorder="1" applyAlignment="1">
      <alignment horizontal="left" wrapText="1"/>
    </xf>
    <xf numFmtId="49" fontId="119" fillId="0" borderId="14" xfId="0" applyNumberFormat="1" applyFont="1" applyFill="1" applyBorder="1" applyAlignment="1">
      <alignment horizontal="left" wrapText="1"/>
    </xf>
    <xf numFmtId="49" fontId="119" fillId="0" borderId="11" xfId="0" applyNumberFormat="1" applyFont="1" applyBorder="1" applyAlignment="1">
      <alignment horizontal="center" vertical="center"/>
    </xf>
    <xf numFmtId="49" fontId="119" fillId="0" borderId="2" xfId="0" applyNumberFormat="1" applyFont="1" applyBorder="1" applyAlignment="1">
      <alignment horizontal="center" vertical="center"/>
    </xf>
    <xf numFmtId="49" fontId="119" fillId="0" borderId="3" xfId="0" applyNumberFormat="1" applyFont="1" applyBorder="1" applyAlignment="1">
      <alignment horizontal="center" vertical="center"/>
    </xf>
    <xf numFmtId="0" fontId="119" fillId="0" borderId="21" xfId="0" applyFont="1" applyBorder="1" applyAlignment="1">
      <alignment horizontal="center" vertical="center"/>
    </xf>
    <xf numFmtId="49" fontId="79" fillId="0" borderId="21" xfId="0" applyNumberFormat="1" applyFont="1" applyBorder="1" applyAlignment="1" applyProtection="1">
      <alignment horizontal="center" vertical="center"/>
      <protection locked="0"/>
    </xf>
    <xf numFmtId="0" fontId="119" fillId="0" borderId="13" xfId="0" applyFont="1" applyBorder="1" applyAlignment="1">
      <alignment horizontal="left"/>
    </xf>
    <xf numFmtId="0" fontId="119" fillId="0" borderId="0" xfId="0" applyFont="1" applyBorder="1" applyAlignment="1">
      <alignment horizontal="left"/>
    </xf>
    <xf numFmtId="0" fontId="119" fillId="0" borderId="12" xfId="0" applyFont="1" applyBorder="1" applyAlignment="1">
      <alignment horizontal="left"/>
    </xf>
    <xf numFmtId="49" fontId="79" fillId="0" borderId="61" xfId="0" applyNumberFormat="1" applyFont="1" applyBorder="1" applyAlignment="1" applyProtection="1">
      <alignment horizontal="center" vertical="center"/>
      <protection locked="0"/>
    </xf>
    <xf numFmtId="49" fontId="79" fillId="0" borderId="17" xfId="0" applyNumberFormat="1" applyFont="1" applyBorder="1" applyAlignment="1" applyProtection="1">
      <alignment horizontal="center" vertical="center"/>
      <protection locked="0"/>
    </xf>
    <xf numFmtId="49" fontId="79" fillId="0" borderId="60" xfId="0" applyNumberFormat="1" applyFont="1" applyBorder="1" applyAlignment="1" applyProtection="1">
      <alignment horizontal="center" vertical="center"/>
      <protection locked="0"/>
    </xf>
    <xf numFmtId="0" fontId="137" fillId="0" borderId="0" xfId="0" applyNumberFormat="1" applyFont="1" applyFill="1" applyBorder="1" applyAlignment="1" applyProtection="1">
      <alignment horizontal="center" wrapText="1"/>
    </xf>
    <xf numFmtId="0" fontId="137" fillId="0" borderId="68" xfId="0" applyNumberFormat="1" applyFont="1" applyFill="1" applyBorder="1" applyAlignment="1" applyProtection="1">
      <alignment horizontal="center" wrapText="1"/>
    </xf>
    <xf numFmtId="0" fontId="139" fillId="0" borderId="0" xfId="0" applyFont="1" applyFill="1" applyBorder="1" applyAlignment="1" applyProtection="1">
      <alignment horizontal="center"/>
      <protection locked="0"/>
    </xf>
    <xf numFmtId="0" fontId="139" fillId="0" borderId="68" xfId="0" applyFont="1" applyFill="1" applyBorder="1" applyAlignment="1" applyProtection="1">
      <alignment horizontal="center"/>
      <protection locked="0"/>
    </xf>
    <xf numFmtId="49" fontId="119" fillId="0" borderId="13" xfId="0" applyNumberFormat="1" applyFont="1" applyFill="1" applyBorder="1" applyAlignment="1">
      <alignment horizontal="left" wrapText="1"/>
    </xf>
    <xf numFmtId="49" fontId="119" fillId="0" borderId="0" xfId="0" applyNumberFormat="1" applyFont="1" applyFill="1" applyBorder="1" applyAlignment="1">
      <alignment horizontal="left" wrapText="1"/>
    </xf>
    <xf numFmtId="49" fontId="119" fillId="0" borderId="10" xfId="0" applyNumberFormat="1" applyFont="1" applyBorder="1" applyAlignment="1">
      <alignment horizontal="center"/>
    </xf>
    <xf numFmtId="0" fontId="103" fillId="0" borderId="17" xfId="0" applyFont="1" applyBorder="1" applyAlignment="1">
      <alignment horizontal="center" vertical="center" wrapText="1"/>
    </xf>
    <xf numFmtId="0" fontId="103" fillId="0" borderId="17" xfId="0" applyFont="1" applyBorder="1" applyAlignment="1">
      <alignment horizontal="center" vertical="center"/>
    </xf>
    <xf numFmtId="0" fontId="103" fillId="0" borderId="60" xfId="0" applyFont="1" applyBorder="1" applyAlignment="1">
      <alignment horizontal="center" vertical="center"/>
    </xf>
    <xf numFmtId="38" fontId="140" fillId="0" borderId="11" xfId="1" applyFont="1" applyFill="1" applyBorder="1" applyAlignment="1">
      <alignment horizontal="right" shrinkToFit="1"/>
    </xf>
    <xf numFmtId="38" fontId="140" fillId="0" borderId="2" xfId="1" applyFont="1" applyFill="1" applyBorder="1" applyAlignment="1">
      <alignment horizontal="right" shrinkToFit="1"/>
    </xf>
    <xf numFmtId="0" fontId="139" fillId="0" borderId="0" xfId="0" applyFont="1" applyFill="1" applyBorder="1" applyAlignment="1">
      <alignment horizontal="center"/>
    </xf>
    <xf numFmtId="0" fontId="139" fillId="0" borderId="68" xfId="0" applyFont="1" applyFill="1" applyBorder="1" applyAlignment="1">
      <alignment horizontal="center"/>
    </xf>
    <xf numFmtId="38" fontId="140" fillId="0" borderId="11" xfId="1" applyFont="1" applyFill="1" applyBorder="1" applyAlignment="1">
      <alignment horizontal="right" wrapText="1"/>
    </xf>
    <xf numFmtId="38" fontId="140" fillId="0" borderId="2" xfId="1" applyFont="1" applyFill="1" applyBorder="1" applyAlignment="1">
      <alignment horizontal="right" wrapText="1"/>
    </xf>
    <xf numFmtId="0" fontId="94" fillId="0" borderId="10" xfId="7" applyFont="1" applyBorder="1" applyAlignment="1" applyProtection="1">
      <alignment horizontal="center" vertical="center"/>
      <protection locked="0"/>
    </xf>
    <xf numFmtId="0" fontId="94" fillId="0" borderId="0" xfId="7" applyFont="1" applyBorder="1" applyAlignment="1" applyProtection="1">
      <alignment horizontal="center" vertical="center"/>
      <protection locked="0"/>
    </xf>
    <xf numFmtId="0" fontId="94" fillId="0" borderId="2" xfId="7" applyFont="1" applyBorder="1" applyAlignment="1" applyProtection="1">
      <alignment horizontal="center" vertical="center"/>
      <protection locked="0"/>
    </xf>
    <xf numFmtId="0" fontId="85" fillId="0" borderId="0" xfId="0" applyFont="1" applyBorder="1" applyAlignment="1">
      <alignment horizontal="left" vertical="center"/>
    </xf>
    <xf numFmtId="0" fontId="141" fillId="0" borderId="0" xfId="7" applyFont="1" applyBorder="1" applyAlignment="1">
      <alignment horizontal="center" vertical="center"/>
    </xf>
    <xf numFmtId="0" fontId="141" fillId="0" borderId="0" xfId="7" applyNumberFormat="1" applyFont="1" applyBorder="1" applyAlignment="1" applyProtection="1">
      <alignment horizontal="center" vertical="center"/>
    </xf>
    <xf numFmtId="0" fontId="141" fillId="0" borderId="2" xfId="7" applyNumberFormat="1" applyFont="1" applyBorder="1" applyAlignment="1" applyProtection="1">
      <alignment horizontal="center" vertical="center"/>
    </xf>
    <xf numFmtId="0" fontId="147" fillId="0" borderId="0" xfId="7" applyFont="1" applyBorder="1" applyAlignment="1">
      <alignment horizontal="center" vertical="center" wrapText="1"/>
    </xf>
    <xf numFmtId="0" fontId="147" fillId="0" borderId="0" xfId="7" applyFont="1" applyBorder="1" applyAlignment="1">
      <alignment horizontal="center" vertical="center"/>
    </xf>
    <xf numFmtId="0" fontId="142" fillId="0" borderId="0" xfId="7" applyNumberFormat="1" applyFont="1" applyBorder="1" applyAlignment="1" applyProtection="1">
      <alignment horizontal="center" vertical="center" shrinkToFit="1"/>
    </xf>
    <xf numFmtId="0" fontId="142" fillId="0" borderId="2" xfId="7" applyNumberFormat="1" applyFont="1" applyBorder="1" applyAlignment="1" applyProtection="1">
      <alignment horizontal="center" vertical="center" shrinkToFit="1"/>
    </xf>
    <xf numFmtId="0" fontId="85" fillId="0" borderId="290" xfId="0" applyFont="1" applyBorder="1" applyAlignment="1">
      <alignment horizontal="center" vertical="center" wrapText="1"/>
    </xf>
    <xf numFmtId="0" fontId="85" fillId="0" borderId="291" xfId="0" applyFont="1" applyBorder="1" applyAlignment="1">
      <alignment horizontal="center" vertical="center"/>
    </xf>
    <xf numFmtId="0" fontId="85" fillId="0" borderId="292" xfId="0" applyFont="1" applyBorder="1" applyAlignment="1">
      <alignment horizontal="center" vertical="center"/>
    </xf>
    <xf numFmtId="0" fontId="85" fillId="0" borderId="293" xfId="0" applyFont="1" applyBorder="1" applyAlignment="1">
      <alignment horizontal="center" vertical="center"/>
    </xf>
    <xf numFmtId="0" fontId="85" fillId="0" borderId="0" xfId="0" applyFont="1" applyBorder="1" applyAlignment="1">
      <alignment horizontal="center" vertical="center"/>
    </xf>
    <xf numFmtId="0" fontId="85" fillId="0" borderId="294" xfId="0" applyFont="1" applyBorder="1" applyAlignment="1">
      <alignment horizontal="center" vertical="center"/>
    </xf>
    <xf numFmtId="0" fontId="85" fillId="0" borderId="295" xfId="0" applyFont="1" applyBorder="1" applyAlignment="1">
      <alignment horizontal="center" vertical="center"/>
    </xf>
    <xf numFmtId="0" fontId="85" fillId="0" borderId="296" xfId="0" applyFont="1" applyBorder="1" applyAlignment="1">
      <alignment horizontal="center" vertical="center"/>
    </xf>
    <xf numFmtId="0" fontId="85" fillId="0" borderId="297" xfId="0" applyFont="1" applyBorder="1" applyAlignment="1">
      <alignment horizontal="center" vertical="center"/>
    </xf>
    <xf numFmtId="49" fontId="141" fillId="0" borderId="0" xfId="7" applyNumberFormat="1" applyFont="1" applyBorder="1" applyAlignment="1">
      <alignment horizontal="center" vertical="center"/>
    </xf>
    <xf numFmtId="0" fontId="141" fillId="0" borderId="2" xfId="7" applyFont="1" applyBorder="1" applyAlignment="1">
      <alignment horizontal="center" vertical="center"/>
    </xf>
    <xf numFmtId="0" fontId="141" fillId="0" borderId="0" xfId="7" applyNumberFormat="1" applyFont="1" applyBorder="1" applyAlignment="1">
      <alignment horizontal="center" vertical="center"/>
    </xf>
    <xf numFmtId="0" fontId="141" fillId="0" borderId="2" xfId="7" applyNumberFormat="1" applyFont="1" applyBorder="1" applyAlignment="1">
      <alignment horizontal="center" vertical="center"/>
    </xf>
    <xf numFmtId="181" fontId="141" fillId="0" borderId="0" xfId="7" applyNumberFormat="1" applyFont="1" applyBorder="1" applyAlignment="1" applyProtection="1">
      <alignment horizontal="center" vertical="center" shrinkToFit="1"/>
    </xf>
    <xf numFmtId="181" fontId="141" fillId="0" borderId="2" xfId="7" applyNumberFormat="1" applyFont="1" applyBorder="1" applyAlignment="1" applyProtection="1">
      <alignment horizontal="center" vertical="center" shrinkToFit="1"/>
    </xf>
    <xf numFmtId="181" fontId="141" fillId="0" borderId="0" xfId="7" applyNumberFormat="1" applyFont="1" applyBorder="1" applyAlignment="1" applyProtection="1">
      <alignment horizontal="center" vertical="center" shrinkToFit="1"/>
      <protection locked="0"/>
    </xf>
    <xf numFmtId="181" fontId="141" fillId="0" borderId="2" xfId="7" applyNumberFormat="1" applyFont="1" applyBorder="1" applyAlignment="1" applyProtection="1">
      <alignment horizontal="center" vertical="center" shrinkToFit="1"/>
      <protection locked="0"/>
    </xf>
    <xf numFmtId="0" fontId="94" fillId="0" borderId="0" xfId="7" applyFont="1" applyBorder="1" applyAlignment="1">
      <alignment horizontal="center" vertical="center"/>
    </xf>
    <xf numFmtId="0" fontId="142" fillId="0" borderId="0" xfId="7" applyFont="1" applyBorder="1" applyAlignment="1">
      <alignment horizontal="center" vertical="center" shrinkToFit="1"/>
    </xf>
    <xf numFmtId="0" fontId="142" fillId="0" borderId="2" xfId="7" applyFont="1" applyBorder="1" applyAlignment="1">
      <alignment horizontal="center" vertical="center" shrinkToFit="1"/>
    </xf>
    <xf numFmtId="0" fontId="94" fillId="0" borderId="10" xfId="7" applyFont="1" applyBorder="1" applyAlignment="1">
      <alignment horizontal="center" vertical="center"/>
    </xf>
    <xf numFmtId="0" fontId="94" fillId="0" borderId="2" xfId="7" applyFont="1" applyBorder="1" applyAlignment="1">
      <alignment horizontal="center" vertical="center"/>
    </xf>
    <xf numFmtId="181" fontId="141" fillId="0" borderId="0" xfId="7" applyNumberFormat="1" applyFont="1" applyBorder="1" applyAlignment="1" applyProtection="1">
      <alignment horizontal="center" vertical="center"/>
    </xf>
    <xf numFmtId="181" fontId="141" fillId="0" borderId="2" xfId="7" applyNumberFormat="1" applyFont="1" applyBorder="1" applyAlignment="1" applyProtection="1">
      <alignment horizontal="center" vertical="center"/>
    </xf>
    <xf numFmtId="0" fontId="91" fillId="0" borderId="61" xfId="8" applyFont="1" applyBorder="1" applyAlignment="1">
      <alignment horizontal="center" vertical="center" wrapText="1"/>
    </xf>
    <xf numFmtId="0" fontId="91" fillId="0" borderId="17" xfId="8" applyFont="1" applyBorder="1" applyAlignment="1">
      <alignment horizontal="center" vertical="center" wrapText="1"/>
    </xf>
    <xf numFmtId="0" fontId="91" fillId="0" borderId="60" xfId="8" applyFont="1" applyBorder="1" applyAlignment="1">
      <alignment horizontal="center" vertical="center" wrapText="1"/>
    </xf>
    <xf numFmtId="0" fontId="100" fillId="0" borderId="367" xfId="8" applyFont="1" applyBorder="1" applyAlignment="1">
      <alignment horizontal="center" vertical="center" textRotation="255"/>
    </xf>
    <xf numFmtId="0" fontId="100" fillId="0" borderId="125" xfId="8" applyFont="1" applyBorder="1" applyAlignment="1">
      <alignment horizontal="center" vertical="center" textRotation="255"/>
    </xf>
    <xf numFmtId="0" fontId="100" fillId="0" borderId="125" xfId="8" applyFont="1" applyBorder="1" applyAlignment="1">
      <alignment horizontal="right" vertical="center"/>
    </xf>
    <xf numFmtId="0" fontId="80" fillId="0" borderId="0" xfId="8" applyFont="1">
      <alignment vertical="center"/>
    </xf>
    <xf numFmtId="0" fontId="100" fillId="0" borderId="368" xfId="8" applyFont="1" applyBorder="1" applyAlignment="1">
      <alignment horizontal="center" vertical="center"/>
    </xf>
    <xf numFmtId="0" fontId="100" fillId="0" borderId="17" xfId="8" applyFont="1" applyBorder="1" applyAlignment="1">
      <alignment horizontal="center" vertical="center"/>
    </xf>
    <xf numFmtId="0" fontId="106" fillId="0" borderId="21" xfId="8" applyFont="1" applyBorder="1" applyAlignment="1">
      <alignment horizontal="center" vertical="center" wrapText="1"/>
    </xf>
    <xf numFmtId="0" fontId="106" fillId="0" borderId="21" xfId="8" applyFont="1" applyBorder="1" applyAlignment="1">
      <alignment horizontal="center" vertical="center"/>
    </xf>
    <xf numFmtId="0" fontId="210" fillId="0" borderId="15" xfId="8" applyFont="1" applyBorder="1" applyAlignment="1">
      <alignment horizontal="center" vertical="center" wrapText="1"/>
    </xf>
    <xf numFmtId="0" fontId="210" fillId="0" borderId="14" xfId="8" applyFont="1" applyBorder="1" applyAlignment="1">
      <alignment horizontal="center" vertical="center" wrapText="1"/>
    </xf>
    <xf numFmtId="0" fontId="210" fillId="0" borderId="11" xfId="8" applyFont="1" applyBorder="1" applyAlignment="1">
      <alignment horizontal="center" vertical="center" wrapText="1"/>
    </xf>
    <xf numFmtId="0" fontId="210" fillId="0" borderId="3" xfId="8" applyFont="1" applyBorder="1" applyAlignment="1">
      <alignment horizontal="center" vertical="center" wrapText="1"/>
    </xf>
    <xf numFmtId="0" fontId="91" fillId="0" borderId="61" xfId="8" applyFont="1" applyBorder="1" applyAlignment="1" applyProtection="1">
      <alignment horizontal="center" vertical="center" wrapText="1"/>
      <protection locked="0"/>
    </xf>
    <xf numFmtId="0" fontId="91" fillId="0" borderId="60" xfId="8" applyFont="1" applyBorder="1" applyAlignment="1" applyProtection="1">
      <alignment horizontal="center" vertical="center" wrapText="1"/>
      <protection locked="0"/>
    </xf>
    <xf numFmtId="0" fontId="91" fillId="0" borderId="15" xfId="8" applyFont="1" applyBorder="1" applyAlignment="1" applyProtection="1">
      <alignment horizontal="center" vertical="center" wrapText="1"/>
      <protection locked="0"/>
    </xf>
    <xf numFmtId="0" fontId="91" fillId="0" borderId="14" xfId="8" applyFont="1" applyBorder="1" applyAlignment="1" applyProtection="1">
      <alignment horizontal="center" vertical="center" wrapText="1"/>
      <protection locked="0"/>
    </xf>
    <xf numFmtId="0" fontId="100" fillId="0" borderId="125" xfId="8" applyFont="1" applyBorder="1" applyAlignment="1">
      <alignment horizontal="center" vertical="center"/>
    </xf>
    <xf numFmtId="0" fontId="100" fillId="0" borderId="125" xfId="8" applyFont="1" applyBorder="1">
      <alignment vertical="center"/>
    </xf>
    <xf numFmtId="0" fontId="91" fillId="0" borderId="11" xfId="8" applyFont="1" applyBorder="1" applyAlignment="1" applyProtection="1">
      <alignment horizontal="center" vertical="center" wrapText="1"/>
      <protection locked="0"/>
    </xf>
    <xf numFmtId="0" fontId="91" fillId="0" borderId="3" xfId="8" applyFont="1" applyBorder="1" applyAlignment="1" applyProtection="1">
      <alignment horizontal="center" vertical="center" wrapText="1"/>
      <protection locked="0"/>
    </xf>
    <xf numFmtId="0" fontId="100" fillId="0" borderId="118" xfId="8" applyFont="1" applyBorder="1" applyAlignment="1">
      <alignment horizontal="right" vertical="center"/>
    </xf>
    <xf numFmtId="0" fontId="100" fillId="0" borderId="133" xfId="8" applyFont="1" applyBorder="1" applyAlignment="1">
      <alignment horizontal="right" vertical="center"/>
    </xf>
    <xf numFmtId="0" fontId="100" fillId="0" borderId="133" xfId="8" applyFont="1" applyBorder="1" applyAlignment="1">
      <alignment horizontal="left" vertical="center"/>
    </xf>
    <xf numFmtId="0" fontId="100" fillId="0" borderId="134" xfId="8" applyFont="1" applyBorder="1" applyAlignment="1">
      <alignment horizontal="left" vertical="center"/>
    </xf>
    <xf numFmtId="0" fontId="210" fillId="0" borderId="356" xfId="8" applyFont="1" applyBorder="1" applyAlignment="1">
      <alignment horizontal="center" vertical="center"/>
    </xf>
    <xf numFmtId="0" fontId="210" fillId="0" borderId="125" xfId="8" applyFont="1" applyBorder="1" applyAlignment="1">
      <alignment horizontal="center" vertical="center"/>
    </xf>
    <xf numFmtId="0" fontId="210" fillId="0" borderId="4" xfId="8" applyFont="1" applyBorder="1" applyAlignment="1">
      <alignment horizontal="center" vertical="center"/>
    </xf>
    <xf numFmtId="0" fontId="91" fillId="0" borderId="34" xfId="8" applyFont="1" applyBorder="1" applyAlignment="1" applyProtection="1">
      <alignment horizontal="center" vertical="center"/>
      <protection locked="0"/>
    </xf>
    <xf numFmtId="0" fontId="91" fillId="0" borderId="38" xfId="8" applyFont="1" applyBorder="1" applyAlignment="1" applyProtection="1">
      <alignment horizontal="center" vertical="center"/>
      <protection locked="0"/>
    </xf>
    <xf numFmtId="0" fontId="91" fillId="0" borderId="21" xfId="8" applyFont="1" applyBorder="1" applyAlignment="1">
      <alignment horizontal="center" vertical="center"/>
    </xf>
    <xf numFmtId="0" fontId="91" fillId="0" borderId="61" xfId="8" applyFont="1" applyBorder="1" applyAlignment="1">
      <alignment horizontal="center" vertical="center"/>
    </xf>
    <xf numFmtId="0" fontId="210" fillId="0" borderId="354" xfId="8" applyFont="1" applyBorder="1" applyAlignment="1">
      <alignment horizontal="center" vertical="center"/>
    </xf>
    <xf numFmtId="0" fontId="210" fillId="0" borderId="8" xfId="8" applyFont="1" applyBorder="1" applyAlignment="1">
      <alignment horizontal="center" vertical="center"/>
    </xf>
    <xf numFmtId="0" fontId="210" fillId="0" borderId="127" xfId="8" applyFont="1" applyBorder="1" applyAlignment="1">
      <alignment horizontal="center" vertical="center"/>
    </xf>
    <xf numFmtId="0" fontId="80" fillId="0" borderId="11" xfId="8" applyFont="1" applyBorder="1" applyAlignment="1" applyProtection="1">
      <alignment horizontal="center" vertical="center"/>
      <protection locked="0"/>
    </xf>
    <xf numFmtId="0" fontId="80" fillId="0" borderId="2" xfId="8" applyFont="1" applyBorder="1" applyAlignment="1" applyProtection="1">
      <alignment horizontal="center" vertical="center"/>
      <protection locked="0"/>
    </xf>
    <xf numFmtId="0" fontId="80" fillId="0" borderId="3" xfId="8" applyFont="1" applyBorder="1" applyAlignment="1" applyProtection="1">
      <alignment horizontal="center" vertical="center"/>
      <protection locked="0"/>
    </xf>
    <xf numFmtId="0" fontId="91" fillId="0" borderId="34" xfId="8" applyFont="1" applyBorder="1" applyAlignment="1">
      <alignment horizontal="center" vertical="center"/>
    </xf>
    <xf numFmtId="0" fontId="91" fillId="0" borderId="38" xfId="8" applyFont="1" applyBorder="1" applyAlignment="1">
      <alignment horizontal="center" vertical="center"/>
    </xf>
    <xf numFmtId="0" fontId="91" fillId="0" borderId="39" xfId="8" applyFont="1" applyBorder="1" applyAlignment="1">
      <alignment horizontal="center" vertical="center"/>
    </xf>
    <xf numFmtId="0" fontId="91" fillId="0" borderId="15" xfId="8" applyFont="1" applyBorder="1" applyAlignment="1">
      <alignment horizontal="center" vertical="center"/>
    </xf>
    <xf numFmtId="0" fontId="91" fillId="0" borderId="13" xfId="8" applyFont="1" applyBorder="1" applyAlignment="1">
      <alignment horizontal="center" vertical="center"/>
    </xf>
    <xf numFmtId="0" fontId="91" fillId="0" borderId="11" xfId="8" applyFont="1" applyBorder="1" applyAlignment="1">
      <alignment horizontal="center" vertical="center"/>
    </xf>
    <xf numFmtId="0" fontId="210" fillId="0" borderId="11" xfId="8" applyFont="1" applyBorder="1" applyAlignment="1" applyProtection="1">
      <alignment horizontal="center" vertical="center"/>
      <protection locked="0"/>
    </xf>
    <xf numFmtId="0" fontId="210" fillId="0" borderId="2" xfId="8" applyFont="1" applyBorder="1" applyAlignment="1" applyProtection="1">
      <alignment horizontal="center" vertical="center"/>
      <protection locked="0"/>
    </xf>
    <xf numFmtId="0" fontId="210" fillId="0" borderId="3" xfId="8" applyFont="1" applyBorder="1" applyAlignment="1" applyProtection="1">
      <alignment horizontal="center" vertical="center"/>
      <protection locked="0"/>
    </xf>
    <xf numFmtId="0" fontId="80" fillId="0" borderId="15" xfId="8" applyFont="1" applyBorder="1" applyAlignment="1" applyProtection="1">
      <alignment vertical="center" wrapText="1"/>
      <protection locked="0"/>
    </xf>
    <xf numFmtId="0" fontId="80" fillId="0" borderId="10" xfId="8" applyFont="1" applyBorder="1" applyAlignment="1" applyProtection="1">
      <alignment vertical="center" wrapText="1"/>
      <protection locked="0"/>
    </xf>
    <xf numFmtId="0" fontId="80" fillId="0" borderId="14" xfId="8" applyFont="1" applyBorder="1" applyAlignment="1" applyProtection="1">
      <alignment vertical="center" wrapText="1"/>
      <protection locked="0"/>
    </xf>
    <xf numFmtId="0" fontId="80" fillId="0" borderId="13" xfId="8" applyFont="1" applyBorder="1" applyAlignment="1" applyProtection="1">
      <alignment vertical="center" wrapText="1"/>
      <protection locked="0"/>
    </xf>
    <xf numFmtId="0" fontId="80" fillId="0" borderId="0" xfId="8" applyFont="1" applyAlignment="1" applyProtection="1">
      <alignment vertical="center" wrapText="1"/>
      <protection locked="0"/>
    </xf>
    <xf numFmtId="0" fontId="80" fillId="0" borderId="12" xfId="8" applyFont="1" applyBorder="1" applyAlignment="1" applyProtection="1">
      <alignment vertical="center" wrapText="1"/>
      <protection locked="0"/>
    </xf>
    <xf numFmtId="0" fontId="80" fillId="0" borderId="11" xfId="8" applyFont="1" applyBorder="1" applyAlignment="1" applyProtection="1">
      <alignment vertical="center" wrapText="1"/>
      <protection locked="0"/>
    </xf>
    <xf numFmtId="0" fontId="80" fillId="0" borderId="2" xfId="8" applyFont="1" applyBorder="1" applyAlignment="1" applyProtection="1">
      <alignment vertical="center" wrapText="1"/>
      <protection locked="0"/>
    </xf>
    <xf numFmtId="0" fontId="80" fillId="0" borderId="3" xfId="8" applyFont="1" applyBorder="1" applyAlignment="1" applyProtection="1">
      <alignment vertical="center" wrapText="1"/>
      <protection locked="0"/>
    </xf>
    <xf numFmtId="0" fontId="210" fillId="0" borderId="355" xfId="8" applyFont="1" applyBorder="1" applyAlignment="1">
      <alignment horizontal="center" vertical="center"/>
    </xf>
    <xf numFmtId="0" fontId="80" fillId="0" borderId="13" xfId="8" applyFont="1" applyBorder="1" applyAlignment="1" applyProtection="1">
      <alignment horizontal="center" vertical="center"/>
      <protection locked="0"/>
    </xf>
    <xf numFmtId="0" fontId="80" fillId="0" borderId="0" xfId="8" applyFont="1" applyAlignment="1" applyProtection="1">
      <alignment horizontal="center" vertical="center"/>
      <protection locked="0"/>
    </xf>
    <xf numFmtId="0" fontId="80" fillId="0" borderId="12" xfId="8" applyFont="1" applyBorder="1" applyAlignment="1" applyProtection="1">
      <alignment horizontal="center" vertical="center"/>
      <protection locked="0"/>
    </xf>
    <xf numFmtId="49" fontId="80" fillId="0" borderId="13" xfId="8" applyNumberFormat="1" applyFont="1" applyBorder="1" applyAlignment="1">
      <alignment horizontal="center" vertical="center"/>
    </xf>
    <xf numFmtId="0" fontId="80" fillId="0" borderId="0" xfId="8" applyNumberFormat="1" applyFont="1" applyAlignment="1">
      <alignment horizontal="center" vertical="center"/>
    </xf>
    <xf numFmtId="0" fontId="80" fillId="0" borderId="12" xfId="8" applyNumberFormat="1" applyFont="1" applyBorder="1" applyAlignment="1">
      <alignment horizontal="center" vertical="center"/>
    </xf>
    <xf numFmtId="0" fontId="210" fillId="0" borderId="13" xfId="8" applyFont="1" applyBorder="1" applyAlignment="1" applyProtection="1">
      <alignment horizontal="center" vertical="center"/>
      <protection locked="0"/>
    </xf>
    <xf numFmtId="0" fontId="210" fillId="0" borderId="0" xfId="8" applyFont="1" applyAlignment="1" applyProtection="1">
      <alignment horizontal="center" vertical="center"/>
      <protection locked="0"/>
    </xf>
    <xf numFmtId="0" fontId="210" fillId="0" borderId="12" xfId="8" applyFont="1" applyBorder="1" applyAlignment="1" applyProtection="1">
      <alignment horizontal="center" vertical="center"/>
      <protection locked="0"/>
    </xf>
    <xf numFmtId="0" fontId="210" fillId="0" borderId="13" xfId="8" applyFont="1" applyBorder="1" applyAlignment="1">
      <alignment horizontal="center" vertical="center"/>
    </xf>
    <xf numFmtId="0" fontId="210" fillId="0" borderId="0" xfId="8" applyFont="1" applyAlignment="1">
      <alignment horizontal="center" vertical="center"/>
    </xf>
    <xf numFmtId="0" fontId="210" fillId="0" borderId="12" xfId="8" applyFont="1" applyBorder="1" applyAlignment="1">
      <alignment horizontal="center" vertical="center"/>
    </xf>
    <xf numFmtId="0" fontId="80" fillId="0" borderId="365" xfId="8" applyFont="1" applyBorder="1" applyAlignment="1" applyProtection="1">
      <alignment horizontal="center" vertical="center"/>
      <protection locked="0"/>
    </xf>
    <xf numFmtId="0" fontId="80" fillId="0" borderId="133" xfId="8" applyFont="1" applyBorder="1" applyAlignment="1" applyProtection="1">
      <alignment horizontal="center" vertical="center"/>
      <protection locked="0"/>
    </xf>
    <xf numFmtId="0" fontId="80" fillId="0" borderId="134" xfId="8" applyFont="1" applyBorder="1" applyAlignment="1" applyProtection="1">
      <alignment horizontal="center" vertical="center"/>
      <protection locked="0"/>
    </xf>
    <xf numFmtId="0" fontId="210" fillId="0" borderId="365" xfId="8" applyFont="1" applyBorder="1" applyAlignment="1" applyProtection="1">
      <alignment horizontal="center" vertical="center"/>
      <protection locked="0"/>
    </xf>
    <xf numFmtId="0" fontId="210" fillId="0" borderId="133" xfId="8" applyFont="1" applyBorder="1" applyAlignment="1" applyProtection="1">
      <alignment horizontal="center" vertical="center"/>
      <protection locked="0"/>
    </xf>
    <xf numFmtId="0" fontId="210" fillId="0" borderId="134" xfId="8" applyFont="1" applyBorder="1" applyAlignment="1" applyProtection="1">
      <alignment horizontal="center" vertical="center"/>
      <protection locked="0"/>
    </xf>
    <xf numFmtId="0" fontId="210" fillId="0" borderId="61" xfId="8" applyFont="1" applyBorder="1" applyAlignment="1" applyProtection="1">
      <alignment horizontal="center" vertical="center"/>
      <protection locked="0"/>
    </xf>
    <xf numFmtId="0" fontId="210" fillId="0" borderId="17" xfId="8" applyFont="1" applyBorder="1" applyAlignment="1" applyProtection="1">
      <alignment horizontal="center" vertical="center"/>
      <protection locked="0"/>
    </xf>
    <xf numFmtId="0" fontId="210" fillId="0" borderId="60" xfId="8" applyFont="1" applyBorder="1" applyAlignment="1" applyProtection="1">
      <alignment horizontal="center" vertical="center"/>
      <protection locked="0"/>
    </xf>
    <xf numFmtId="0" fontId="210" fillId="0" borderId="61" xfId="8" applyFont="1" applyBorder="1" applyAlignment="1">
      <alignment horizontal="center" vertical="center"/>
    </xf>
    <xf numFmtId="0" fontId="210" fillId="0" borderId="17" xfId="8" applyFont="1" applyBorder="1" applyAlignment="1">
      <alignment horizontal="center" vertical="center"/>
    </xf>
    <xf numFmtId="0" fontId="210" fillId="0" borderId="60" xfId="8" applyFont="1" applyBorder="1" applyAlignment="1">
      <alignment horizontal="center" vertical="center"/>
    </xf>
    <xf numFmtId="0" fontId="100" fillId="0" borderId="364" xfId="8" applyFont="1" applyBorder="1" applyAlignment="1">
      <alignment horizontal="center" vertical="center"/>
    </xf>
    <xf numFmtId="0" fontId="100" fillId="0" borderId="363" xfId="8" applyFont="1" applyBorder="1" applyAlignment="1">
      <alignment horizontal="center" vertical="center"/>
    </xf>
    <xf numFmtId="0" fontId="100" fillId="0" borderId="361" xfId="8" applyFont="1" applyBorder="1" applyAlignment="1">
      <alignment horizontal="left" vertical="center"/>
    </xf>
    <xf numFmtId="0" fontId="100" fillId="0" borderId="0" xfId="8" applyFont="1" applyAlignment="1">
      <alignment horizontal="left" vertical="center"/>
    </xf>
    <xf numFmtId="0" fontId="100" fillId="0" borderId="360" xfId="8" applyFont="1" applyBorder="1" applyAlignment="1">
      <alignment horizontal="left" vertical="center"/>
    </xf>
    <xf numFmtId="0" fontId="100" fillId="0" borderId="359" xfId="8" applyFont="1" applyBorder="1" applyAlignment="1">
      <alignment horizontal="left" vertical="center"/>
    </xf>
    <xf numFmtId="0" fontId="100" fillId="0" borderId="358" xfId="8" applyFont="1" applyBorder="1" applyAlignment="1">
      <alignment horizontal="left" vertical="center"/>
    </xf>
    <xf numFmtId="0" fontId="100" fillId="0" borderId="357" xfId="8" applyFont="1" applyBorder="1" applyAlignment="1">
      <alignment horizontal="left" vertical="center"/>
    </xf>
    <xf numFmtId="0" fontId="100" fillId="0" borderId="12" xfId="8" applyFont="1" applyBorder="1" applyAlignment="1">
      <alignment horizontal="left" vertical="center"/>
    </xf>
    <xf numFmtId="49" fontId="78" fillId="0" borderId="0" xfId="0" applyNumberFormat="1" applyFont="1" applyFill="1" applyBorder="1" applyAlignment="1" applyProtection="1">
      <alignment horizontal="right" vertical="center"/>
      <protection locked="0"/>
    </xf>
    <xf numFmtId="49" fontId="78" fillId="0" borderId="0" xfId="0" applyNumberFormat="1" applyFont="1" applyBorder="1" applyAlignment="1">
      <alignment horizontal="right" vertical="center"/>
    </xf>
    <xf numFmtId="0" fontId="143" fillId="0" borderId="0" xfId="0" applyNumberFormat="1" applyFont="1" applyFill="1" applyBorder="1" applyAlignment="1" applyProtection="1">
      <alignment horizontal="center" vertical="center"/>
      <protection locked="0"/>
    </xf>
    <xf numFmtId="0" fontId="116" fillId="0" borderId="0" xfId="0" applyNumberFormat="1" applyFont="1" applyFill="1" applyBorder="1" applyAlignment="1" applyProtection="1">
      <alignment horizontal="center" vertical="center"/>
      <protection locked="0"/>
    </xf>
    <xf numFmtId="183" fontId="143" fillId="0" borderId="0" xfId="0" applyNumberFormat="1" applyFont="1" applyFill="1" applyBorder="1" applyAlignment="1" applyProtection="1">
      <alignment horizontal="center" vertical="center"/>
      <protection locked="0"/>
    </xf>
    <xf numFmtId="49" fontId="136" fillId="7" borderId="0" xfId="0" applyNumberFormat="1" applyFont="1" applyFill="1" applyBorder="1" applyAlignment="1">
      <alignment horizontal="center" vertical="center"/>
    </xf>
    <xf numFmtId="49" fontId="100" fillId="0" borderId="0" xfId="0" applyNumberFormat="1" applyFont="1" applyBorder="1" applyAlignment="1" applyProtection="1">
      <alignment horizontal="center" vertical="center"/>
      <protection locked="0"/>
    </xf>
    <xf numFmtId="49" fontId="100" fillId="0" borderId="0" xfId="0" applyNumberFormat="1" applyFont="1" applyBorder="1" applyAlignment="1" applyProtection="1">
      <alignment horizontal="right" vertical="center"/>
      <protection locked="0"/>
    </xf>
    <xf numFmtId="49" fontId="78" fillId="0" borderId="0" xfId="0" applyNumberFormat="1" applyFont="1" applyBorder="1" applyAlignment="1" applyProtection="1">
      <alignment horizontal="left" vertical="center"/>
      <protection locked="0"/>
    </xf>
    <xf numFmtId="49" fontId="78" fillId="0" borderId="0" xfId="0" applyNumberFormat="1" applyFont="1" applyBorder="1" applyAlignment="1">
      <alignment horizontal="left" vertical="center"/>
    </xf>
    <xf numFmtId="0" fontId="78" fillId="0" borderId="0" xfId="0" applyNumberFormat="1" applyFont="1" applyBorder="1" applyAlignment="1" applyProtection="1">
      <alignment horizontal="right" vertical="center"/>
      <protection locked="0"/>
    </xf>
  </cellXfs>
  <cellStyles count="16">
    <cellStyle name="ハイパーリンク" xfId="12" builtinId="8"/>
    <cellStyle name="桁区切り" xfId="1" builtinId="6"/>
    <cellStyle name="桁区切り 2" xfId="2" xr:uid="{00000000-0005-0000-0000-000002000000}"/>
    <cellStyle name="桁区切り 2 2" xfId="3" xr:uid="{00000000-0005-0000-0000-000003000000}"/>
    <cellStyle name="通貨" xfId="4" builtinId="7"/>
    <cellStyle name="通貨 2" xfId="5" xr:uid="{00000000-0005-0000-0000-000005000000}"/>
    <cellStyle name="通貨 2 2" xfId="6" xr:uid="{00000000-0005-0000-0000-000006000000}"/>
    <cellStyle name="通貨 2 2 2" xfId="15" xr:uid="{00000000-0005-0000-0000-000007000000}"/>
    <cellStyle name="通貨 2 3" xfId="14" xr:uid="{00000000-0005-0000-0000-000008000000}"/>
    <cellStyle name="通貨 3" xfId="13" xr:uid="{00000000-0005-0000-0000-000009000000}"/>
    <cellStyle name="標準" xfId="0" builtinId="0"/>
    <cellStyle name="標準 2" xfId="7" xr:uid="{00000000-0005-0000-0000-00000B000000}"/>
    <cellStyle name="標準 2 2" xfId="8" xr:uid="{00000000-0005-0000-0000-00000C000000}"/>
    <cellStyle name="標準 3" xfId="9" xr:uid="{00000000-0005-0000-0000-00000D000000}"/>
    <cellStyle name="標準 5" xfId="10" xr:uid="{00000000-0005-0000-0000-00000E000000}"/>
    <cellStyle name="標準 6" xfId="11" xr:uid="{00000000-0005-0000-0000-00000F000000}"/>
  </cellStyles>
  <dxfs count="555">
    <dxf>
      <font>
        <b/>
        <i val="0"/>
      </font>
      <fill>
        <patternFill>
          <bgColor rgb="FFFFFF00"/>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9" tint="0.39994506668294322"/>
        </patternFill>
      </fill>
    </dxf>
    <dxf>
      <fill>
        <patternFill>
          <bgColor theme="9" tint="0.3999450666829432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8" tint="0.59996337778862885"/>
        </patternFill>
      </fill>
    </dxf>
    <dxf>
      <fill>
        <patternFill>
          <bgColor theme="9" tint="0.39994506668294322"/>
        </patternFill>
      </fill>
    </dxf>
    <dxf>
      <font>
        <color theme="0"/>
      </font>
    </dxf>
    <dxf>
      <font>
        <color theme="0"/>
      </font>
    </dxf>
    <dxf>
      <font>
        <color theme="0"/>
      </font>
    </dxf>
    <dxf>
      <font>
        <color theme="0"/>
      </font>
    </dxf>
    <dxf>
      <fill>
        <patternFill>
          <bgColor theme="6" tint="0.79998168889431442"/>
        </patternFill>
      </fill>
    </dxf>
    <dxf>
      <font>
        <color theme="0"/>
      </font>
      <fill>
        <patternFill patternType="none">
          <bgColor auto="1"/>
        </patternFill>
      </fill>
    </dxf>
    <dxf>
      <font>
        <color theme="0"/>
      </font>
    </dxf>
    <dxf>
      <font>
        <color theme="2" tint="-9.9948118533890809E-2"/>
        <name val="ＭＳ Ｐゴシック"/>
        <scheme val="none"/>
      </font>
    </dxf>
    <dxf>
      <font>
        <color theme="0"/>
      </font>
    </dxf>
    <dxf>
      <font>
        <color theme="2" tint="-9.9948118533890809E-2"/>
        <name val="ＭＳ Ｐゴシック"/>
        <scheme val="none"/>
      </font>
    </dxf>
    <dxf>
      <font>
        <color theme="0"/>
      </font>
    </dxf>
    <dxf>
      <font>
        <color theme="0"/>
      </font>
    </dxf>
    <dxf>
      <fill>
        <patternFill>
          <bgColor theme="6" tint="0.79998168889431442"/>
        </patternFill>
      </fill>
    </dxf>
    <dxf>
      <font>
        <color theme="0"/>
      </font>
    </dxf>
    <dxf>
      <font>
        <color theme="0"/>
        <name val="ＭＳ Ｐゴシック"/>
        <scheme val="none"/>
      </font>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ont>
        <color theme="0"/>
      </font>
    </dxf>
    <dxf>
      <font>
        <strike val="0"/>
        <color theme="0"/>
      </font>
    </dxf>
    <dxf>
      <font>
        <color theme="0"/>
      </font>
    </dxf>
    <dxf>
      <font>
        <color theme="0"/>
      </font>
    </dxf>
    <dxf>
      <font>
        <strike val="0"/>
        <color theme="0"/>
      </font>
    </dxf>
    <dxf>
      <font>
        <color theme="0"/>
      </font>
    </dxf>
    <dxf>
      <font>
        <color theme="0"/>
      </font>
    </dxf>
    <dxf>
      <font>
        <color theme="0"/>
      </font>
    </dxf>
    <dxf>
      <font>
        <strike val="0"/>
        <color theme="0"/>
      </font>
    </dxf>
    <dxf>
      <font>
        <color theme="0"/>
      </font>
      <fill>
        <patternFill patternType="none">
          <bgColor auto="1"/>
        </patternFill>
      </fill>
    </dxf>
    <dxf>
      <font>
        <color theme="0"/>
      </font>
    </dxf>
    <dxf>
      <font>
        <color theme="0"/>
      </font>
    </dxf>
    <dxf>
      <font>
        <color theme="2" tint="-9.9948118533890809E-2"/>
        <name val="ＭＳ Ｐゴシック"/>
        <scheme val="none"/>
      </font>
    </dxf>
    <dxf>
      <font>
        <color theme="0"/>
      </font>
    </dxf>
    <dxf>
      <font>
        <color theme="0"/>
      </font>
    </dxf>
    <dxf>
      <font>
        <color theme="2" tint="-9.9948118533890809E-2"/>
        <name val="ＭＳ Ｐゴシック"/>
        <scheme val="none"/>
      </font>
    </dxf>
    <dxf>
      <font>
        <color theme="0"/>
      </font>
    </dxf>
    <dxf>
      <font>
        <color theme="0"/>
        <name val="ＭＳ Ｐゴシック"/>
        <scheme val="none"/>
      </font>
    </dxf>
    <dxf>
      <font>
        <color theme="0"/>
      </font>
    </dxf>
    <dxf>
      <font>
        <color theme="0"/>
      </font>
    </dxf>
    <dxf>
      <font>
        <strike val="0"/>
        <color theme="0"/>
      </font>
    </dxf>
    <dxf>
      <font>
        <color theme="0"/>
      </font>
    </dxf>
    <dxf>
      <font>
        <color theme="0"/>
      </font>
    </dxf>
    <dxf>
      <font>
        <color theme="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strike val="0"/>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ill>
        <patternFill>
          <bgColor theme="6" tint="0.79998168889431442"/>
        </patternFill>
      </fill>
    </dxf>
    <dxf>
      <font>
        <color theme="0"/>
      </font>
      <fill>
        <patternFill patternType="none">
          <bgColor auto="1"/>
        </patternFill>
      </fill>
    </dxf>
    <dxf>
      <font>
        <color theme="0"/>
      </font>
    </dxf>
    <dxf>
      <font>
        <color theme="2" tint="-9.9948118533890809E-2"/>
        <name val="ＭＳ Ｐゴシック"/>
        <scheme val="none"/>
      </font>
    </dxf>
    <dxf>
      <font>
        <color theme="0"/>
      </font>
    </dxf>
    <dxf>
      <font>
        <color theme="2" tint="-9.9948118533890809E-2"/>
        <name val="ＭＳ Ｐゴシック"/>
        <scheme val="none"/>
      </font>
    </dxf>
    <dxf>
      <font>
        <color theme="0"/>
      </font>
    </dxf>
    <dxf>
      <font>
        <color theme="0"/>
      </font>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ont>
        <color theme="0"/>
      </font>
    </dxf>
    <dxf>
      <font>
        <strike val="0"/>
        <color theme="0"/>
      </font>
    </dxf>
    <dxf>
      <font>
        <color theme="0"/>
      </font>
    </dxf>
    <dxf>
      <font>
        <color theme="0"/>
      </font>
    </dxf>
    <dxf>
      <font>
        <strike val="0"/>
        <color theme="0"/>
      </font>
    </dxf>
    <dxf>
      <font>
        <color theme="0"/>
      </font>
    </dxf>
    <dxf>
      <font>
        <color theme="0"/>
      </font>
    </dxf>
    <dxf>
      <font>
        <color theme="0"/>
      </font>
    </dxf>
    <dxf>
      <font>
        <strike val="0"/>
        <color theme="0"/>
      </font>
    </dxf>
    <dxf>
      <font>
        <color theme="0"/>
      </font>
      <fill>
        <patternFill patternType="none">
          <bgColor auto="1"/>
        </patternFill>
      </fill>
    </dxf>
    <dxf>
      <font>
        <color theme="0"/>
      </font>
    </dxf>
    <dxf>
      <font>
        <color theme="0"/>
      </font>
    </dxf>
    <dxf>
      <font>
        <color theme="2" tint="-9.9948118533890809E-2"/>
        <name val="ＭＳ Ｐゴシック"/>
        <scheme val="none"/>
      </font>
    </dxf>
    <dxf>
      <font>
        <color theme="0"/>
      </font>
    </dxf>
    <dxf>
      <font>
        <color theme="0"/>
      </font>
    </dxf>
    <dxf>
      <font>
        <color theme="2" tint="-9.9948118533890809E-2"/>
        <name val="ＭＳ Ｐゴシック"/>
        <scheme val="none"/>
      </font>
    </dxf>
    <dxf>
      <font>
        <color theme="0"/>
      </font>
    </dxf>
    <dxf>
      <font>
        <color theme="0"/>
        <name val="ＭＳ Ｐゴシック"/>
        <scheme val="none"/>
      </font>
    </dxf>
    <dxf>
      <font>
        <color theme="0"/>
      </font>
    </dxf>
    <dxf>
      <font>
        <color theme="0"/>
      </font>
    </dxf>
    <dxf>
      <font>
        <strike val="0"/>
        <color theme="0"/>
      </font>
    </dxf>
    <dxf>
      <font>
        <color theme="0"/>
      </font>
    </dxf>
    <dxf>
      <font>
        <color theme="0"/>
      </font>
    </dxf>
    <dxf>
      <font>
        <color theme="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strike val="0"/>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name val="ＭＳ Ｐゴシック"/>
        <scheme val="none"/>
      </font>
    </dxf>
    <dxf>
      <font>
        <strike val="0"/>
        <color theme="0"/>
      </font>
    </dxf>
    <dxf>
      <fill>
        <patternFill>
          <bgColor theme="6" tint="0.79998168889431442"/>
        </patternFill>
      </fill>
    </dxf>
    <dxf>
      <fill>
        <patternFill>
          <bgColor theme="6" tint="0.79998168889431442"/>
        </patternFill>
      </fill>
    </dxf>
    <dxf>
      <fill>
        <patternFill>
          <bgColor theme="1"/>
        </patternFill>
      </fill>
    </dxf>
    <dxf>
      <fill>
        <patternFill>
          <bgColor theme="1"/>
        </patternFill>
      </fill>
    </dxf>
    <dxf>
      <fill>
        <patternFill>
          <bgColor theme="6"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9" tint="0.3999450666829432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rgb="FFC00000"/>
        </patternFill>
      </fill>
    </dxf>
    <dxf>
      <font>
        <b/>
        <i val="0"/>
      </font>
      <fill>
        <patternFill>
          <bgColor rgb="FFFFFF00"/>
        </patternFill>
      </fill>
    </dxf>
    <dxf>
      <font>
        <b/>
        <i val="0"/>
        <color theme="0"/>
      </font>
      <fill>
        <patternFill>
          <bgColor rgb="FFFF0000"/>
        </patternFill>
      </fill>
    </dxf>
    <dxf>
      <font>
        <color theme="0"/>
      </font>
      <fill>
        <patternFill>
          <bgColor rgb="FFC0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theme="0"/>
      </font>
      <fill>
        <patternFill>
          <bgColor rgb="FFFF0000"/>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fmlaLink="$A$2" lockText="1" noThreeD="1"/>
</file>

<file path=xl/ctrlProps/ctrlProp104.xml><?xml version="1.0" encoding="utf-8"?>
<formControlPr xmlns="http://schemas.microsoft.com/office/spreadsheetml/2009/9/main" objectType="CheckBox" fmlaLink="$B$2"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fmlaLink="$B$52" lockText="1" noThreeD="1"/>
</file>

<file path=xl/ctrlProps/ctrlProp112.xml><?xml version="1.0" encoding="utf-8"?>
<formControlPr xmlns="http://schemas.microsoft.com/office/spreadsheetml/2009/9/main" objectType="CheckBox" fmlaLink="$B$53" lockText="1" noThreeD="1"/>
</file>

<file path=xl/ctrlProps/ctrlProp113.xml><?xml version="1.0" encoding="utf-8"?>
<formControlPr xmlns="http://schemas.microsoft.com/office/spreadsheetml/2009/9/main" objectType="CheckBox" fmlaLink="$A$52" lockText="1" noThreeD="1"/>
</file>

<file path=xl/ctrlProps/ctrlProp114.xml><?xml version="1.0" encoding="utf-8"?>
<formControlPr xmlns="http://schemas.microsoft.com/office/spreadsheetml/2009/9/main" objectType="CheckBox" fmlaLink="$A$53"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U$10" lockText="1" noThreeD="1"/>
</file>

<file path=xl/ctrlProps/ctrlProp121.xml><?xml version="1.0" encoding="utf-8"?>
<formControlPr xmlns="http://schemas.microsoft.com/office/spreadsheetml/2009/9/main" objectType="CheckBox" fmlaLink="$U$11" lockText="1" noThreeD="1"/>
</file>

<file path=xl/ctrlProps/ctrlProp122.xml><?xml version="1.0" encoding="utf-8"?>
<formControlPr xmlns="http://schemas.microsoft.com/office/spreadsheetml/2009/9/main" objectType="CheckBox" fmlaLink="$U$12" lockText="1" noThreeD="1"/>
</file>

<file path=xl/ctrlProps/ctrlProp123.xml><?xml version="1.0" encoding="utf-8"?>
<formControlPr xmlns="http://schemas.microsoft.com/office/spreadsheetml/2009/9/main" objectType="CheckBox" fmlaLink="$U$13"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fmlaLink="$V$10" lockText="1" noThreeD="1"/>
</file>

<file path=xl/ctrlProps/ctrlProp126.xml><?xml version="1.0" encoding="utf-8"?>
<formControlPr xmlns="http://schemas.microsoft.com/office/spreadsheetml/2009/9/main" objectType="CheckBox" fmlaLink="$V$11" lockText="1" noThreeD="1"/>
</file>

<file path=xl/ctrlProps/ctrlProp127.xml><?xml version="1.0" encoding="utf-8"?>
<formControlPr xmlns="http://schemas.microsoft.com/office/spreadsheetml/2009/9/main" objectType="CheckBox" fmlaLink="$V$12" lockText="1" noThreeD="1"/>
</file>

<file path=xl/ctrlProps/ctrlProp128.xml><?xml version="1.0" encoding="utf-8"?>
<formControlPr xmlns="http://schemas.microsoft.com/office/spreadsheetml/2009/9/main" objectType="CheckBox" fmlaLink="$V$13"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fmlaLink="$U$14" lockText="1" noThreeD="1"/>
</file>

<file path=xl/ctrlProps/ctrlProp131.xml><?xml version="1.0" encoding="utf-8"?>
<formControlPr xmlns="http://schemas.microsoft.com/office/spreadsheetml/2009/9/main" objectType="CheckBox" fmlaLink="$U$15" lockText="1" noThreeD="1"/>
</file>

<file path=xl/ctrlProps/ctrlProp132.xml><?xml version="1.0" encoding="utf-8"?>
<formControlPr xmlns="http://schemas.microsoft.com/office/spreadsheetml/2009/9/main" objectType="CheckBox" fmlaLink="$U$16" lockText="1" noThreeD="1"/>
</file>

<file path=xl/ctrlProps/ctrlProp133.xml><?xml version="1.0" encoding="utf-8"?>
<formControlPr xmlns="http://schemas.microsoft.com/office/spreadsheetml/2009/9/main" objectType="CheckBox" fmlaLink="$V$14" lockText="1" noThreeD="1"/>
</file>

<file path=xl/ctrlProps/ctrlProp134.xml><?xml version="1.0" encoding="utf-8"?>
<formControlPr xmlns="http://schemas.microsoft.com/office/spreadsheetml/2009/9/main" objectType="CheckBox" fmlaLink="$V$15" lockText="1" noThreeD="1"/>
</file>

<file path=xl/ctrlProps/ctrlProp135.xml><?xml version="1.0" encoding="utf-8"?>
<formControlPr xmlns="http://schemas.microsoft.com/office/spreadsheetml/2009/9/main" objectType="CheckBox" fmlaLink="$V$16"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fmlaLink="$U$10" lockText="1" noThreeD="1"/>
</file>

<file path=xl/ctrlProps/ctrlProp151.xml><?xml version="1.0" encoding="utf-8"?>
<formControlPr xmlns="http://schemas.microsoft.com/office/spreadsheetml/2009/9/main" objectType="CheckBox" fmlaLink="$U$11" lockText="1" noThreeD="1"/>
</file>

<file path=xl/ctrlProps/ctrlProp152.xml><?xml version="1.0" encoding="utf-8"?>
<formControlPr xmlns="http://schemas.microsoft.com/office/spreadsheetml/2009/9/main" objectType="CheckBox" fmlaLink="$U$12" lockText="1" noThreeD="1"/>
</file>

<file path=xl/ctrlProps/ctrlProp153.xml><?xml version="1.0" encoding="utf-8"?>
<formControlPr xmlns="http://schemas.microsoft.com/office/spreadsheetml/2009/9/main" objectType="CheckBox" fmlaLink="$U$13"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fmlaLink="$V$10" lockText="1" noThreeD="1"/>
</file>

<file path=xl/ctrlProps/ctrlProp156.xml><?xml version="1.0" encoding="utf-8"?>
<formControlPr xmlns="http://schemas.microsoft.com/office/spreadsheetml/2009/9/main" objectType="CheckBox" fmlaLink="$V$11" lockText="1" noThreeD="1"/>
</file>

<file path=xl/ctrlProps/ctrlProp157.xml><?xml version="1.0" encoding="utf-8"?>
<formControlPr xmlns="http://schemas.microsoft.com/office/spreadsheetml/2009/9/main" objectType="CheckBox" fmlaLink="$V$12" lockText="1" noThreeD="1"/>
</file>

<file path=xl/ctrlProps/ctrlProp158.xml><?xml version="1.0" encoding="utf-8"?>
<formControlPr xmlns="http://schemas.microsoft.com/office/spreadsheetml/2009/9/main" objectType="CheckBox" fmlaLink="$V$13"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R$40" lockText="1" noThreeD="1"/>
</file>

<file path=xl/ctrlProps/ctrlProp160.xml><?xml version="1.0" encoding="utf-8"?>
<formControlPr xmlns="http://schemas.microsoft.com/office/spreadsheetml/2009/9/main" objectType="CheckBox" fmlaLink="$U$14" lockText="1" noThreeD="1"/>
</file>

<file path=xl/ctrlProps/ctrlProp161.xml><?xml version="1.0" encoding="utf-8"?>
<formControlPr xmlns="http://schemas.microsoft.com/office/spreadsheetml/2009/9/main" objectType="CheckBox" fmlaLink="$U$15" lockText="1" noThreeD="1"/>
</file>

<file path=xl/ctrlProps/ctrlProp162.xml><?xml version="1.0" encoding="utf-8"?>
<formControlPr xmlns="http://schemas.microsoft.com/office/spreadsheetml/2009/9/main" objectType="CheckBox" fmlaLink="$U$16" lockText="1" noThreeD="1"/>
</file>

<file path=xl/ctrlProps/ctrlProp163.xml><?xml version="1.0" encoding="utf-8"?>
<formControlPr xmlns="http://schemas.microsoft.com/office/spreadsheetml/2009/9/main" objectType="CheckBox" fmlaLink="$V$14" lockText="1" noThreeD="1"/>
</file>

<file path=xl/ctrlProps/ctrlProp164.xml><?xml version="1.0" encoding="utf-8"?>
<formControlPr xmlns="http://schemas.microsoft.com/office/spreadsheetml/2009/9/main" objectType="CheckBox" fmlaLink="$V$15" lockText="1" noThreeD="1"/>
</file>

<file path=xl/ctrlProps/ctrlProp165.xml><?xml version="1.0" encoding="utf-8"?>
<formControlPr xmlns="http://schemas.microsoft.com/office/spreadsheetml/2009/9/main" objectType="CheckBox" fmlaLink="$V$16"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fmlaLink="$T$40"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S$40" lockText="1" noThreeD="1"/>
</file>

<file path=xl/ctrlProps/ctrlProp180.xml><?xml version="1.0" encoding="utf-8"?>
<formControlPr xmlns="http://schemas.microsoft.com/office/spreadsheetml/2009/9/main" objectType="CheckBox" fmlaLink="$Z$17" lockText="1" noThreeD="1"/>
</file>

<file path=xl/ctrlProps/ctrlProp181.xml><?xml version="1.0" encoding="utf-8"?>
<formControlPr xmlns="http://schemas.microsoft.com/office/spreadsheetml/2009/9/main" objectType="CheckBox" fmlaLink="$Z$18" lockText="1" noThreeD="1"/>
</file>

<file path=xl/ctrlProps/ctrlProp19.xml><?xml version="1.0" encoding="utf-8"?>
<formControlPr xmlns="http://schemas.microsoft.com/office/spreadsheetml/2009/9/main" objectType="CheckBox" fmlaLink="$U$40"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X$38"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49</xdr:col>
      <xdr:colOff>13855</xdr:colOff>
      <xdr:row>0</xdr:row>
      <xdr:rowOff>35501</xdr:rowOff>
    </xdr:from>
    <xdr:to>
      <xdr:col>51</xdr:col>
      <xdr:colOff>241589</xdr:colOff>
      <xdr:row>0</xdr:row>
      <xdr:rowOff>295275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3618055" y="35501"/>
          <a:ext cx="1599334" cy="2597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19</xdr:row>
          <xdr:rowOff>19050</xdr:rowOff>
        </xdr:from>
        <xdr:to>
          <xdr:col>2</xdr:col>
          <xdr:colOff>57150</xdr:colOff>
          <xdr:row>19</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19050</xdr:rowOff>
        </xdr:from>
        <xdr:to>
          <xdr:col>2</xdr:col>
          <xdr:colOff>57150</xdr:colOff>
          <xdr:row>20</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28575</xdr:rowOff>
        </xdr:from>
        <xdr:to>
          <xdr:col>2</xdr:col>
          <xdr:colOff>57150</xdr:colOff>
          <xdr:row>21</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19050</xdr:rowOff>
        </xdr:from>
        <xdr:to>
          <xdr:col>2</xdr:col>
          <xdr:colOff>57150</xdr:colOff>
          <xdr:row>23</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19050</xdr:rowOff>
        </xdr:from>
        <xdr:to>
          <xdr:col>2</xdr:col>
          <xdr:colOff>57150</xdr:colOff>
          <xdr:row>24</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14</xdr:row>
          <xdr:rowOff>19050</xdr:rowOff>
        </xdr:from>
        <xdr:to>
          <xdr:col>48</xdr:col>
          <xdr:colOff>114300</xdr:colOff>
          <xdr:row>14</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18</xdr:row>
          <xdr:rowOff>0</xdr:rowOff>
        </xdr:from>
        <xdr:to>
          <xdr:col>49</xdr:col>
          <xdr:colOff>57150</xdr:colOff>
          <xdr:row>18</xdr:row>
          <xdr:rowOff>219075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17</xdr:row>
          <xdr:rowOff>9525</xdr:rowOff>
        </xdr:from>
        <xdr:to>
          <xdr:col>49</xdr:col>
          <xdr:colOff>57150</xdr:colOff>
          <xdr:row>18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19050</xdr:rowOff>
        </xdr:from>
        <xdr:to>
          <xdr:col>28</xdr:col>
          <xdr:colOff>57150</xdr:colOff>
          <xdr:row>20</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21</xdr:row>
          <xdr:rowOff>28575</xdr:rowOff>
        </xdr:from>
        <xdr:to>
          <xdr:col>28</xdr:col>
          <xdr:colOff>57150</xdr:colOff>
          <xdr:row>21</xdr:row>
          <xdr:rowOff>247650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16</xdr:row>
          <xdr:rowOff>9525</xdr:rowOff>
        </xdr:from>
        <xdr:to>
          <xdr:col>38</xdr:col>
          <xdr:colOff>152400</xdr:colOff>
          <xdr:row>16</xdr:row>
          <xdr:rowOff>219075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14</xdr:row>
          <xdr:rowOff>19050</xdr:rowOff>
        </xdr:from>
        <xdr:to>
          <xdr:col>22</xdr:col>
          <xdr:colOff>114300</xdr:colOff>
          <xdr:row>14</xdr:row>
          <xdr:rowOff>238125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57150</xdr:rowOff>
        </xdr:from>
        <xdr:to>
          <xdr:col>12</xdr:col>
          <xdr:colOff>114300</xdr:colOff>
          <xdr:row>15</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14</xdr:row>
          <xdr:rowOff>47625</xdr:rowOff>
        </xdr:from>
        <xdr:to>
          <xdr:col>17</xdr:col>
          <xdr:colOff>95250</xdr:colOff>
          <xdr:row>15</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19050</xdr:rowOff>
        </xdr:from>
        <xdr:to>
          <xdr:col>12</xdr:col>
          <xdr:colOff>114300</xdr:colOff>
          <xdr:row>16</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17</xdr:row>
          <xdr:rowOff>38100</xdr:rowOff>
        </xdr:from>
        <xdr:to>
          <xdr:col>23</xdr:col>
          <xdr:colOff>0</xdr:colOff>
          <xdr:row>17</xdr:row>
          <xdr:rowOff>209550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18</xdr:row>
          <xdr:rowOff>28575</xdr:rowOff>
        </xdr:from>
        <xdr:to>
          <xdr:col>23</xdr:col>
          <xdr:colOff>38100</xdr:colOff>
          <xdr:row>18</xdr:row>
          <xdr:rowOff>219075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168605</xdr:colOff>
      <xdr:row>1</xdr:row>
      <xdr:rowOff>129760</xdr:rowOff>
    </xdr:from>
    <xdr:to>
      <xdr:col>38</xdr:col>
      <xdr:colOff>28711</xdr:colOff>
      <xdr:row>3</xdr:row>
      <xdr:rowOff>420584</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590683" y="439013"/>
          <a:ext cx="2853677" cy="587707"/>
          <a:chOff x="10151454" y="1433193"/>
          <a:chExt cx="2995128" cy="1610715"/>
        </a:xfrm>
      </xdr:grpSpPr>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10151454" y="1433193"/>
            <a:ext cx="2964996" cy="1610715"/>
          </a:xfrm>
          <a:prstGeom prst="wedgeRectCallout">
            <a:avLst>
              <a:gd name="adj1" fmla="val -65358"/>
              <a:gd name="adj2" fmla="val 3527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348952" y="1912384"/>
            <a:ext cx="2797630" cy="72469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chemeClr val="bg1"/>
                </a:solidFill>
              </a:rPr>
              <a:t>「学校名」からご記入ください</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37</xdr:col>
          <xdr:colOff>28575</xdr:colOff>
          <xdr:row>14</xdr:row>
          <xdr:rowOff>76200</xdr:rowOff>
        </xdr:from>
        <xdr:to>
          <xdr:col>38</xdr:col>
          <xdr:colOff>66675</xdr:colOff>
          <xdr:row>15</xdr:row>
          <xdr:rowOff>38100</xdr:rowOff>
        </xdr:to>
        <xdr:sp macro="" textlink="">
          <xdr:nvSpPr>
            <xdr:cNvPr id="31299" name="Check Box 1603" hidden="1">
              <a:extLst>
                <a:ext uri="{63B3BB69-23CF-44E3-9099-C40C66FF867C}">
                  <a14:compatExt spid="_x0000_s31299"/>
                </a:ext>
                <a:ext uri="{FF2B5EF4-FFF2-40B4-BE49-F238E27FC236}">
                  <a16:creationId xmlns:a16="http://schemas.microsoft.com/office/drawing/2014/main" id="{00000000-0008-0000-0100-00004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31301" name="Check Box 1605" hidden="1">
              <a:extLst>
                <a:ext uri="{63B3BB69-23CF-44E3-9099-C40C66FF867C}">
                  <a14:compatExt spid="_x0000_s31301"/>
                </a:ext>
                <a:ext uri="{FF2B5EF4-FFF2-40B4-BE49-F238E27FC236}">
                  <a16:creationId xmlns:a16="http://schemas.microsoft.com/office/drawing/2014/main" id="{00000000-0008-0000-0100-00004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14</xdr:row>
          <xdr:rowOff>0</xdr:rowOff>
        </xdr:from>
        <xdr:to>
          <xdr:col>43</xdr:col>
          <xdr:colOff>180975</xdr:colOff>
          <xdr:row>15</xdr:row>
          <xdr:rowOff>0</xdr:rowOff>
        </xdr:to>
        <xdr:sp macro="" textlink="">
          <xdr:nvSpPr>
            <xdr:cNvPr id="31310" name="Check Box 1614" hidden="1">
              <a:extLst>
                <a:ext uri="{63B3BB69-23CF-44E3-9099-C40C66FF867C}">
                  <a14:compatExt spid="_x0000_s31310"/>
                </a:ext>
                <a:ext uri="{FF2B5EF4-FFF2-40B4-BE49-F238E27FC236}">
                  <a16:creationId xmlns:a16="http://schemas.microsoft.com/office/drawing/2014/main" id="{00000000-0008-0000-0100-00004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31311" name="Check Box 1615" hidden="1">
              <a:extLst>
                <a:ext uri="{63B3BB69-23CF-44E3-9099-C40C66FF867C}">
                  <a14:compatExt spid="_x0000_s31311"/>
                </a:ext>
                <a:ext uri="{FF2B5EF4-FFF2-40B4-BE49-F238E27FC236}">
                  <a16:creationId xmlns:a16="http://schemas.microsoft.com/office/drawing/2014/main" id="{00000000-0008-0000-0100-00004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19050</xdr:rowOff>
        </xdr:from>
        <xdr:to>
          <xdr:col>2</xdr:col>
          <xdr:colOff>57150</xdr:colOff>
          <xdr:row>23</xdr:row>
          <xdr:rowOff>247650</xdr:rowOff>
        </xdr:to>
        <xdr:sp macro="" textlink="">
          <xdr:nvSpPr>
            <xdr:cNvPr id="31312" name="Check Box 1616" hidden="1">
              <a:extLst>
                <a:ext uri="{63B3BB69-23CF-44E3-9099-C40C66FF867C}">
                  <a14:compatExt spid="_x0000_s31312"/>
                </a:ext>
                <a:ext uri="{FF2B5EF4-FFF2-40B4-BE49-F238E27FC236}">
                  <a16:creationId xmlns:a16="http://schemas.microsoft.com/office/drawing/2014/main" id="{00000000-0008-0000-0100-00005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31314" name="Check Box 1618" hidden="1">
              <a:extLst>
                <a:ext uri="{63B3BB69-23CF-44E3-9099-C40C66FF867C}">
                  <a14:compatExt spid="_x0000_s31314"/>
                </a:ext>
                <a:ext uri="{FF2B5EF4-FFF2-40B4-BE49-F238E27FC236}">
                  <a16:creationId xmlns:a16="http://schemas.microsoft.com/office/drawing/2014/main" id="{00000000-0008-0000-0100-00005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28575</xdr:rowOff>
        </xdr:from>
        <xdr:to>
          <xdr:col>28</xdr:col>
          <xdr:colOff>57150</xdr:colOff>
          <xdr:row>22</xdr:row>
          <xdr:rowOff>247650</xdr:rowOff>
        </xdr:to>
        <xdr:sp macro="" textlink="">
          <xdr:nvSpPr>
            <xdr:cNvPr id="31317" name="Check Box 1621" hidden="1">
              <a:extLst>
                <a:ext uri="{63B3BB69-23CF-44E3-9099-C40C66FF867C}">
                  <a14:compatExt spid="_x0000_s31317"/>
                </a:ext>
                <a:ext uri="{FF2B5EF4-FFF2-40B4-BE49-F238E27FC236}">
                  <a16:creationId xmlns:a16="http://schemas.microsoft.com/office/drawing/2014/main" id="{00000000-0008-0000-0100-00005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28575</xdr:rowOff>
        </xdr:from>
        <xdr:to>
          <xdr:col>28</xdr:col>
          <xdr:colOff>57150</xdr:colOff>
          <xdr:row>23</xdr:row>
          <xdr:rowOff>247650</xdr:rowOff>
        </xdr:to>
        <xdr:sp macro="" textlink="">
          <xdr:nvSpPr>
            <xdr:cNvPr id="31318" name="Check Box 1622" hidden="1">
              <a:extLst>
                <a:ext uri="{63B3BB69-23CF-44E3-9099-C40C66FF867C}">
                  <a14:compatExt spid="_x0000_s31318"/>
                </a:ext>
                <a:ext uri="{FF2B5EF4-FFF2-40B4-BE49-F238E27FC236}">
                  <a16:creationId xmlns:a16="http://schemas.microsoft.com/office/drawing/2014/main" id="{00000000-0008-0000-0100-00005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28575</xdr:rowOff>
        </xdr:from>
        <xdr:to>
          <xdr:col>28</xdr:col>
          <xdr:colOff>57150</xdr:colOff>
          <xdr:row>24</xdr:row>
          <xdr:rowOff>247650</xdr:rowOff>
        </xdr:to>
        <xdr:sp macro="" textlink="">
          <xdr:nvSpPr>
            <xdr:cNvPr id="31319" name="Check Box 1623" hidden="1">
              <a:extLst>
                <a:ext uri="{63B3BB69-23CF-44E3-9099-C40C66FF867C}">
                  <a14:compatExt spid="_x0000_s31319"/>
                </a:ext>
                <a:ext uri="{FF2B5EF4-FFF2-40B4-BE49-F238E27FC236}">
                  <a16:creationId xmlns:a16="http://schemas.microsoft.com/office/drawing/2014/main" id="{00000000-0008-0000-0100-00005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25</xdr:row>
          <xdr:rowOff>28575</xdr:rowOff>
        </xdr:from>
        <xdr:to>
          <xdr:col>28</xdr:col>
          <xdr:colOff>57150</xdr:colOff>
          <xdr:row>25</xdr:row>
          <xdr:rowOff>247650</xdr:rowOff>
        </xdr:to>
        <xdr:sp macro="" textlink="">
          <xdr:nvSpPr>
            <xdr:cNvPr id="31320" name="Check Box 1624" hidden="1">
              <a:extLst>
                <a:ext uri="{63B3BB69-23CF-44E3-9099-C40C66FF867C}">
                  <a14:compatExt spid="_x0000_s31320"/>
                </a:ext>
                <a:ext uri="{FF2B5EF4-FFF2-40B4-BE49-F238E27FC236}">
                  <a16:creationId xmlns:a16="http://schemas.microsoft.com/office/drawing/2014/main" id="{00000000-0008-0000-0100-00005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28575</xdr:rowOff>
        </xdr:from>
        <xdr:to>
          <xdr:col>28</xdr:col>
          <xdr:colOff>57150</xdr:colOff>
          <xdr:row>26</xdr:row>
          <xdr:rowOff>247650</xdr:rowOff>
        </xdr:to>
        <xdr:sp macro="" textlink="">
          <xdr:nvSpPr>
            <xdr:cNvPr id="31321" name="Check Box 1625" hidden="1">
              <a:extLst>
                <a:ext uri="{63B3BB69-23CF-44E3-9099-C40C66FF867C}">
                  <a14:compatExt spid="_x0000_s31321"/>
                </a:ext>
                <a:ext uri="{FF2B5EF4-FFF2-40B4-BE49-F238E27FC236}">
                  <a16:creationId xmlns:a16="http://schemas.microsoft.com/office/drawing/2014/main" id="{00000000-0008-0000-0100-00005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22" name="Check Box 1626" hidden="1">
              <a:extLst>
                <a:ext uri="{63B3BB69-23CF-44E3-9099-C40C66FF867C}">
                  <a14:compatExt spid="_x0000_s31322"/>
                </a:ext>
                <a:ext uri="{FF2B5EF4-FFF2-40B4-BE49-F238E27FC236}">
                  <a16:creationId xmlns:a16="http://schemas.microsoft.com/office/drawing/2014/main" id="{00000000-0008-0000-0100-00005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29</xdr:row>
          <xdr:rowOff>28575</xdr:rowOff>
        </xdr:from>
        <xdr:to>
          <xdr:col>28</xdr:col>
          <xdr:colOff>57150</xdr:colOff>
          <xdr:row>29</xdr:row>
          <xdr:rowOff>247650</xdr:rowOff>
        </xdr:to>
        <xdr:sp macro="" textlink="">
          <xdr:nvSpPr>
            <xdr:cNvPr id="31323" name="Check Box 1627" hidden="1">
              <a:extLst>
                <a:ext uri="{63B3BB69-23CF-44E3-9099-C40C66FF867C}">
                  <a14:compatExt spid="_x0000_s31323"/>
                </a:ext>
                <a:ext uri="{FF2B5EF4-FFF2-40B4-BE49-F238E27FC236}">
                  <a16:creationId xmlns:a16="http://schemas.microsoft.com/office/drawing/2014/main" id="{00000000-0008-0000-0100-00005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19050</xdr:rowOff>
        </xdr:from>
        <xdr:to>
          <xdr:col>2</xdr:col>
          <xdr:colOff>57150</xdr:colOff>
          <xdr:row>29</xdr:row>
          <xdr:rowOff>247650</xdr:rowOff>
        </xdr:to>
        <xdr:sp macro="" textlink="">
          <xdr:nvSpPr>
            <xdr:cNvPr id="31324" name="Check Box 1628" hidden="1">
              <a:extLst>
                <a:ext uri="{63B3BB69-23CF-44E3-9099-C40C66FF867C}">
                  <a14:compatExt spid="_x0000_s31324"/>
                </a:ext>
                <a:ext uri="{FF2B5EF4-FFF2-40B4-BE49-F238E27FC236}">
                  <a16:creationId xmlns:a16="http://schemas.microsoft.com/office/drawing/2014/main" id="{00000000-0008-0000-0100-00005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19050</xdr:rowOff>
        </xdr:from>
        <xdr:to>
          <xdr:col>2</xdr:col>
          <xdr:colOff>57150</xdr:colOff>
          <xdr:row>29</xdr:row>
          <xdr:rowOff>247650</xdr:rowOff>
        </xdr:to>
        <xdr:sp macro="" textlink="">
          <xdr:nvSpPr>
            <xdr:cNvPr id="31325" name="Check Box 1629" hidden="1">
              <a:extLst>
                <a:ext uri="{63B3BB69-23CF-44E3-9099-C40C66FF867C}">
                  <a14:compatExt spid="_x0000_s31325"/>
                </a:ext>
                <a:ext uri="{FF2B5EF4-FFF2-40B4-BE49-F238E27FC236}">
                  <a16:creationId xmlns:a16="http://schemas.microsoft.com/office/drawing/2014/main" id="{00000000-0008-0000-0100-00005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26" name="Check Box 1630" hidden="1">
              <a:extLst>
                <a:ext uri="{63B3BB69-23CF-44E3-9099-C40C66FF867C}">
                  <a14:compatExt spid="_x0000_s31326"/>
                </a:ext>
                <a:ext uri="{FF2B5EF4-FFF2-40B4-BE49-F238E27FC236}">
                  <a16:creationId xmlns:a16="http://schemas.microsoft.com/office/drawing/2014/main" id="{00000000-0008-0000-0100-00005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31327" name="Check Box 1631" hidden="1">
              <a:extLst>
                <a:ext uri="{63B3BB69-23CF-44E3-9099-C40C66FF867C}">
                  <a14:compatExt spid="_x0000_s31327"/>
                </a:ext>
                <a:ext uri="{FF2B5EF4-FFF2-40B4-BE49-F238E27FC236}">
                  <a16:creationId xmlns:a16="http://schemas.microsoft.com/office/drawing/2014/main" id="{00000000-0008-0000-0100-00005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28575</xdr:rowOff>
        </xdr:from>
        <xdr:to>
          <xdr:col>2</xdr:col>
          <xdr:colOff>57150</xdr:colOff>
          <xdr:row>28</xdr:row>
          <xdr:rowOff>247650</xdr:rowOff>
        </xdr:to>
        <xdr:sp macro="" textlink="">
          <xdr:nvSpPr>
            <xdr:cNvPr id="31328" name="Check Box 1632" hidden="1">
              <a:extLst>
                <a:ext uri="{63B3BB69-23CF-44E3-9099-C40C66FF867C}">
                  <a14:compatExt spid="_x0000_s31328"/>
                </a:ext>
                <a:ext uri="{FF2B5EF4-FFF2-40B4-BE49-F238E27FC236}">
                  <a16:creationId xmlns:a16="http://schemas.microsoft.com/office/drawing/2014/main" id="{00000000-0008-0000-0100-00006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36</xdr:col>
      <xdr:colOff>76200</xdr:colOff>
      <xdr:row>3</xdr:row>
      <xdr:rowOff>76200</xdr:rowOff>
    </xdr:from>
    <xdr:to>
      <xdr:col>40</xdr:col>
      <xdr:colOff>200025</xdr:colOff>
      <xdr:row>4</xdr:row>
      <xdr:rowOff>219074</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4765000" y="590550"/>
          <a:ext cx="2867025" cy="2666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rPr>
            <a:t>記入例</a:t>
          </a:r>
        </a:p>
      </xdr:txBody>
    </xdr:sp>
    <xdr:clientData/>
  </xdr:twoCellAnchor>
  <xdr:twoCellAnchor>
    <xdr:from>
      <xdr:col>36</xdr:col>
      <xdr:colOff>219075</xdr:colOff>
      <xdr:row>40</xdr:row>
      <xdr:rowOff>76200</xdr:rowOff>
    </xdr:from>
    <xdr:to>
      <xdr:col>40</xdr:col>
      <xdr:colOff>342900</xdr:colOff>
      <xdr:row>41</xdr:row>
      <xdr:rowOff>219074</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24907875" y="6934200"/>
          <a:ext cx="2867025" cy="2666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rPr>
            <a:t>記入例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48</xdr:col>
      <xdr:colOff>238125</xdr:colOff>
      <xdr:row>1</xdr:row>
      <xdr:rowOff>28575</xdr:rowOff>
    </xdr:from>
    <xdr:to>
      <xdr:col>51</xdr:col>
      <xdr:colOff>247650</xdr:colOff>
      <xdr:row>1</xdr:row>
      <xdr:rowOff>288348</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3496925" y="390525"/>
          <a:ext cx="838200"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16</xdr:row>
          <xdr:rowOff>76200</xdr:rowOff>
        </xdr:from>
        <xdr:to>
          <xdr:col>7</xdr:col>
          <xdr:colOff>114300</xdr:colOff>
          <xdr:row>16</xdr:row>
          <xdr:rowOff>323850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D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38100</xdr:rowOff>
        </xdr:from>
        <xdr:to>
          <xdr:col>7</xdr:col>
          <xdr:colOff>104775</xdr:colOff>
          <xdr:row>17</xdr:row>
          <xdr:rowOff>323850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D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49</xdr:col>
      <xdr:colOff>219075</xdr:colOff>
      <xdr:row>0</xdr:row>
      <xdr:rowOff>19050</xdr:rowOff>
    </xdr:from>
    <xdr:to>
      <xdr:col>52</xdr:col>
      <xdr:colOff>9525</xdr:colOff>
      <xdr:row>0</xdr:row>
      <xdr:rowOff>278823</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3754100" y="19050"/>
          <a:ext cx="61912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xdr:from>
          <xdr:col>5</xdr:col>
          <xdr:colOff>104775</xdr:colOff>
          <xdr:row>3</xdr:row>
          <xdr:rowOff>57150</xdr:rowOff>
        </xdr:from>
        <xdr:to>
          <xdr:col>6</xdr:col>
          <xdr:colOff>133350</xdr:colOff>
          <xdr:row>3</xdr:row>
          <xdr:rowOff>104775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19</xdr:row>
          <xdr:rowOff>0</xdr:rowOff>
        </xdr:from>
        <xdr:to>
          <xdr:col>8</xdr:col>
          <xdr:colOff>66675</xdr:colOff>
          <xdr:row>20</xdr:row>
          <xdr:rowOff>19050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19</xdr:row>
          <xdr:rowOff>0</xdr:rowOff>
        </xdr:from>
        <xdr:to>
          <xdr:col>5</xdr:col>
          <xdr:colOff>76200</xdr:colOff>
          <xdr:row>20</xdr:row>
          <xdr:rowOff>19050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142875</xdr:rowOff>
        </xdr:from>
        <xdr:to>
          <xdr:col>26</xdr:col>
          <xdr:colOff>0</xdr:colOff>
          <xdr:row>18</xdr:row>
          <xdr:rowOff>19050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17</xdr:row>
          <xdr:rowOff>142875</xdr:rowOff>
        </xdr:from>
        <xdr:to>
          <xdr:col>26</xdr:col>
          <xdr:colOff>0</xdr:colOff>
          <xdr:row>19</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9525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152400</xdr:rowOff>
        </xdr:from>
        <xdr:to>
          <xdr:col>26</xdr:col>
          <xdr:colOff>0</xdr:colOff>
          <xdr:row>21</xdr:row>
          <xdr:rowOff>19050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4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20</xdr:row>
          <xdr:rowOff>142875</xdr:rowOff>
        </xdr:from>
        <xdr:to>
          <xdr:col>26</xdr:col>
          <xdr:colOff>0</xdr:colOff>
          <xdr:row>22</xdr:row>
          <xdr:rowOff>19050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4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4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22</xdr:row>
          <xdr:rowOff>142875</xdr:rowOff>
        </xdr:from>
        <xdr:to>
          <xdr:col>26</xdr:col>
          <xdr:colOff>0</xdr:colOff>
          <xdr:row>24</xdr:row>
          <xdr:rowOff>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4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23</xdr:row>
          <xdr:rowOff>142875</xdr:rowOff>
        </xdr:from>
        <xdr:to>
          <xdr:col>26</xdr:col>
          <xdr:colOff>0</xdr:colOff>
          <xdr:row>24</xdr:row>
          <xdr:rowOff>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4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0</xdr:rowOff>
        </xdr:from>
        <xdr:to>
          <xdr:col>26</xdr:col>
          <xdr:colOff>0</xdr:colOff>
          <xdr:row>24</xdr:row>
          <xdr:rowOff>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4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0</xdr:rowOff>
        </xdr:from>
        <xdr:to>
          <xdr:col>26</xdr:col>
          <xdr:colOff>0</xdr:colOff>
          <xdr:row>24</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4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4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142875</xdr:rowOff>
        </xdr:from>
        <xdr:to>
          <xdr:col>26</xdr:col>
          <xdr:colOff>0</xdr:colOff>
          <xdr:row>18</xdr:row>
          <xdr:rowOff>19050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4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17</xdr:row>
          <xdr:rowOff>142875</xdr:rowOff>
        </xdr:from>
        <xdr:to>
          <xdr:col>26</xdr:col>
          <xdr:colOff>0</xdr:colOff>
          <xdr:row>19</xdr:row>
          <xdr:rowOff>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4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4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4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4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4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152400</xdr:rowOff>
        </xdr:from>
        <xdr:to>
          <xdr:col>26</xdr:col>
          <xdr:colOff>0</xdr:colOff>
          <xdr:row>21</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4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20</xdr:row>
          <xdr:rowOff>142875</xdr:rowOff>
        </xdr:from>
        <xdr:to>
          <xdr:col>26</xdr:col>
          <xdr:colOff>0</xdr:colOff>
          <xdr:row>22</xdr:row>
          <xdr:rowOff>19050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4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4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22</xdr:row>
          <xdr:rowOff>142875</xdr:rowOff>
        </xdr:from>
        <xdr:to>
          <xdr:col>26</xdr:col>
          <xdr:colOff>0</xdr:colOff>
          <xdr:row>24</xdr:row>
          <xdr:rowOff>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4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23</xdr:row>
          <xdr:rowOff>142875</xdr:rowOff>
        </xdr:from>
        <xdr:to>
          <xdr:col>26</xdr:col>
          <xdr:colOff>0</xdr:colOff>
          <xdr:row>24</xdr:row>
          <xdr:rowOff>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4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0</xdr:rowOff>
        </xdr:from>
        <xdr:to>
          <xdr:col>26</xdr:col>
          <xdr:colOff>0</xdr:colOff>
          <xdr:row>24</xdr:row>
          <xdr:rowOff>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4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0</xdr:rowOff>
        </xdr:from>
        <xdr:to>
          <xdr:col>26</xdr:col>
          <xdr:colOff>0</xdr:colOff>
          <xdr:row>24</xdr:row>
          <xdr:rowOff>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4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161925</xdr:rowOff>
        </xdr:from>
        <xdr:to>
          <xdr:col>26</xdr:col>
          <xdr:colOff>0</xdr:colOff>
          <xdr:row>19</xdr:row>
          <xdr:rowOff>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4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4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4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4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4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57150</xdr:rowOff>
        </xdr:from>
        <xdr:to>
          <xdr:col>26</xdr:col>
          <xdr:colOff>0</xdr:colOff>
          <xdr:row>19</xdr:row>
          <xdr:rowOff>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4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4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4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4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4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4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4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49</xdr:row>
          <xdr:rowOff>152400</xdr:rowOff>
        </xdr:from>
        <xdr:to>
          <xdr:col>26</xdr:col>
          <xdr:colOff>0</xdr:colOff>
          <xdr:row>51</xdr:row>
          <xdr:rowOff>19050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4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50</xdr:row>
          <xdr:rowOff>152400</xdr:rowOff>
        </xdr:from>
        <xdr:to>
          <xdr:col>26</xdr:col>
          <xdr:colOff>0</xdr:colOff>
          <xdr:row>52</xdr:row>
          <xdr:rowOff>19050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4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xdr:row>
          <xdr:rowOff>266700</xdr:rowOff>
        </xdr:from>
        <xdr:to>
          <xdr:col>26</xdr:col>
          <xdr:colOff>0</xdr:colOff>
          <xdr:row>7</xdr:row>
          <xdr:rowOff>95250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4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6</xdr:row>
          <xdr:rowOff>142875</xdr:rowOff>
        </xdr:from>
        <xdr:to>
          <xdr:col>26</xdr:col>
          <xdr:colOff>0</xdr:colOff>
          <xdr:row>8</xdr:row>
          <xdr:rowOff>19050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4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4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4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4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4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4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4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161925</xdr:rowOff>
        </xdr:from>
        <xdr:to>
          <xdr:col>26</xdr:col>
          <xdr:colOff>0</xdr:colOff>
          <xdr:row>19</xdr:row>
          <xdr:rowOff>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4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4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4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4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4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4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4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4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4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114300</xdr:rowOff>
        </xdr:from>
        <xdr:to>
          <xdr:col>28</xdr:col>
          <xdr:colOff>19050</xdr:colOff>
          <xdr:row>4</xdr:row>
          <xdr:rowOff>66675</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4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162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3</xdr:row>
          <xdr:rowOff>9525</xdr:rowOff>
        </xdr:from>
        <xdr:to>
          <xdr:col>1</xdr:col>
          <xdr:colOff>104775</xdr:colOff>
          <xdr:row>3</xdr:row>
          <xdr:rowOff>228600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4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3</xdr:row>
          <xdr:rowOff>0</xdr:rowOff>
        </xdr:from>
        <xdr:to>
          <xdr:col>9</xdr:col>
          <xdr:colOff>104775</xdr:colOff>
          <xdr:row>3</xdr:row>
          <xdr:rowOff>219075</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4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85725</xdr:colOff>
          <xdr:row>10</xdr:row>
          <xdr:rowOff>0</xdr:rowOff>
        </xdr:from>
        <xdr:to>
          <xdr:col>27</xdr:col>
          <xdr:colOff>114300</xdr:colOff>
          <xdr:row>11</xdr:row>
          <xdr:rowOff>28575</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4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85725</xdr:colOff>
          <xdr:row>10</xdr:row>
          <xdr:rowOff>152400</xdr:rowOff>
        </xdr:from>
        <xdr:to>
          <xdr:col>27</xdr:col>
          <xdr:colOff>114300</xdr:colOff>
          <xdr:row>12</xdr:row>
          <xdr:rowOff>38100</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4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3</xdr:row>
          <xdr:rowOff>9525</xdr:rowOff>
        </xdr:from>
        <xdr:to>
          <xdr:col>27</xdr:col>
          <xdr:colOff>104775</xdr:colOff>
          <xdr:row>3</xdr:row>
          <xdr:rowOff>228600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4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76200</xdr:colOff>
          <xdr:row>3</xdr:row>
          <xdr:rowOff>0</xdr:rowOff>
        </xdr:from>
        <xdr:to>
          <xdr:col>35</xdr:col>
          <xdr:colOff>104775</xdr:colOff>
          <xdr:row>3</xdr:row>
          <xdr:rowOff>219075</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4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85725</xdr:colOff>
          <xdr:row>14</xdr:row>
          <xdr:rowOff>0</xdr:rowOff>
        </xdr:from>
        <xdr:to>
          <xdr:col>41</xdr:col>
          <xdr:colOff>114300</xdr:colOff>
          <xdr:row>15</xdr:row>
          <xdr:rowOff>28575</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4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85725</xdr:colOff>
          <xdr:row>14</xdr:row>
          <xdr:rowOff>152400</xdr:rowOff>
        </xdr:from>
        <xdr:to>
          <xdr:col>41</xdr:col>
          <xdr:colOff>114300</xdr:colOff>
          <xdr:row>16</xdr:row>
          <xdr:rowOff>38100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4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13</xdr:row>
          <xdr:rowOff>228600</xdr:rowOff>
        </xdr:from>
        <xdr:to>
          <xdr:col>15</xdr:col>
          <xdr:colOff>57150</xdr:colOff>
          <xdr:row>15</xdr:row>
          <xdr:rowOff>19050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4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14</xdr:row>
          <xdr:rowOff>142875</xdr:rowOff>
        </xdr:from>
        <xdr:to>
          <xdr:col>15</xdr:col>
          <xdr:colOff>57150</xdr:colOff>
          <xdr:row>16</xdr:row>
          <xdr:rowOff>28575</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4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10</xdr:row>
          <xdr:rowOff>0</xdr:rowOff>
        </xdr:from>
        <xdr:to>
          <xdr:col>1</xdr:col>
          <xdr:colOff>76200</xdr:colOff>
          <xdr:row>10</xdr:row>
          <xdr:rowOff>152400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4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10</xdr:row>
          <xdr:rowOff>161925</xdr:rowOff>
        </xdr:from>
        <xdr:to>
          <xdr:col>1</xdr:col>
          <xdr:colOff>76200</xdr:colOff>
          <xdr:row>11</xdr:row>
          <xdr:rowOff>161925</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4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52" name="Check Box 468" hidden="1">
              <a:extLst>
                <a:ext uri="{63B3BB69-23CF-44E3-9099-C40C66FF867C}">
                  <a14:compatExt spid="_x0000_s16852"/>
                </a:ext>
                <a:ext uri="{FF2B5EF4-FFF2-40B4-BE49-F238E27FC236}">
                  <a16:creationId xmlns:a16="http://schemas.microsoft.com/office/drawing/2014/main" id="{00000000-0008-0000-0400-0000D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53" name="Check Box 469" hidden="1">
              <a:extLst>
                <a:ext uri="{63B3BB69-23CF-44E3-9099-C40C66FF867C}">
                  <a14:compatExt spid="_x0000_s16853"/>
                </a:ext>
                <a:ext uri="{FF2B5EF4-FFF2-40B4-BE49-F238E27FC236}">
                  <a16:creationId xmlns:a16="http://schemas.microsoft.com/office/drawing/2014/main" id="{00000000-0008-0000-0400-0000D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104775</xdr:colOff>
          <xdr:row>3</xdr:row>
          <xdr:rowOff>57150</xdr:rowOff>
        </xdr:from>
        <xdr:to>
          <xdr:col>32</xdr:col>
          <xdr:colOff>133350</xdr:colOff>
          <xdr:row>3</xdr:row>
          <xdr:rowOff>104775</xdr:rowOff>
        </xdr:to>
        <xdr:sp macro="" textlink="">
          <xdr:nvSpPr>
            <xdr:cNvPr id="16859" name="Check Box 475" hidden="1">
              <a:extLst>
                <a:ext uri="{63B3BB69-23CF-44E3-9099-C40C66FF867C}">
                  <a14:compatExt spid="_x0000_s16859"/>
                </a:ext>
                <a:ext uri="{FF2B5EF4-FFF2-40B4-BE49-F238E27FC236}">
                  <a16:creationId xmlns:a16="http://schemas.microsoft.com/office/drawing/2014/main" id="{00000000-0008-0000-0400-0000D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60" name="Check Box 476" hidden="1">
              <a:extLst>
                <a:ext uri="{63B3BB69-23CF-44E3-9099-C40C66FF867C}">
                  <a14:compatExt spid="_x0000_s16860"/>
                </a:ext>
                <a:ext uri="{FF2B5EF4-FFF2-40B4-BE49-F238E27FC236}">
                  <a16:creationId xmlns:a16="http://schemas.microsoft.com/office/drawing/2014/main" id="{00000000-0008-0000-0400-0000D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61" name="Check Box 477" hidden="1">
              <a:extLst>
                <a:ext uri="{63B3BB69-23CF-44E3-9099-C40C66FF867C}">
                  <a14:compatExt spid="_x0000_s16861"/>
                </a:ext>
                <a:ext uri="{FF2B5EF4-FFF2-40B4-BE49-F238E27FC236}">
                  <a16:creationId xmlns:a16="http://schemas.microsoft.com/office/drawing/2014/main" id="{00000000-0008-0000-0400-0000D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48</xdr:col>
      <xdr:colOff>190499</xdr:colOff>
      <xdr:row>0</xdr:row>
      <xdr:rowOff>28575</xdr:rowOff>
    </xdr:from>
    <xdr:to>
      <xdr:col>50</xdr:col>
      <xdr:colOff>257174</xdr:colOff>
      <xdr:row>0</xdr:row>
      <xdr:rowOff>288348</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3725524" y="28575"/>
          <a:ext cx="61912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1" baseline="0">
              <a:solidFill>
                <a:srgbClr val="FF0000"/>
              </a:solidFill>
            </a:rPr>
            <a:t>記入例</a:t>
          </a:r>
        </a:p>
      </xdr:txBody>
    </xdr:sp>
    <xdr:clientData/>
  </xdr:twoCellAnchor>
  <xdr:twoCellAnchor>
    <xdr:from>
      <xdr:col>39</xdr:col>
      <xdr:colOff>154780</xdr:colOff>
      <xdr:row>21</xdr:row>
      <xdr:rowOff>188120</xdr:rowOff>
    </xdr:from>
    <xdr:to>
      <xdr:col>50</xdr:col>
      <xdr:colOff>107156</xdr:colOff>
      <xdr:row>38</xdr:row>
      <xdr:rowOff>190500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2751593" y="5069683"/>
          <a:ext cx="3202782" cy="34432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kumimoji="1" lang="ja-JP" altLang="ja-JP" sz="1400" b="1">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400" b="1">
              <a:solidFill>
                <a:schemeClr val="dk1"/>
              </a:solidFill>
              <a:latin typeface="BIZ UDPゴシック" panose="020B0400000000000000" pitchFamily="50" charset="-128"/>
              <a:ea typeface="BIZ UDPゴシック" panose="020B0400000000000000" pitchFamily="50" charset="-128"/>
              <a:cs typeface="+mn-cs"/>
            </a:rPr>
            <a:t>対応該当者がいない場合</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　</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r>
            <a:rPr kumimoji="1" lang="ja-JP" altLang="en-US" sz="1100" b="1" u="sng">
              <a:solidFill>
                <a:schemeClr val="dk1"/>
              </a:solidFill>
              <a:latin typeface="BIZ UDPゴシック" panose="020B0400000000000000" pitchFamily="50" charset="-128"/>
              <a:ea typeface="BIZ UDPゴシック" panose="020B0400000000000000" pitchFamily="50" charset="-128"/>
              <a:cs typeface="+mn-cs"/>
            </a:rPr>
            <a:t>本書の提出は不要です。</a:t>
          </a:r>
          <a:r>
            <a:rPr kumimoji="1" lang="en-US" altLang="ja-JP" sz="1100">
              <a:solidFill>
                <a:schemeClr val="dk1"/>
              </a:solidFill>
              <a:latin typeface="BIZ UDPゴシック" panose="020B0400000000000000" pitchFamily="50" charset="-128"/>
              <a:ea typeface="BIZ UDPゴシック" panose="020B0400000000000000" pitchFamily="50" charset="-128"/>
              <a:cs typeface="+mn-cs"/>
            </a:rPr>
            <a:t>【03</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食事申込書</a:t>
          </a:r>
          <a:r>
            <a:rPr kumimoji="1" lang="en-US" altLang="ja-JP" sz="1100">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の</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上部にある「</a:t>
          </a:r>
          <a:r>
            <a:rPr kumimoji="1" lang="en-US" altLang="ja-JP" sz="1100" u="sng">
              <a:solidFill>
                <a:schemeClr val="dk1"/>
              </a:solidFill>
              <a:effectLst/>
              <a:latin typeface="BIZ UDPゴシック" panose="020B0400000000000000" pitchFamily="50" charset="-128"/>
              <a:ea typeface="BIZ UDPゴシック" panose="020B0400000000000000" pitchFamily="50" charset="-128"/>
              <a:cs typeface="+mn-cs"/>
            </a:rPr>
            <a:t>7</a:t>
          </a:r>
          <a:r>
            <a:rPr kumimoji="1" lang="ja-JP" altLang="ja-JP" sz="1100" u="sng">
              <a:solidFill>
                <a:schemeClr val="dk1"/>
              </a:solidFill>
              <a:effectLst/>
              <a:latin typeface="BIZ UDPゴシック" panose="020B0400000000000000" pitchFamily="50" charset="-128"/>
              <a:ea typeface="BIZ UDPゴシック" panose="020B0400000000000000" pitchFamily="50" charset="-128"/>
              <a:cs typeface="+mn-cs"/>
            </a:rPr>
            <a:t>大アレルゲン対象者の有無</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100" u="none">
              <a:solidFill>
                <a:schemeClr val="dk1"/>
              </a:solidFill>
              <a:latin typeface="BIZ UDPゴシック" panose="020B0400000000000000" pitchFamily="50" charset="-128"/>
              <a:ea typeface="BIZ UDPゴシック" panose="020B0400000000000000" pitchFamily="50" charset="-128"/>
              <a:cs typeface="+mn-cs"/>
            </a:rPr>
            <a:t>に　　</a:t>
          </a:r>
          <a:endParaRPr kumimoji="1" lang="en-US" altLang="ja-JP" sz="1100" u="none">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r>
            <a:rPr kumimoji="1" lang="ja-JP" altLang="en-US" sz="1100" u="none">
              <a:solidFill>
                <a:schemeClr val="dk1"/>
              </a:solidFill>
              <a:latin typeface="BIZ UDPゴシック" panose="020B0400000000000000" pitchFamily="50" charset="-128"/>
              <a:ea typeface="BIZ UDPゴシック" panose="020B0400000000000000" pitchFamily="50" charset="-128"/>
              <a:cs typeface="+mn-cs"/>
            </a:rPr>
            <a:t>　　</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「無」とチェックを入れてください。</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nSpc>
              <a:spcPts val="1700"/>
            </a:lnSpc>
          </a:pPr>
          <a:r>
            <a:rPr kumimoji="1" lang="ja-JP" altLang="ja-JP" sz="1400" b="1">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400" b="1">
              <a:solidFill>
                <a:schemeClr val="dk1"/>
              </a:solidFill>
              <a:latin typeface="BIZ UDPゴシック" panose="020B0400000000000000" pitchFamily="50" charset="-128"/>
              <a:ea typeface="BIZ UDPゴシック" panose="020B0400000000000000" pitchFamily="50" charset="-128"/>
              <a:cs typeface="+mn-cs"/>
            </a:rPr>
            <a:t>本書の対象者について</a:t>
          </a:r>
          <a:endParaRPr kumimoji="1" lang="en-US" altLang="ja-JP" sz="1400" b="1">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上記、加熱した「卵（鳥）」「小麦」「えび」「乳（牛）」の</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要対応アレルゲン４種類</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の</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成分に支障</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が</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ある場</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合のみ、対象者</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となります</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100" baseline="0">
              <a:solidFill>
                <a:schemeClr val="dk1"/>
              </a:solidFill>
              <a:latin typeface="BIZ UDPゴシック" panose="020B0400000000000000" pitchFamily="50" charset="-128"/>
              <a:ea typeface="BIZ UDPゴシック" panose="020B0400000000000000" pitchFamily="50" charset="-128"/>
              <a:cs typeface="+mn-cs"/>
            </a:rPr>
            <a:t>生のみに支障があり、加熱した食材や成分に支障がない場合は、対象外</a:t>
          </a:r>
          <a:r>
            <a:rPr kumimoji="1" lang="ja-JP" altLang="ja-JP" sz="1100" baseline="0">
              <a:solidFill>
                <a:schemeClr val="dk1"/>
              </a:solidFill>
              <a:latin typeface="BIZ UDPゴシック" panose="020B0400000000000000" pitchFamily="50" charset="-128"/>
              <a:ea typeface="BIZ UDPゴシック" panose="020B0400000000000000" pitchFamily="50" charset="-128"/>
              <a:cs typeface="+mn-cs"/>
            </a:rPr>
            <a:t>です。</a:t>
          </a:r>
          <a:endParaRPr kumimoji="1" lang="en-US" altLang="ja-JP" sz="1100" baseline="0">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endParaRPr kumimoji="1" lang="en-US" altLang="ja-JP" sz="1100" baseline="0">
            <a:latin typeface="BIZ UDPゴシック" panose="020B0400000000000000" pitchFamily="50" charset="-128"/>
            <a:ea typeface="BIZ UDPゴシック" panose="020B0400000000000000" pitchFamily="50" charset="-128"/>
          </a:endParaRPr>
        </a:p>
        <a:p>
          <a:pPr>
            <a:lnSpc>
              <a:spcPts val="1700"/>
            </a:lnSpc>
          </a:pPr>
          <a:r>
            <a:rPr kumimoji="1" lang="ja-JP" altLang="en-US" sz="1400" b="1" baseline="0">
              <a:latin typeface="BIZ UDPゴシック" panose="020B0400000000000000" pitchFamily="50" charset="-128"/>
              <a:ea typeface="BIZ UDPゴシック" panose="020B0400000000000000" pitchFamily="50" charset="-128"/>
            </a:rPr>
            <a:t>■対応内容の記入について</a:t>
          </a:r>
          <a:endParaRPr kumimoji="1" lang="en-US" altLang="ja-JP" sz="1400" b="1" baseline="0">
            <a:latin typeface="BIZ UDPゴシック" panose="020B0400000000000000" pitchFamily="50" charset="-128"/>
            <a:ea typeface="BIZ UDPゴシック" panose="020B0400000000000000" pitchFamily="50" charset="-128"/>
          </a:endParaRPr>
        </a:p>
        <a:p>
          <a:pPr>
            <a:lnSpc>
              <a:spcPts val="1300"/>
            </a:lnSpc>
          </a:pPr>
          <a:r>
            <a:rPr kumimoji="1" lang="ja-JP" altLang="en-US" sz="1100" baseline="0">
              <a:latin typeface="BIZ UDPゴシック" panose="020B0400000000000000" pitchFamily="50" charset="-128"/>
              <a:ea typeface="BIZ UDPゴシック" panose="020B0400000000000000" pitchFamily="50" charset="-128"/>
            </a:rPr>
            <a:t>　 対象者には、対象食材と対応内容を記入して返信します。</a:t>
          </a:r>
          <a:endParaRPr kumimoji="1" lang="en-US" altLang="ja-JP" sz="1100" baseline="0">
            <a:latin typeface="BIZ UDPゴシック" panose="020B0400000000000000" pitchFamily="50" charset="-128"/>
            <a:ea typeface="BIZ UDPゴシック" panose="020B0400000000000000" pitchFamily="50" charset="-128"/>
          </a:endParaRPr>
        </a:p>
        <a:p>
          <a:pPr>
            <a:lnSpc>
              <a:spcPts val="1300"/>
            </a:lnSpc>
          </a:pPr>
          <a:endParaRPr kumimoji="1" lang="en-US" altLang="ja-JP" sz="1100" baseline="0">
            <a:latin typeface="BIZ UDPゴシック" panose="020B0400000000000000" pitchFamily="50" charset="-128"/>
            <a:ea typeface="BIZ UDPゴシック" panose="020B0400000000000000" pitchFamily="50" charset="-128"/>
          </a:endParaRPr>
        </a:p>
        <a:p>
          <a:pPr>
            <a:lnSpc>
              <a:spcPts val="1200"/>
            </a:lnSpc>
          </a:pPr>
          <a:endParaRPr kumimoji="1" lang="en-US" altLang="ja-JP" sz="1100" baseline="0"/>
        </a:p>
        <a:p>
          <a:pPr>
            <a:lnSpc>
              <a:spcPts val="1000"/>
            </a:lnSpc>
          </a:pPr>
          <a:endParaRPr kumimoji="1" lang="en-US" altLang="ja-JP" sz="1100" baseline="0"/>
        </a:p>
        <a:p>
          <a:endParaRPr kumimoji="1" lang="en-US" altLang="ja-JP" sz="1100" baseline="0"/>
        </a:p>
        <a:p>
          <a:pPr>
            <a:lnSpc>
              <a:spcPts val="700"/>
            </a:lnSpc>
          </a:pPr>
          <a:endParaRPr kumimoji="1" lang="ja-JP" altLang="en-US" sz="1100"/>
        </a:p>
      </xdr:txBody>
    </xdr:sp>
    <xdr:clientData/>
  </xdr:twoCellAnchor>
  <xdr:twoCellAnchor>
    <xdr:from>
      <xdr:col>49</xdr:col>
      <xdr:colOff>157162</xdr:colOff>
      <xdr:row>14</xdr:row>
      <xdr:rowOff>80964</xdr:rowOff>
    </xdr:from>
    <xdr:to>
      <xdr:col>53</xdr:col>
      <xdr:colOff>133350</xdr:colOff>
      <xdr:row>18</xdr:row>
      <xdr:rowOff>97633</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15730537" y="2771777"/>
          <a:ext cx="1905001" cy="1195387"/>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BIZ UDPゴシック" panose="020B0400000000000000" pitchFamily="50" charset="-128"/>
              <a:ea typeface="BIZ UDPゴシック" panose="020B0400000000000000" pitchFamily="50" charset="-128"/>
            </a:rPr>
            <a:t>いつ、なにを食べるかを</a:t>
          </a:r>
          <a:endParaRPr kumimoji="1" lang="en-US" altLang="ja-JP" sz="1100">
            <a:latin typeface="BIZ UDPゴシック" panose="020B0400000000000000" pitchFamily="50" charset="-128"/>
            <a:ea typeface="BIZ UDPゴシック" panose="020B0400000000000000" pitchFamily="50" charset="-128"/>
          </a:endParaRPr>
        </a:p>
        <a:p>
          <a:pPr algn="ctr">
            <a:lnSpc>
              <a:spcPts val="1300"/>
            </a:lnSpc>
          </a:pPr>
          <a:r>
            <a:rPr kumimoji="1" lang="ja-JP" altLang="en-US" sz="1100">
              <a:latin typeface="BIZ UDPゴシック" panose="020B0400000000000000" pitchFamily="50" charset="-128"/>
              <a:ea typeface="BIZ UDPゴシック" panose="020B0400000000000000" pitchFamily="50" charset="-128"/>
            </a:rPr>
            <a:t>選択・記入してください。</a:t>
          </a:r>
        </a:p>
      </xdr:txBody>
    </xdr:sp>
    <xdr:clientData fPrintsWithSheet="0"/>
  </xdr:twoCellAnchor>
  <xdr:twoCellAnchor>
    <xdr:from>
      <xdr:col>29</xdr:col>
      <xdr:colOff>238125</xdr:colOff>
      <xdr:row>22</xdr:row>
      <xdr:rowOff>152400</xdr:rowOff>
    </xdr:from>
    <xdr:to>
      <xdr:col>38</xdr:col>
      <xdr:colOff>250031</xdr:colOff>
      <xdr:row>33</xdr:row>
      <xdr:rowOff>142875</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9977438" y="5236369"/>
          <a:ext cx="2595562" cy="221694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nSpc>
              <a:spcPts val="1300"/>
            </a:lnSpc>
          </a:pPr>
          <a:r>
            <a:rPr kumimoji="1" lang="ja-JP" altLang="en-US" sz="1100" b="1">
              <a:latin typeface="BIZ UDPゴシック" panose="020B0400000000000000" pitchFamily="50" charset="-128"/>
              <a:ea typeface="BIZ UDPゴシック" panose="020B0400000000000000" pitchFamily="50" charset="-128"/>
            </a:rPr>
            <a:t>◎</a:t>
          </a:r>
          <a:r>
            <a:rPr kumimoji="1" lang="en-US" altLang="ja-JP" sz="1100" b="1">
              <a:latin typeface="BIZ UDPゴシック" panose="020B0400000000000000" pitchFamily="50" charset="-128"/>
              <a:ea typeface="BIZ UDPゴシック" panose="020B0400000000000000" pitchFamily="50" charset="-128"/>
            </a:rPr>
            <a:t>Excel</a:t>
          </a:r>
          <a:r>
            <a:rPr kumimoji="1" lang="ja-JP" altLang="en-US" sz="1100" b="1">
              <a:latin typeface="BIZ UDPゴシック" panose="020B0400000000000000" pitchFamily="50" charset="-128"/>
              <a:ea typeface="BIZ UDPゴシック" panose="020B0400000000000000" pitchFamily="50" charset="-128"/>
            </a:rPr>
            <a:t>の場合</a:t>
          </a:r>
          <a:endParaRPr kumimoji="1" lang="en-US" altLang="ja-JP" sz="1100" b="1">
            <a:latin typeface="BIZ UDPゴシック" panose="020B0400000000000000" pitchFamily="50" charset="-128"/>
            <a:ea typeface="BIZ UDPゴシック" panose="020B0400000000000000" pitchFamily="50" charset="-128"/>
          </a:endParaRPr>
        </a:p>
        <a:p>
          <a:pPr>
            <a:lnSpc>
              <a:spcPts val="1300"/>
            </a:lnSpc>
          </a:pPr>
          <a:r>
            <a:rPr kumimoji="1" lang="ja-JP" altLang="en-US" sz="1100">
              <a:latin typeface="BIZ UDPゴシック" panose="020B0400000000000000" pitchFamily="50" charset="-128"/>
              <a:ea typeface="BIZ UDPゴシック" panose="020B0400000000000000" pitchFamily="50" charset="-128"/>
            </a:rPr>
            <a:t>対応不要の項目にはリストから</a:t>
          </a:r>
          <a:endParaRPr kumimoji="1" lang="en-US" altLang="ja-JP" sz="1100">
            <a:latin typeface="BIZ UDPゴシック" panose="020B0400000000000000" pitchFamily="50" charset="-128"/>
            <a:ea typeface="BIZ UDPゴシック" panose="020B0400000000000000" pitchFamily="50" charset="-128"/>
          </a:endParaRPr>
        </a:p>
        <a:p>
          <a:pPr>
            <a:lnSpc>
              <a:spcPts val="1900"/>
            </a:lnSpc>
          </a:pPr>
          <a:r>
            <a:rPr kumimoji="1" lang="ja-JP" altLang="en-US" sz="1600" b="1" u="sng">
              <a:latin typeface="BIZ UDPゴシック" panose="020B0400000000000000" pitchFamily="50" charset="-128"/>
              <a:ea typeface="BIZ UDPゴシック" panose="020B0400000000000000" pitchFamily="50" charset="-128"/>
            </a:rPr>
            <a:t>必ず「対応不要」を選択</a:t>
          </a:r>
          <a:endParaRPr kumimoji="1" lang="en-US" altLang="ja-JP" sz="1600" b="1" u="sng">
            <a:latin typeface="BIZ UDPゴシック" panose="020B0400000000000000" pitchFamily="50" charset="-128"/>
            <a:ea typeface="BIZ UDPゴシック" panose="020B0400000000000000" pitchFamily="50" charset="-128"/>
          </a:endParaRPr>
        </a:p>
        <a:p>
          <a:pPr>
            <a:lnSpc>
              <a:spcPts val="1300"/>
            </a:lnSpc>
          </a:pPr>
          <a:r>
            <a:rPr kumimoji="1" lang="ja-JP" altLang="en-US" sz="1100">
              <a:latin typeface="BIZ UDPゴシック" panose="020B0400000000000000" pitchFamily="50" charset="-128"/>
              <a:ea typeface="BIZ UDPゴシック" panose="020B0400000000000000" pitchFamily="50" charset="-128"/>
            </a:rPr>
            <a:t>してください。</a:t>
          </a:r>
          <a:endParaRPr kumimoji="1" lang="en-US" altLang="ja-JP" sz="1100">
            <a:latin typeface="BIZ UDPゴシック" panose="020B0400000000000000" pitchFamily="50" charset="-128"/>
            <a:ea typeface="BIZ UDPゴシック" panose="020B0400000000000000" pitchFamily="50" charset="-128"/>
          </a:endParaRPr>
        </a:p>
        <a:p>
          <a:pPr>
            <a:lnSpc>
              <a:spcPts val="1300"/>
            </a:lnSpc>
          </a:pPr>
          <a:endParaRPr kumimoji="1" lang="en-US" altLang="ja-JP" sz="1100">
            <a:latin typeface="BIZ UDPゴシック" panose="020B0400000000000000" pitchFamily="50" charset="-128"/>
            <a:ea typeface="BIZ UDPゴシック" panose="020B0400000000000000" pitchFamily="50" charset="-128"/>
          </a:endParaRPr>
        </a:p>
        <a:p>
          <a:pPr>
            <a:lnSpc>
              <a:spcPts val="1300"/>
            </a:lnSpc>
          </a:pPr>
          <a:r>
            <a:rPr kumimoji="1" lang="ja-JP" altLang="en-US" sz="1100" b="1">
              <a:latin typeface="BIZ UDPゴシック" panose="020B0400000000000000" pitchFamily="50" charset="-128"/>
              <a:ea typeface="BIZ UDPゴシック" panose="020B0400000000000000" pitchFamily="50" charset="-128"/>
            </a:rPr>
            <a:t>◎手書きの場合</a:t>
          </a:r>
          <a:endParaRPr kumimoji="1" lang="en-US" altLang="ja-JP" sz="1100" b="1">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対応不要の項目を</a:t>
          </a:r>
          <a:endParaRPr kumimoji="1" lang="en-US" altLang="ja-JP" sz="1100">
            <a:latin typeface="BIZ UDPゴシック" panose="020B0400000000000000" pitchFamily="50" charset="-128"/>
            <a:ea typeface="BIZ UDPゴシック" panose="020B0400000000000000" pitchFamily="50" charset="-128"/>
          </a:endParaRPr>
        </a:p>
        <a:p>
          <a:pPr>
            <a:lnSpc>
              <a:spcPts val="1900"/>
            </a:lnSpc>
          </a:pPr>
          <a:r>
            <a:rPr kumimoji="1" lang="ja-JP" altLang="en-US" sz="1600" b="1" u="sng">
              <a:latin typeface="BIZ UDPゴシック" panose="020B0400000000000000" pitchFamily="50" charset="-128"/>
              <a:ea typeface="BIZ UDPゴシック" panose="020B0400000000000000" pitchFamily="50" charset="-128"/>
            </a:rPr>
            <a:t>必ず黒く塗りつぶして</a:t>
          </a:r>
          <a:endParaRPr kumimoji="1" lang="en-US" altLang="ja-JP" sz="1600" b="1" u="sng">
            <a:latin typeface="BIZ UDPゴシック" panose="020B0400000000000000" pitchFamily="50" charset="-128"/>
            <a:ea typeface="BIZ UDPゴシック" panose="020B0400000000000000" pitchFamily="50" charset="-128"/>
          </a:endParaRPr>
        </a:p>
        <a:p>
          <a:pPr>
            <a:lnSpc>
              <a:spcPts val="1900"/>
            </a:lnSpc>
          </a:pPr>
          <a:r>
            <a:rPr kumimoji="1" lang="ja-JP" altLang="en-US" sz="1100">
              <a:latin typeface="BIZ UDPゴシック" panose="020B0400000000000000" pitchFamily="50" charset="-128"/>
              <a:ea typeface="BIZ UDPゴシック" panose="020B0400000000000000" pitchFamily="50" charset="-128"/>
            </a:rPr>
            <a:t>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29</xdr:col>
      <xdr:colOff>38103</xdr:colOff>
      <xdr:row>23</xdr:row>
      <xdr:rowOff>152402</xdr:rowOff>
    </xdr:from>
    <xdr:to>
      <xdr:col>29</xdr:col>
      <xdr:colOff>238125</xdr:colOff>
      <xdr:row>28</xdr:row>
      <xdr:rowOff>46435</xdr:rowOff>
    </xdr:to>
    <xdr:cxnSp macro="">
      <xdr:nvCxnSpPr>
        <xdr:cNvPr id="9" name="直線矢印コネクタ 8">
          <a:extLst>
            <a:ext uri="{FF2B5EF4-FFF2-40B4-BE49-F238E27FC236}">
              <a16:creationId xmlns:a16="http://schemas.microsoft.com/office/drawing/2014/main" id="{00000000-0008-0000-0500-000009000000}"/>
            </a:ext>
          </a:extLst>
        </xdr:cNvPr>
        <xdr:cNvCxnSpPr>
          <a:stCxn id="8" idx="1"/>
        </xdr:cNvCxnSpPr>
      </xdr:nvCxnSpPr>
      <xdr:spPr>
        <a:xfrm flipH="1" flipV="1">
          <a:off x="9777416" y="5438777"/>
          <a:ext cx="200022" cy="9060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209550</xdr:colOff>
      <xdr:row>47</xdr:row>
      <xdr:rowOff>23813</xdr:rowOff>
    </xdr:from>
    <xdr:to>
      <xdr:col>48</xdr:col>
      <xdr:colOff>0</xdr:colOff>
      <xdr:row>52</xdr:row>
      <xdr:rowOff>28575</xdr:rowOff>
    </xdr:to>
    <xdr:sp macro="" textlink="">
      <xdr:nvSpPr>
        <xdr:cNvPr id="11" name="角丸四角形 10">
          <a:extLst>
            <a:ext uri="{FF2B5EF4-FFF2-40B4-BE49-F238E27FC236}">
              <a16:creationId xmlns:a16="http://schemas.microsoft.com/office/drawing/2014/main" id="{00000000-0008-0000-0500-00000B000000}"/>
            </a:ext>
          </a:extLst>
        </xdr:cNvPr>
        <xdr:cNvSpPr/>
      </xdr:nvSpPr>
      <xdr:spPr>
        <a:xfrm>
          <a:off x="13020675" y="9084469"/>
          <a:ext cx="1826419" cy="101679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500"/>
            </a:lnSpc>
          </a:pPr>
          <a:r>
            <a:rPr kumimoji="1" lang="ja-JP" altLang="en-US" sz="1100">
              <a:latin typeface="BIZ UDPゴシック" panose="020B0400000000000000" pitchFamily="50" charset="-128"/>
              <a:ea typeface="BIZ UDPゴシック" panose="020B0400000000000000" pitchFamily="50" charset="-128"/>
            </a:rPr>
            <a:t>不明な点は、記入例のように</a:t>
          </a:r>
          <a:r>
            <a:rPr kumimoji="1" lang="ja-JP" altLang="en-US" sz="1100" b="1" u="sng">
              <a:latin typeface="BIZ UDPゴシック" panose="020B0400000000000000" pitchFamily="50" charset="-128"/>
              <a:ea typeface="BIZ UDPゴシック" panose="020B0400000000000000" pitchFamily="50" charset="-128"/>
            </a:rPr>
            <a:t>備考欄又は別紙</a:t>
          </a:r>
          <a:r>
            <a:rPr kumimoji="1" lang="ja-JP" altLang="en-US" sz="1100">
              <a:latin typeface="BIZ UDPゴシック" panose="020B0400000000000000" pitchFamily="50" charset="-128"/>
              <a:ea typeface="BIZ UDPゴシック" panose="020B0400000000000000" pitchFamily="50" charset="-128"/>
            </a:rPr>
            <a:t>を使って、依頼及び質問等を寄せてください。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48</xdr:col>
      <xdr:colOff>0</xdr:colOff>
      <xdr:row>49</xdr:row>
      <xdr:rowOff>123827</xdr:rowOff>
    </xdr:from>
    <xdr:to>
      <xdr:col>48</xdr:col>
      <xdr:colOff>247650</xdr:colOff>
      <xdr:row>49</xdr:row>
      <xdr:rowOff>127397</xdr:rowOff>
    </xdr:to>
    <xdr:cxnSp macro="">
      <xdr:nvCxnSpPr>
        <xdr:cNvPr id="12" name="直線矢印コネクタ 11">
          <a:extLst>
            <a:ext uri="{FF2B5EF4-FFF2-40B4-BE49-F238E27FC236}">
              <a16:creationId xmlns:a16="http://schemas.microsoft.com/office/drawing/2014/main" id="{00000000-0008-0000-0500-00000C000000}"/>
            </a:ext>
          </a:extLst>
        </xdr:cNvPr>
        <xdr:cNvCxnSpPr>
          <a:stCxn id="11" idx="3"/>
        </xdr:cNvCxnSpPr>
      </xdr:nvCxnSpPr>
      <xdr:spPr>
        <a:xfrm flipV="1">
          <a:off x="14847094" y="9589296"/>
          <a:ext cx="247650" cy="35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238125</xdr:colOff>
      <xdr:row>51</xdr:row>
      <xdr:rowOff>114300</xdr:rowOff>
    </xdr:from>
    <xdr:to>
      <xdr:col>35</xdr:col>
      <xdr:colOff>247651</xdr:colOff>
      <xdr:row>53</xdr:row>
      <xdr:rowOff>161925</xdr:rowOff>
    </xdr:to>
    <xdr:cxnSp macro="">
      <xdr:nvCxnSpPr>
        <xdr:cNvPr id="13" name="直線矢印コネクタ 12">
          <a:extLst>
            <a:ext uri="{FF2B5EF4-FFF2-40B4-BE49-F238E27FC236}">
              <a16:creationId xmlns:a16="http://schemas.microsoft.com/office/drawing/2014/main" id="{00000000-0008-0000-0500-00000D000000}"/>
            </a:ext>
          </a:extLst>
        </xdr:cNvPr>
        <xdr:cNvCxnSpPr/>
      </xdr:nvCxnSpPr>
      <xdr:spPr>
        <a:xfrm>
          <a:off x="10439400" y="9963150"/>
          <a:ext cx="9526" cy="447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104774</xdr:colOff>
      <xdr:row>47</xdr:row>
      <xdr:rowOff>14287</xdr:rowOff>
    </xdr:from>
    <xdr:to>
      <xdr:col>41</xdr:col>
      <xdr:colOff>71437</xdr:colOff>
      <xdr:row>51</xdr:row>
      <xdr:rowOff>150018</xdr:rowOff>
    </xdr:to>
    <xdr:sp macro="" textlink="">
      <xdr:nvSpPr>
        <xdr:cNvPr id="14" name="角丸四角形 13">
          <a:extLst>
            <a:ext uri="{FF2B5EF4-FFF2-40B4-BE49-F238E27FC236}">
              <a16:creationId xmlns:a16="http://schemas.microsoft.com/office/drawing/2014/main" id="{00000000-0008-0000-0500-00000E000000}"/>
            </a:ext>
          </a:extLst>
        </xdr:cNvPr>
        <xdr:cNvSpPr/>
      </xdr:nvSpPr>
      <xdr:spPr>
        <a:xfrm>
          <a:off x="9844087" y="10158412"/>
          <a:ext cx="3490913" cy="945356"/>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100">
              <a:latin typeface="BIZ UDPゴシック" panose="020B0400000000000000" pitchFamily="50" charset="-128"/>
              <a:ea typeface="BIZ UDPゴシック" panose="020B0400000000000000" pitchFamily="50" charset="-128"/>
            </a:rPr>
            <a:t>食堂からの回答内容について、</a:t>
          </a:r>
          <a:endParaRPr kumimoji="1" lang="en-US" altLang="ja-JP" sz="1100">
            <a:latin typeface="BIZ UDPゴシック" panose="020B0400000000000000" pitchFamily="50" charset="-128"/>
            <a:ea typeface="BIZ UDPゴシック" panose="020B0400000000000000" pitchFamily="50" charset="-128"/>
          </a:endParaRPr>
        </a:p>
        <a:p>
          <a:pPr algn="ctr"/>
          <a:r>
            <a:rPr kumimoji="1" lang="ja-JP" altLang="en-US" sz="1400" b="1" u="sng">
              <a:solidFill>
                <a:srgbClr val="FF0000"/>
              </a:solidFill>
              <a:latin typeface="BIZ UDPゴシック" panose="020B0400000000000000" pitchFamily="50" charset="-128"/>
              <a:ea typeface="BIZ UDPゴシック" panose="020B0400000000000000" pitchFamily="50" charset="-128"/>
            </a:rPr>
            <a:t>支障がないことを必ず確認したうえで</a:t>
          </a:r>
          <a:r>
            <a:rPr kumimoji="1" lang="ja-JP" altLang="en-US" sz="1100">
              <a:latin typeface="BIZ UDPゴシック" panose="020B0400000000000000" pitchFamily="50" charset="-128"/>
              <a:ea typeface="BIZ UDPゴシック" panose="020B0400000000000000" pitchFamily="50" charset="-128"/>
            </a:rPr>
            <a:t>、</a:t>
          </a:r>
          <a:endParaRPr kumimoji="1" lang="en-US" altLang="ja-JP" sz="1100">
            <a:latin typeface="BIZ UDPゴシック" panose="020B0400000000000000" pitchFamily="50" charset="-128"/>
            <a:ea typeface="BIZ UDPゴシック" panose="020B0400000000000000" pitchFamily="50" charset="-128"/>
          </a:endParaRPr>
        </a:p>
        <a:p>
          <a:pPr algn="ctr"/>
          <a:r>
            <a:rPr kumimoji="1" lang="ja-JP" altLang="en-US" sz="1100">
              <a:latin typeface="BIZ UDPゴシック" panose="020B0400000000000000" pitchFamily="50" charset="-128"/>
              <a:ea typeface="BIZ UDPゴシック" panose="020B0400000000000000" pitchFamily="50" charset="-128"/>
            </a:rPr>
            <a:t>最終確認者が署名してください。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46</xdr:col>
      <xdr:colOff>59531</xdr:colOff>
      <xdr:row>16</xdr:row>
      <xdr:rowOff>136924</xdr:rowOff>
    </xdr:from>
    <xdr:to>
      <xdr:col>49</xdr:col>
      <xdr:colOff>157162</xdr:colOff>
      <xdr:row>18</xdr:row>
      <xdr:rowOff>71437</xdr:rowOff>
    </xdr:to>
    <xdr:cxnSp macro="">
      <xdr:nvCxnSpPr>
        <xdr:cNvPr id="15" name="直線矢印コネクタ 14">
          <a:extLst>
            <a:ext uri="{FF2B5EF4-FFF2-40B4-BE49-F238E27FC236}">
              <a16:creationId xmlns:a16="http://schemas.microsoft.com/office/drawing/2014/main" id="{00000000-0008-0000-0500-00000F000000}"/>
            </a:ext>
          </a:extLst>
        </xdr:cNvPr>
        <xdr:cNvCxnSpPr>
          <a:stCxn id="4" idx="1"/>
        </xdr:cNvCxnSpPr>
      </xdr:nvCxnSpPr>
      <xdr:spPr>
        <a:xfrm flipH="1">
          <a:off x="14811375" y="3256362"/>
          <a:ext cx="919162" cy="684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29</xdr:col>
      <xdr:colOff>38103</xdr:colOff>
      <xdr:row>28</xdr:row>
      <xdr:rowOff>46435</xdr:rowOff>
    </xdr:from>
    <xdr:to>
      <xdr:col>29</xdr:col>
      <xdr:colOff>238125</xdr:colOff>
      <xdr:row>31</xdr:row>
      <xdr:rowOff>19050</xdr:rowOff>
    </xdr:to>
    <xdr:cxnSp macro="">
      <xdr:nvCxnSpPr>
        <xdr:cNvPr id="24" name="直線矢印コネクタ 23">
          <a:extLst>
            <a:ext uri="{FF2B5EF4-FFF2-40B4-BE49-F238E27FC236}">
              <a16:creationId xmlns:a16="http://schemas.microsoft.com/office/drawing/2014/main" id="{00000000-0008-0000-0500-000018000000}"/>
            </a:ext>
          </a:extLst>
        </xdr:cNvPr>
        <xdr:cNvCxnSpPr>
          <a:stCxn id="8" idx="1"/>
        </xdr:cNvCxnSpPr>
      </xdr:nvCxnSpPr>
      <xdr:spPr>
        <a:xfrm flipH="1">
          <a:off x="9777416" y="6344841"/>
          <a:ext cx="200022" cy="5798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247650</xdr:colOff>
      <xdr:row>0</xdr:row>
      <xdr:rowOff>28575</xdr:rowOff>
    </xdr:from>
    <xdr:to>
      <xdr:col>51</xdr:col>
      <xdr:colOff>238125</xdr:colOff>
      <xdr:row>0</xdr:row>
      <xdr:rowOff>288348</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4763750" y="28575"/>
          <a:ext cx="90487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48</xdr:col>
      <xdr:colOff>247650</xdr:colOff>
      <xdr:row>0</xdr:row>
      <xdr:rowOff>28575</xdr:rowOff>
    </xdr:from>
    <xdr:to>
      <xdr:col>51</xdr:col>
      <xdr:colOff>238125</xdr:colOff>
      <xdr:row>0</xdr:row>
      <xdr:rowOff>288348</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4839950" y="28575"/>
          <a:ext cx="90487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30</xdr:col>
      <xdr:colOff>105295</xdr:colOff>
      <xdr:row>1</xdr:row>
      <xdr:rowOff>185764</xdr:rowOff>
    </xdr:from>
    <xdr:to>
      <xdr:col>39</xdr:col>
      <xdr:colOff>232350</xdr:colOff>
      <xdr:row>7</xdr:row>
      <xdr:rowOff>39055</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9630295" y="495327"/>
          <a:ext cx="2913118" cy="1639228"/>
          <a:chOff x="8774906" y="7289006"/>
          <a:chExt cx="2967037" cy="1647823"/>
        </a:xfrm>
        <a:solidFill>
          <a:schemeClr val="bg1"/>
        </a:solidFill>
      </xdr:grpSpPr>
      <xdr:sp macro="" textlink="">
        <xdr:nvSpPr>
          <xdr:cNvPr id="5" name="四角形吹き出し 4">
            <a:extLst>
              <a:ext uri="{FF2B5EF4-FFF2-40B4-BE49-F238E27FC236}">
                <a16:creationId xmlns:a16="http://schemas.microsoft.com/office/drawing/2014/main" id="{00000000-0008-0000-0600-000005000000}"/>
              </a:ext>
            </a:extLst>
          </xdr:cNvPr>
          <xdr:cNvSpPr/>
        </xdr:nvSpPr>
        <xdr:spPr>
          <a:xfrm>
            <a:off x="8774906" y="7289006"/>
            <a:ext cx="2967037" cy="1647823"/>
          </a:xfrm>
          <a:prstGeom prst="wedgeRectCallout">
            <a:avLst>
              <a:gd name="adj1" fmla="val -48454"/>
              <a:gd name="adj2" fmla="val 135202"/>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8896349" y="7405688"/>
            <a:ext cx="2795587" cy="1409699"/>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色のついた欄に、データを打ち込むと、自動的に</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人数報告用紙</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に総数が積算されます。</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nSpc>
                <a:spcPts val="1700"/>
              </a:lnSpc>
            </a:pP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nSpc>
                <a:spcPts val="1700"/>
              </a:lnSpc>
            </a:pPr>
            <a:r>
              <a:rPr kumimoji="1" lang="ja-JP" altLang="en-US" sz="1400" b="1" u="sng">
                <a:solidFill>
                  <a:sysClr val="windowText" lastClr="000000"/>
                </a:solidFill>
                <a:latin typeface="BIZ UDPゴシック" panose="020B0400000000000000" pitchFamily="50" charset="-128"/>
                <a:ea typeface="BIZ UDPゴシック" panose="020B0400000000000000" pitchFamily="50" charset="-128"/>
              </a:rPr>
              <a:t>欠席、修正がある場合は、必ず本利用者名簿を修正してください。</a:t>
            </a:r>
            <a:endParaRPr kumimoji="1" lang="en-US" altLang="ja-JP" sz="1400" b="1" u="sng">
              <a:solidFill>
                <a:sysClr val="windowText" lastClr="000000"/>
              </a:solidFill>
              <a:latin typeface="BIZ UDPゴシック" panose="020B0400000000000000" pitchFamily="50" charset="-128"/>
              <a:ea typeface="BIZ UDPゴシック" panose="020B0400000000000000" pitchFamily="50" charset="-128"/>
            </a:endParaRPr>
          </a:p>
        </xdr:txBody>
      </xdr:sp>
    </xdr:grpSp>
    <xdr:clientData/>
  </xdr:twoCellAnchor>
  <xdr:twoCellAnchor>
    <xdr:from>
      <xdr:col>37</xdr:col>
      <xdr:colOff>290541</xdr:colOff>
      <xdr:row>8</xdr:row>
      <xdr:rowOff>21895</xdr:rowOff>
    </xdr:from>
    <xdr:to>
      <xdr:col>46</xdr:col>
      <xdr:colOff>153276</xdr:colOff>
      <xdr:row>10</xdr:row>
      <xdr:rowOff>300936</xdr:rowOff>
    </xdr:to>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11982479" y="2284083"/>
          <a:ext cx="2648797" cy="767197"/>
          <a:chOff x="8774906" y="7289006"/>
          <a:chExt cx="2967037" cy="1647823"/>
        </a:xfrm>
        <a:solidFill>
          <a:schemeClr val="bg1"/>
        </a:solidFill>
      </xdr:grpSpPr>
      <xdr:sp macro="" textlink="">
        <xdr:nvSpPr>
          <xdr:cNvPr id="9" name="四角形吹き出し 8">
            <a:extLst>
              <a:ext uri="{FF2B5EF4-FFF2-40B4-BE49-F238E27FC236}">
                <a16:creationId xmlns:a16="http://schemas.microsoft.com/office/drawing/2014/main" id="{00000000-0008-0000-0600-000009000000}"/>
              </a:ext>
            </a:extLst>
          </xdr:cNvPr>
          <xdr:cNvSpPr/>
        </xdr:nvSpPr>
        <xdr:spPr>
          <a:xfrm>
            <a:off x="8774906" y="7289006"/>
            <a:ext cx="2967037" cy="1647823"/>
          </a:xfrm>
          <a:prstGeom prst="wedgeRectCallout">
            <a:avLst>
              <a:gd name="adj1" fmla="val -53957"/>
              <a:gd name="adj2" fmla="val 265580"/>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8885465" y="7520940"/>
            <a:ext cx="2795587" cy="117415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「減免区分」は必ず、リストから選択してください。</a:t>
            </a:r>
            <a:endParaRPr kumimoji="1" lang="en-US" altLang="ja-JP" sz="1400" b="1" u="sng">
              <a:solidFill>
                <a:sysClr val="windowText" lastClr="000000"/>
              </a:solidFill>
              <a:latin typeface="BIZ UDPゴシック" panose="020B0400000000000000" pitchFamily="50" charset="-128"/>
              <a:ea typeface="BIZ UDPゴシック" panose="020B0400000000000000" pitchFamily="50"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47625</xdr:colOff>
          <xdr:row>9</xdr:row>
          <xdr:rowOff>19050</xdr:rowOff>
        </xdr:from>
        <xdr:to>
          <xdr:col>18</xdr:col>
          <xdr:colOff>361950</xdr:colOff>
          <xdr:row>10</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7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xdr:row>
          <xdr:rowOff>19050</xdr:rowOff>
        </xdr:from>
        <xdr:to>
          <xdr:col>18</xdr:col>
          <xdr:colOff>361950</xdr:colOff>
          <xdr:row>11</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19050</xdr:rowOff>
        </xdr:from>
        <xdr:to>
          <xdr:col>18</xdr:col>
          <xdr:colOff>361950</xdr:colOff>
          <xdr:row>12</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19050</xdr:rowOff>
        </xdr:from>
        <xdr:to>
          <xdr:col>18</xdr:col>
          <xdr:colOff>361950</xdr:colOff>
          <xdr:row>13</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7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18</xdr:col>
          <xdr:colOff>361950</xdr:colOff>
          <xdr:row>14</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xdr:row>
          <xdr:rowOff>19050</xdr:rowOff>
        </xdr:from>
        <xdr:to>
          <xdr:col>19</xdr:col>
          <xdr:colOff>361950</xdr:colOff>
          <xdr:row>10</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7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10</xdr:row>
          <xdr:rowOff>19050</xdr:rowOff>
        </xdr:from>
        <xdr:to>
          <xdr:col>19</xdr:col>
          <xdr:colOff>361950</xdr:colOff>
          <xdr:row>11</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7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xdr:row>
          <xdr:rowOff>19050</xdr:rowOff>
        </xdr:from>
        <xdr:to>
          <xdr:col>19</xdr:col>
          <xdr:colOff>361950</xdr:colOff>
          <xdr:row>12</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7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xdr:row>
          <xdr:rowOff>19050</xdr:rowOff>
        </xdr:from>
        <xdr:to>
          <xdr:col>19</xdr:col>
          <xdr:colOff>361950</xdr:colOff>
          <xdr:row>13</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7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361950</xdr:colOff>
          <xdr:row>14</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7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72</xdr:col>
      <xdr:colOff>257175</xdr:colOff>
      <xdr:row>1</xdr:row>
      <xdr:rowOff>76200</xdr:rowOff>
    </xdr:from>
    <xdr:to>
      <xdr:col>74</xdr:col>
      <xdr:colOff>346076</xdr:colOff>
      <xdr:row>2</xdr:row>
      <xdr:rowOff>269215</xdr:rowOff>
    </xdr:to>
    <xdr:sp macro="" textlink="">
      <xdr:nvSpPr>
        <xdr:cNvPr id="41" name="テキスト ボックス 40">
          <a:extLst>
            <a:ext uri="{FF2B5EF4-FFF2-40B4-BE49-F238E27FC236}">
              <a16:creationId xmlns:a16="http://schemas.microsoft.com/office/drawing/2014/main" id="{00000000-0008-0000-0700-000029000000}"/>
            </a:ext>
          </a:extLst>
        </xdr:cNvPr>
        <xdr:cNvSpPr txBox="1"/>
      </xdr:nvSpPr>
      <xdr:spPr>
        <a:xfrm>
          <a:off x="10265327" y="16379135"/>
          <a:ext cx="1110423" cy="3862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73</xdr:col>
      <xdr:colOff>114301</xdr:colOff>
      <xdr:row>14</xdr:row>
      <xdr:rowOff>263647</xdr:rowOff>
    </xdr:from>
    <xdr:to>
      <xdr:col>83</xdr:col>
      <xdr:colOff>154081</xdr:colOff>
      <xdr:row>19</xdr:row>
      <xdr:rowOff>56030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39028256" y="4974192"/>
          <a:ext cx="4386643" cy="1524202"/>
          <a:chOff x="34443620" y="8233831"/>
          <a:chExt cx="3264174" cy="1473265"/>
        </a:xfrm>
      </xdr:grpSpPr>
      <xdr:sp macro="" textlink="">
        <xdr:nvSpPr>
          <xdr:cNvPr id="57" name="四角形吹き出し 56">
            <a:extLst>
              <a:ext uri="{FF2B5EF4-FFF2-40B4-BE49-F238E27FC236}">
                <a16:creationId xmlns:a16="http://schemas.microsoft.com/office/drawing/2014/main" id="{00000000-0008-0000-0700-000039000000}"/>
              </a:ext>
            </a:extLst>
          </xdr:cNvPr>
          <xdr:cNvSpPr/>
        </xdr:nvSpPr>
        <xdr:spPr>
          <a:xfrm>
            <a:off x="34443620" y="8233831"/>
            <a:ext cx="3264174" cy="1473265"/>
          </a:xfrm>
          <a:prstGeom prst="wedgeRectCallout">
            <a:avLst>
              <a:gd name="adj1" fmla="val -6791"/>
              <a:gd name="adj2" fmla="val 122629"/>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b="1">
                <a:solidFill>
                  <a:schemeClr val="bg1"/>
                </a:solidFill>
              </a:rPr>
              <a:t>クラフトは、事前準備の必要があるため、天候によって実施しない場合でも、種類・数量をご記入ください。そのうえで、実施した場合のみ料金を請求いたします。</a:t>
            </a:r>
          </a:p>
        </xdr:txBody>
      </xdr:sp>
    </xdr:grpSp>
    <xdr:clientData/>
  </xdr:twoCellAnchor>
  <xdr:twoCellAnchor>
    <xdr:from>
      <xdr:col>85</xdr:col>
      <xdr:colOff>217824</xdr:colOff>
      <xdr:row>14</xdr:row>
      <xdr:rowOff>67806</xdr:rowOff>
    </xdr:from>
    <xdr:to>
      <xdr:col>95</xdr:col>
      <xdr:colOff>323850</xdr:colOff>
      <xdr:row>18</xdr:row>
      <xdr:rowOff>133350</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344551" y="4778351"/>
          <a:ext cx="4435572" cy="1450999"/>
          <a:chOff x="44284956" y="5096445"/>
          <a:chExt cx="3396073" cy="926718"/>
        </a:xfrm>
      </xdr:grpSpPr>
      <xdr:sp macro="" textlink="">
        <xdr:nvSpPr>
          <xdr:cNvPr id="59" name="四角形吹き出し 58">
            <a:extLst>
              <a:ext uri="{FF2B5EF4-FFF2-40B4-BE49-F238E27FC236}">
                <a16:creationId xmlns:a16="http://schemas.microsoft.com/office/drawing/2014/main" id="{00000000-0008-0000-0700-00003B000000}"/>
              </a:ext>
            </a:extLst>
          </xdr:cNvPr>
          <xdr:cNvSpPr/>
        </xdr:nvSpPr>
        <xdr:spPr>
          <a:xfrm>
            <a:off x="44284956" y="5096445"/>
            <a:ext cx="3396073" cy="926718"/>
          </a:xfrm>
          <a:prstGeom prst="wedgeRectCallout">
            <a:avLst>
              <a:gd name="adj1" fmla="val -85690"/>
              <a:gd name="adj2" fmla="val -248188"/>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200"/>
          </a:p>
        </xdr:txBody>
      </xdr:sp>
      <xdr:sp macro="" textlink="">
        <xdr:nvSpPr>
          <xdr:cNvPr id="60" name="テキスト ボックス 59">
            <a:extLst>
              <a:ext uri="{FF2B5EF4-FFF2-40B4-BE49-F238E27FC236}">
                <a16:creationId xmlns:a16="http://schemas.microsoft.com/office/drawing/2014/main" id="{00000000-0008-0000-0700-00003C000000}"/>
              </a:ext>
            </a:extLst>
          </xdr:cNvPr>
          <xdr:cNvSpPr txBox="1"/>
        </xdr:nvSpPr>
        <xdr:spPr>
          <a:xfrm>
            <a:off x="44472845" y="5225314"/>
            <a:ext cx="3054101" cy="724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2000" b="1">
                <a:solidFill>
                  <a:schemeClr val="bg1"/>
                </a:solidFill>
              </a:rPr>
              <a:t>【</a:t>
            </a:r>
            <a:r>
              <a:rPr kumimoji="1" lang="ja-JP" altLang="en-US" sz="2000" b="1">
                <a:solidFill>
                  <a:schemeClr val="bg1"/>
                </a:solidFill>
              </a:rPr>
              <a:t>食事申込書</a:t>
            </a:r>
            <a:r>
              <a:rPr kumimoji="1" lang="en-US" altLang="ja-JP" sz="2000" b="1">
                <a:solidFill>
                  <a:schemeClr val="bg1"/>
                </a:solidFill>
              </a:rPr>
              <a:t>】</a:t>
            </a:r>
            <a:r>
              <a:rPr kumimoji="1" lang="ja-JP" altLang="en-US" sz="2000" b="1">
                <a:solidFill>
                  <a:schemeClr val="bg1"/>
                </a:solidFill>
              </a:rPr>
              <a:t>に入力した食数合計が自動的に反映されます。</a:t>
            </a:r>
            <a:endParaRPr kumimoji="1" lang="en-US" altLang="ja-JP" sz="2000" b="1">
              <a:solidFill>
                <a:schemeClr val="bg1"/>
              </a:solidFill>
            </a:endParaRPr>
          </a:p>
          <a:p>
            <a:pPr>
              <a:lnSpc>
                <a:spcPct val="100000"/>
              </a:lnSpc>
            </a:pPr>
            <a:r>
              <a:rPr kumimoji="1" lang="ja-JP" altLang="en-US" sz="2000" b="1">
                <a:solidFill>
                  <a:schemeClr val="bg1"/>
                </a:solidFill>
              </a:rPr>
              <a:t>領収書の内訳を、ご入力ください。</a:t>
            </a:r>
          </a:p>
        </xdr:txBody>
      </xdr:sp>
    </xdr:grpSp>
    <xdr:clientData/>
  </xdr:twoCellAnchor>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18</xdr:col>
          <xdr:colOff>361950</xdr:colOff>
          <xdr:row>14</xdr:row>
          <xdr:rowOff>0</xdr:rowOff>
        </xdr:to>
        <xdr:sp macro="" textlink="">
          <xdr:nvSpPr>
            <xdr:cNvPr id="39431" name="Check Box 2567" hidden="1">
              <a:extLst>
                <a:ext uri="{63B3BB69-23CF-44E3-9099-C40C66FF867C}">
                  <a14:compatExt spid="_x0000_s39431"/>
                </a:ext>
                <a:ext uri="{FF2B5EF4-FFF2-40B4-BE49-F238E27FC236}">
                  <a16:creationId xmlns:a16="http://schemas.microsoft.com/office/drawing/2014/main" id="{00000000-0008-0000-0700-000007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14</xdr:row>
          <xdr:rowOff>19050</xdr:rowOff>
        </xdr:from>
        <xdr:to>
          <xdr:col>18</xdr:col>
          <xdr:colOff>361950</xdr:colOff>
          <xdr:row>15</xdr:row>
          <xdr:rowOff>0</xdr:rowOff>
        </xdr:to>
        <xdr:sp macro="" textlink="">
          <xdr:nvSpPr>
            <xdr:cNvPr id="39432" name="Check Box 2568" hidden="1">
              <a:extLst>
                <a:ext uri="{63B3BB69-23CF-44E3-9099-C40C66FF867C}">
                  <a14:compatExt spid="_x0000_s39432"/>
                </a:ext>
                <a:ext uri="{FF2B5EF4-FFF2-40B4-BE49-F238E27FC236}">
                  <a16:creationId xmlns:a16="http://schemas.microsoft.com/office/drawing/2014/main" id="{00000000-0008-0000-0700-000008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xdr:row>
          <xdr:rowOff>19050</xdr:rowOff>
        </xdr:from>
        <xdr:to>
          <xdr:col>18</xdr:col>
          <xdr:colOff>361950</xdr:colOff>
          <xdr:row>16</xdr:row>
          <xdr:rowOff>0</xdr:rowOff>
        </xdr:to>
        <xdr:sp macro="" textlink="">
          <xdr:nvSpPr>
            <xdr:cNvPr id="39433" name="Check Box 2569" hidden="1">
              <a:extLst>
                <a:ext uri="{63B3BB69-23CF-44E3-9099-C40C66FF867C}">
                  <a14:compatExt spid="_x0000_s39433"/>
                </a:ext>
                <a:ext uri="{FF2B5EF4-FFF2-40B4-BE49-F238E27FC236}">
                  <a16:creationId xmlns:a16="http://schemas.microsoft.com/office/drawing/2014/main" id="{00000000-0008-0000-0700-000009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361950</xdr:colOff>
          <xdr:row>14</xdr:row>
          <xdr:rowOff>0</xdr:rowOff>
        </xdr:to>
        <xdr:sp macro="" textlink="">
          <xdr:nvSpPr>
            <xdr:cNvPr id="39434" name="Check Box 2570" hidden="1">
              <a:extLst>
                <a:ext uri="{63B3BB69-23CF-44E3-9099-C40C66FF867C}">
                  <a14:compatExt spid="_x0000_s39434"/>
                </a:ext>
                <a:ext uri="{FF2B5EF4-FFF2-40B4-BE49-F238E27FC236}">
                  <a16:creationId xmlns:a16="http://schemas.microsoft.com/office/drawing/2014/main" id="{00000000-0008-0000-0700-00000A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14</xdr:row>
          <xdr:rowOff>19050</xdr:rowOff>
        </xdr:from>
        <xdr:to>
          <xdr:col>19</xdr:col>
          <xdr:colOff>361950</xdr:colOff>
          <xdr:row>15</xdr:row>
          <xdr:rowOff>0</xdr:rowOff>
        </xdr:to>
        <xdr:sp macro="" textlink="">
          <xdr:nvSpPr>
            <xdr:cNvPr id="39435" name="Check Box 2571" hidden="1">
              <a:extLst>
                <a:ext uri="{63B3BB69-23CF-44E3-9099-C40C66FF867C}">
                  <a14:compatExt spid="_x0000_s39435"/>
                </a:ext>
                <a:ext uri="{FF2B5EF4-FFF2-40B4-BE49-F238E27FC236}">
                  <a16:creationId xmlns:a16="http://schemas.microsoft.com/office/drawing/2014/main" id="{00000000-0008-0000-0700-00000B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xdr:row>
          <xdr:rowOff>19050</xdr:rowOff>
        </xdr:from>
        <xdr:to>
          <xdr:col>19</xdr:col>
          <xdr:colOff>361950</xdr:colOff>
          <xdr:row>16</xdr:row>
          <xdr:rowOff>0</xdr:rowOff>
        </xdr:to>
        <xdr:sp macro="" textlink="">
          <xdr:nvSpPr>
            <xdr:cNvPr id="39436" name="Check Box 2572" hidden="1">
              <a:extLst>
                <a:ext uri="{63B3BB69-23CF-44E3-9099-C40C66FF867C}">
                  <a14:compatExt spid="_x0000_s39436"/>
                </a:ext>
                <a:ext uri="{FF2B5EF4-FFF2-40B4-BE49-F238E27FC236}">
                  <a16:creationId xmlns:a16="http://schemas.microsoft.com/office/drawing/2014/main" id="{00000000-0008-0000-0700-00000C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9</xdr:row>
          <xdr:rowOff>47625</xdr:rowOff>
        </xdr:from>
        <xdr:to>
          <xdr:col>71</xdr:col>
          <xdr:colOff>295275</xdr:colOff>
          <xdr:row>9</xdr:row>
          <xdr:rowOff>333375</xdr:rowOff>
        </xdr:to>
        <xdr:sp macro="" textlink="">
          <xdr:nvSpPr>
            <xdr:cNvPr id="39489" name="Check Box 2625" hidden="1">
              <a:extLst>
                <a:ext uri="{63B3BB69-23CF-44E3-9099-C40C66FF867C}">
                  <a14:compatExt spid="_x0000_s39489"/>
                </a:ext>
                <a:ext uri="{FF2B5EF4-FFF2-40B4-BE49-F238E27FC236}">
                  <a16:creationId xmlns:a16="http://schemas.microsoft.com/office/drawing/2014/main" id="{00000000-0008-0000-0700-000041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10</xdr:row>
          <xdr:rowOff>47625</xdr:rowOff>
        </xdr:from>
        <xdr:to>
          <xdr:col>71</xdr:col>
          <xdr:colOff>295275</xdr:colOff>
          <xdr:row>10</xdr:row>
          <xdr:rowOff>333375</xdr:rowOff>
        </xdr:to>
        <xdr:sp macro="" textlink="">
          <xdr:nvSpPr>
            <xdr:cNvPr id="39490" name="Check Box 2626" hidden="1">
              <a:extLst>
                <a:ext uri="{63B3BB69-23CF-44E3-9099-C40C66FF867C}">
                  <a14:compatExt spid="_x0000_s39490"/>
                </a:ext>
                <a:ext uri="{FF2B5EF4-FFF2-40B4-BE49-F238E27FC236}">
                  <a16:creationId xmlns:a16="http://schemas.microsoft.com/office/drawing/2014/main" id="{00000000-0008-0000-0700-000042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11</xdr:row>
          <xdr:rowOff>47625</xdr:rowOff>
        </xdr:from>
        <xdr:to>
          <xdr:col>71</xdr:col>
          <xdr:colOff>295275</xdr:colOff>
          <xdr:row>11</xdr:row>
          <xdr:rowOff>333375</xdr:rowOff>
        </xdr:to>
        <xdr:sp macro="" textlink="">
          <xdr:nvSpPr>
            <xdr:cNvPr id="39491" name="Check Box 2627" hidden="1">
              <a:extLst>
                <a:ext uri="{63B3BB69-23CF-44E3-9099-C40C66FF867C}">
                  <a14:compatExt spid="_x0000_s39491"/>
                </a:ext>
                <a:ext uri="{FF2B5EF4-FFF2-40B4-BE49-F238E27FC236}">
                  <a16:creationId xmlns:a16="http://schemas.microsoft.com/office/drawing/2014/main" id="{00000000-0008-0000-0700-000043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12</xdr:row>
          <xdr:rowOff>47625</xdr:rowOff>
        </xdr:from>
        <xdr:to>
          <xdr:col>71</xdr:col>
          <xdr:colOff>295275</xdr:colOff>
          <xdr:row>12</xdr:row>
          <xdr:rowOff>333375</xdr:rowOff>
        </xdr:to>
        <xdr:sp macro="" textlink="">
          <xdr:nvSpPr>
            <xdr:cNvPr id="39492" name="Check Box 2628" hidden="1">
              <a:extLst>
                <a:ext uri="{63B3BB69-23CF-44E3-9099-C40C66FF867C}">
                  <a14:compatExt spid="_x0000_s39492"/>
                </a:ext>
                <a:ext uri="{FF2B5EF4-FFF2-40B4-BE49-F238E27FC236}">
                  <a16:creationId xmlns:a16="http://schemas.microsoft.com/office/drawing/2014/main" id="{00000000-0008-0000-0700-000044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13</xdr:row>
          <xdr:rowOff>47625</xdr:rowOff>
        </xdr:from>
        <xdr:to>
          <xdr:col>71</xdr:col>
          <xdr:colOff>295275</xdr:colOff>
          <xdr:row>13</xdr:row>
          <xdr:rowOff>333375</xdr:rowOff>
        </xdr:to>
        <xdr:sp macro="" textlink="">
          <xdr:nvSpPr>
            <xdr:cNvPr id="39493" name="Check Box 2629" hidden="1">
              <a:extLst>
                <a:ext uri="{63B3BB69-23CF-44E3-9099-C40C66FF867C}">
                  <a14:compatExt spid="_x0000_s39493"/>
                </a:ext>
                <a:ext uri="{FF2B5EF4-FFF2-40B4-BE49-F238E27FC236}">
                  <a16:creationId xmlns:a16="http://schemas.microsoft.com/office/drawing/2014/main" id="{00000000-0008-0000-0700-000045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14</xdr:row>
          <xdr:rowOff>47625</xdr:rowOff>
        </xdr:from>
        <xdr:to>
          <xdr:col>71</xdr:col>
          <xdr:colOff>295275</xdr:colOff>
          <xdr:row>14</xdr:row>
          <xdr:rowOff>333375</xdr:rowOff>
        </xdr:to>
        <xdr:sp macro="" textlink="">
          <xdr:nvSpPr>
            <xdr:cNvPr id="39494" name="Check Box 2630" hidden="1">
              <a:extLst>
                <a:ext uri="{63B3BB69-23CF-44E3-9099-C40C66FF867C}">
                  <a14:compatExt spid="_x0000_s39494"/>
                </a:ext>
                <a:ext uri="{FF2B5EF4-FFF2-40B4-BE49-F238E27FC236}">
                  <a16:creationId xmlns:a16="http://schemas.microsoft.com/office/drawing/2014/main" id="{00000000-0008-0000-0700-000046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15</xdr:row>
          <xdr:rowOff>47625</xdr:rowOff>
        </xdr:from>
        <xdr:to>
          <xdr:col>71</xdr:col>
          <xdr:colOff>295275</xdr:colOff>
          <xdr:row>15</xdr:row>
          <xdr:rowOff>333375</xdr:rowOff>
        </xdr:to>
        <xdr:sp macro="" textlink="">
          <xdr:nvSpPr>
            <xdr:cNvPr id="39495" name="Check Box 2631" hidden="1">
              <a:extLst>
                <a:ext uri="{63B3BB69-23CF-44E3-9099-C40C66FF867C}">
                  <a14:compatExt spid="_x0000_s39495"/>
                </a:ext>
                <a:ext uri="{FF2B5EF4-FFF2-40B4-BE49-F238E27FC236}">
                  <a16:creationId xmlns:a16="http://schemas.microsoft.com/office/drawing/2014/main" id="{00000000-0008-0000-0700-000047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9</xdr:row>
          <xdr:rowOff>66675</xdr:rowOff>
        </xdr:from>
        <xdr:to>
          <xdr:col>72</xdr:col>
          <xdr:colOff>314325</xdr:colOff>
          <xdr:row>9</xdr:row>
          <xdr:rowOff>295275</xdr:rowOff>
        </xdr:to>
        <xdr:sp macro="" textlink="">
          <xdr:nvSpPr>
            <xdr:cNvPr id="39496" name="Check Box 2632" hidden="1">
              <a:extLst>
                <a:ext uri="{63B3BB69-23CF-44E3-9099-C40C66FF867C}">
                  <a14:compatExt spid="_x0000_s39496"/>
                </a:ext>
                <a:ext uri="{FF2B5EF4-FFF2-40B4-BE49-F238E27FC236}">
                  <a16:creationId xmlns:a16="http://schemas.microsoft.com/office/drawing/2014/main" id="{00000000-0008-0000-0700-000048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10</xdr:row>
          <xdr:rowOff>66675</xdr:rowOff>
        </xdr:from>
        <xdr:to>
          <xdr:col>72</xdr:col>
          <xdr:colOff>314325</xdr:colOff>
          <xdr:row>10</xdr:row>
          <xdr:rowOff>295275</xdr:rowOff>
        </xdr:to>
        <xdr:sp macro="" textlink="">
          <xdr:nvSpPr>
            <xdr:cNvPr id="39497" name="Check Box 2633" hidden="1">
              <a:extLst>
                <a:ext uri="{63B3BB69-23CF-44E3-9099-C40C66FF867C}">
                  <a14:compatExt spid="_x0000_s39497"/>
                </a:ext>
                <a:ext uri="{FF2B5EF4-FFF2-40B4-BE49-F238E27FC236}">
                  <a16:creationId xmlns:a16="http://schemas.microsoft.com/office/drawing/2014/main" id="{00000000-0008-0000-0700-000049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11</xdr:row>
          <xdr:rowOff>66675</xdr:rowOff>
        </xdr:from>
        <xdr:to>
          <xdr:col>72</xdr:col>
          <xdr:colOff>314325</xdr:colOff>
          <xdr:row>11</xdr:row>
          <xdr:rowOff>295275</xdr:rowOff>
        </xdr:to>
        <xdr:sp macro="" textlink="">
          <xdr:nvSpPr>
            <xdr:cNvPr id="39498" name="Check Box 2634" hidden="1">
              <a:extLst>
                <a:ext uri="{63B3BB69-23CF-44E3-9099-C40C66FF867C}">
                  <a14:compatExt spid="_x0000_s39498"/>
                </a:ext>
                <a:ext uri="{FF2B5EF4-FFF2-40B4-BE49-F238E27FC236}">
                  <a16:creationId xmlns:a16="http://schemas.microsoft.com/office/drawing/2014/main" id="{00000000-0008-0000-0700-00004A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12</xdr:row>
          <xdr:rowOff>66675</xdr:rowOff>
        </xdr:from>
        <xdr:to>
          <xdr:col>72</xdr:col>
          <xdr:colOff>314325</xdr:colOff>
          <xdr:row>12</xdr:row>
          <xdr:rowOff>295275</xdr:rowOff>
        </xdr:to>
        <xdr:sp macro="" textlink="">
          <xdr:nvSpPr>
            <xdr:cNvPr id="39499" name="Check Box 2635" hidden="1">
              <a:extLst>
                <a:ext uri="{63B3BB69-23CF-44E3-9099-C40C66FF867C}">
                  <a14:compatExt spid="_x0000_s39499"/>
                </a:ext>
                <a:ext uri="{FF2B5EF4-FFF2-40B4-BE49-F238E27FC236}">
                  <a16:creationId xmlns:a16="http://schemas.microsoft.com/office/drawing/2014/main" id="{00000000-0008-0000-0700-00004B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13</xdr:row>
          <xdr:rowOff>66675</xdr:rowOff>
        </xdr:from>
        <xdr:to>
          <xdr:col>72</xdr:col>
          <xdr:colOff>314325</xdr:colOff>
          <xdr:row>13</xdr:row>
          <xdr:rowOff>295275</xdr:rowOff>
        </xdr:to>
        <xdr:sp macro="" textlink="">
          <xdr:nvSpPr>
            <xdr:cNvPr id="39500" name="Check Box 2636" hidden="1">
              <a:extLst>
                <a:ext uri="{63B3BB69-23CF-44E3-9099-C40C66FF867C}">
                  <a14:compatExt spid="_x0000_s39500"/>
                </a:ext>
                <a:ext uri="{FF2B5EF4-FFF2-40B4-BE49-F238E27FC236}">
                  <a16:creationId xmlns:a16="http://schemas.microsoft.com/office/drawing/2014/main" id="{00000000-0008-0000-0700-00004C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14</xdr:row>
          <xdr:rowOff>66675</xdr:rowOff>
        </xdr:from>
        <xdr:to>
          <xdr:col>72</xdr:col>
          <xdr:colOff>314325</xdr:colOff>
          <xdr:row>14</xdr:row>
          <xdr:rowOff>295275</xdr:rowOff>
        </xdr:to>
        <xdr:sp macro="" textlink="">
          <xdr:nvSpPr>
            <xdr:cNvPr id="39501" name="Check Box 2637" hidden="1">
              <a:extLst>
                <a:ext uri="{63B3BB69-23CF-44E3-9099-C40C66FF867C}">
                  <a14:compatExt spid="_x0000_s39501"/>
                </a:ext>
                <a:ext uri="{FF2B5EF4-FFF2-40B4-BE49-F238E27FC236}">
                  <a16:creationId xmlns:a16="http://schemas.microsoft.com/office/drawing/2014/main" id="{00000000-0008-0000-0700-00004D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15</xdr:row>
          <xdr:rowOff>66675</xdr:rowOff>
        </xdr:from>
        <xdr:to>
          <xdr:col>72</xdr:col>
          <xdr:colOff>314325</xdr:colOff>
          <xdr:row>15</xdr:row>
          <xdr:rowOff>295275</xdr:rowOff>
        </xdr:to>
        <xdr:sp macro="" textlink="">
          <xdr:nvSpPr>
            <xdr:cNvPr id="39502" name="Check Box 2638" hidden="1">
              <a:extLst>
                <a:ext uri="{63B3BB69-23CF-44E3-9099-C40C66FF867C}">
                  <a14:compatExt spid="_x0000_s39502"/>
                </a:ext>
                <a:ext uri="{FF2B5EF4-FFF2-40B4-BE49-F238E27FC236}">
                  <a16:creationId xmlns:a16="http://schemas.microsoft.com/office/drawing/2014/main" id="{00000000-0008-0000-0700-00004E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375558</xdr:colOff>
      <xdr:row>15</xdr:row>
      <xdr:rowOff>217714</xdr:rowOff>
    </xdr:from>
    <xdr:to>
      <xdr:col>65</xdr:col>
      <xdr:colOff>143195</xdr:colOff>
      <xdr:row>19</xdr:row>
      <xdr:rowOff>4322</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28915922" y="5274623"/>
          <a:ext cx="4391591" cy="1172063"/>
          <a:chOff x="34443620" y="8233831"/>
          <a:chExt cx="3264174" cy="1473265"/>
        </a:xfrm>
      </xdr:grpSpPr>
      <xdr:sp macro="" textlink="">
        <xdr:nvSpPr>
          <xdr:cNvPr id="46" name="四角形吹き出し 56">
            <a:extLst>
              <a:ext uri="{FF2B5EF4-FFF2-40B4-BE49-F238E27FC236}">
                <a16:creationId xmlns:a16="http://schemas.microsoft.com/office/drawing/2014/main" id="{00000000-0008-0000-0700-00002E000000}"/>
              </a:ext>
            </a:extLst>
          </xdr:cNvPr>
          <xdr:cNvSpPr/>
        </xdr:nvSpPr>
        <xdr:spPr>
          <a:xfrm>
            <a:off x="34443620" y="8233831"/>
            <a:ext cx="3264174" cy="1473265"/>
          </a:xfrm>
          <a:prstGeom prst="wedgeRectCallout">
            <a:avLst>
              <a:gd name="adj1" fmla="val -7100"/>
              <a:gd name="adj2" fmla="val 14397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1800" b="1">
                <a:solidFill>
                  <a:schemeClr val="bg1"/>
                </a:solidFill>
              </a:rPr>
              <a:t>【05</a:t>
            </a:r>
            <a:r>
              <a:rPr kumimoji="1" lang="ja-JP" altLang="en-US" sz="1800" b="1">
                <a:solidFill>
                  <a:schemeClr val="bg1"/>
                </a:solidFill>
              </a:rPr>
              <a:t>利用者名簿</a:t>
            </a:r>
            <a:r>
              <a:rPr kumimoji="1" lang="en-US" altLang="ja-JP" sz="1800" b="1">
                <a:solidFill>
                  <a:schemeClr val="bg1"/>
                </a:solidFill>
              </a:rPr>
              <a:t>】</a:t>
            </a:r>
            <a:r>
              <a:rPr kumimoji="1" lang="ja-JP" altLang="en-US" sz="1800" b="1">
                <a:solidFill>
                  <a:schemeClr val="bg1"/>
                </a:solidFill>
              </a:rPr>
              <a:t>から積算した総数が入りますので、総数の修正は本紙ではなく</a:t>
            </a:r>
            <a:r>
              <a:rPr kumimoji="1" lang="en-US" altLang="ja-JP" sz="1800" b="1">
                <a:solidFill>
                  <a:schemeClr val="bg1"/>
                </a:solidFill>
              </a:rPr>
              <a:t>【05</a:t>
            </a:r>
            <a:r>
              <a:rPr kumimoji="1" lang="ja-JP" altLang="en-US" sz="1800" b="1">
                <a:solidFill>
                  <a:schemeClr val="bg1"/>
                </a:solidFill>
              </a:rPr>
              <a:t>利用者名簿</a:t>
            </a:r>
            <a:r>
              <a:rPr kumimoji="1" lang="en-US" altLang="ja-JP" sz="1800" b="1">
                <a:solidFill>
                  <a:schemeClr val="bg1"/>
                </a:solidFill>
              </a:rPr>
              <a:t>】</a:t>
            </a:r>
            <a:r>
              <a:rPr kumimoji="1" lang="ja-JP" altLang="en-US" sz="1800" b="1">
                <a:solidFill>
                  <a:schemeClr val="bg1"/>
                </a:solidFill>
              </a:rPr>
              <a:t>よりお願いいたします。</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47625</xdr:colOff>
          <xdr:row>9</xdr:row>
          <xdr:rowOff>19050</xdr:rowOff>
        </xdr:from>
        <xdr:to>
          <xdr:col>18</xdr:col>
          <xdr:colOff>361950</xdr:colOff>
          <xdr:row>10</xdr:row>
          <xdr:rowOff>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8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xdr:row>
          <xdr:rowOff>19050</xdr:rowOff>
        </xdr:from>
        <xdr:to>
          <xdr:col>18</xdr:col>
          <xdr:colOff>361950</xdr:colOff>
          <xdr:row>11</xdr:row>
          <xdr:rowOff>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8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19050</xdr:rowOff>
        </xdr:from>
        <xdr:to>
          <xdr:col>18</xdr:col>
          <xdr:colOff>361950</xdr:colOff>
          <xdr:row>12</xdr:row>
          <xdr:rowOff>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8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19050</xdr:rowOff>
        </xdr:from>
        <xdr:to>
          <xdr:col>18</xdr:col>
          <xdr:colOff>361950</xdr:colOff>
          <xdr:row>13</xdr:row>
          <xdr:rowOff>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8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18</xdr:col>
          <xdr:colOff>361950</xdr:colOff>
          <xdr:row>14</xdr:row>
          <xdr:rowOff>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8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xdr:row>
          <xdr:rowOff>19050</xdr:rowOff>
        </xdr:from>
        <xdr:to>
          <xdr:col>19</xdr:col>
          <xdr:colOff>361950</xdr:colOff>
          <xdr:row>10</xdr:row>
          <xdr:rowOff>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8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10</xdr:row>
          <xdr:rowOff>19050</xdr:rowOff>
        </xdr:from>
        <xdr:to>
          <xdr:col>19</xdr:col>
          <xdr:colOff>361950</xdr:colOff>
          <xdr:row>11</xdr:row>
          <xdr:rowOff>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08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xdr:row>
          <xdr:rowOff>19050</xdr:rowOff>
        </xdr:from>
        <xdr:to>
          <xdr:col>19</xdr:col>
          <xdr:colOff>361950</xdr:colOff>
          <xdr:row>12</xdr:row>
          <xdr:rowOff>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08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xdr:row>
          <xdr:rowOff>19050</xdr:rowOff>
        </xdr:from>
        <xdr:to>
          <xdr:col>19</xdr:col>
          <xdr:colOff>361950</xdr:colOff>
          <xdr:row>13</xdr:row>
          <xdr:rowOff>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0800-00000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361950</xdr:colOff>
          <xdr:row>14</xdr:row>
          <xdr:rowOff>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0800-00000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72</xdr:col>
      <xdr:colOff>257175</xdr:colOff>
      <xdr:row>1</xdr:row>
      <xdr:rowOff>76200</xdr:rowOff>
    </xdr:from>
    <xdr:to>
      <xdr:col>74</xdr:col>
      <xdr:colOff>346076</xdr:colOff>
      <xdr:row>2</xdr:row>
      <xdr:rowOff>269215</xdr:rowOff>
    </xdr:to>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37852350" y="371475"/>
          <a:ext cx="1108076" cy="36446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73</xdr:col>
      <xdr:colOff>114301</xdr:colOff>
      <xdr:row>14</xdr:row>
      <xdr:rowOff>263647</xdr:rowOff>
    </xdr:from>
    <xdr:to>
      <xdr:col>83</xdr:col>
      <xdr:colOff>154081</xdr:colOff>
      <xdr:row>19</xdr:row>
      <xdr:rowOff>56030</xdr:rowOff>
    </xdr:to>
    <xdr:grpSp>
      <xdr:nvGrpSpPr>
        <xdr:cNvPr id="13" name="グループ化 12">
          <a:extLst>
            <a:ext uri="{FF2B5EF4-FFF2-40B4-BE49-F238E27FC236}">
              <a16:creationId xmlns:a16="http://schemas.microsoft.com/office/drawing/2014/main" id="{00000000-0008-0000-0800-00000D000000}"/>
            </a:ext>
          </a:extLst>
        </xdr:cNvPr>
        <xdr:cNvGrpSpPr/>
      </xdr:nvGrpSpPr>
      <xdr:grpSpPr>
        <a:xfrm>
          <a:off x="39565119" y="4974192"/>
          <a:ext cx="4386644" cy="1524202"/>
          <a:chOff x="34443620" y="8233831"/>
          <a:chExt cx="3264174" cy="1473265"/>
        </a:xfrm>
      </xdr:grpSpPr>
      <xdr:sp macro="" textlink="">
        <xdr:nvSpPr>
          <xdr:cNvPr id="14" name="四角形吹き出し 56">
            <a:extLst>
              <a:ext uri="{FF2B5EF4-FFF2-40B4-BE49-F238E27FC236}">
                <a16:creationId xmlns:a16="http://schemas.microsoft.com/office/drawing/2014/main" id="{00000000-0008-0000-0800-00000E000000}"/>
              </a:ext>
            </a:extLst>
          </xdr:cNvPr>
          <xdr:cNvSpPr/>
        </xdr:nvSpPr>
        <xdr:spPr>
          <a:xfrm>
            <a:off x="34443620" y="8233831"/>
            <a:ext cx="3264174" cy="1473265"/>
          </a:xfrm>
          <a:prstGeom prst="wedgeRectCallout">
            <a:avLst>
              <a:gd name="adj1" fmla="val -6791"/>
              <a:gd name="adj2" fmla="val 122629"/>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15" name="テキスト ボックス 14">
            <a:extLst>
              <a:ext uri="{FF2B5EF4-FFF2-40B4-BE49-F238E27FC236}">
                <a16:creationId xmlns:a16="http://schemas.microsoft.com/office/drawing/2014/main" id="{00000000-0008-0000-0800-00000F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b="1">
                <a:solidFill>
                  <a:schemeClr val="bg1"/>
                </a:solidFill>
              </a:rPr>
              <a:t>クラフトは、事前準備の必要があるため、天候によって実施しない場合でも、種類・数量をご記入ください。そのうえで、実施した場合のみ料金を請求いたします。</a:t>
            </a:r>
          </a:p>
        </xdr:txBody>
      </xdr:sp>
    </xdr:grpSp>
    <xdr:clientData/>
  </xdr:twoCellAnchor>
  <xdr:twoCellAnchor>
    <xdr:from>
      <xdr:col>85</xdr:col>
      <xdr:colOff>217824</xdr:colOff>
      <xdr:row>14</xdr:row>
      <xdr:rowOff>67806</xdr:rowOff>
    </xdr:from>
    <xdr:to>
      <xdr:col>95</xdr:col>
      <xdr:colOff>323850</xdr:colOff>
      <xdr:row>18</xdr:row>
      <xdr:rowOff>133350</xdr:rowOff>
    </xdr:to>
    <xdr:grpSp>
      <xdr:nvGrpSpPr>
        <xdr:cNvPr id="16" name="グループ化 15">
          <a:extLst>
            <a:ext uri="{FF2B5EF4-FFF2-40B4-BE49-F238E27FC236}">
              <a16:creationId xmlns:a16="http://schemas.microsoft.com/office/drawing/2014/main" id="{00000000-0008-0000-0800-000010000000}"/>
            </a:ext>
          </a:extLst>
        </xdr:cNvPr>
        <xdr:cNvGrpSpPr/>
      </xdr:nvGrpSpPr>
      <xdr:grpSpPr>
        <a:xfrm>
          <a:off x="44881415" y="4778351"/>
          <a:ext cx="4435571" cy="1450999"/>
          <a:chOff x="44284956" y="5096445"/>
          <a:chExt cx="3396073" cy="926718"/>
        </a:xfrm>
      </xdr:grpSpPr>
      <xdr:sp macro="" textlink="">
        <xdr:nvSpPr>
          <xdr:cNvPr id="17" name="四角形吹き出し 58">
            <a:extLst>
              <a:ext uri="{FF2B5EF4-FFF2-40B4-BE49-F238E27FC236}">
                <a16:creationId xmlns:a16="http://schemas.microsoft.com/office/drawing/2014/main" id="{00000000-0008-0000-0800-000011000000}"/>
              </a:ext>
            </a:extLst>
          </xdr:cNvPr>
          <xdr:cNvSpPr/>
        </xdr:nvSpPr>
        <xdr:spPr>
          <a:xfrm>
            <a:off x="44284956" y="5096445"/>
            <a:ext cx="3396073" cy="926718"/>
          </a:xfrm>
          <a:prstGeom prst="wedgeRectCallout">
            <a:avLst>
              <a:gd name="adj1" fmla="val -85690"/>
              <a:gd name="adj2" fmla="val -248188"/>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200"/>
          </a:p>
        </xdr:txBody>
      </xdr:sp>
      <xdr:sp macro="" textlink="">
        <xdr:nvSpPr>
          <xdr:cNvPr id="18" name="テキスト ボックス 17">
            <a:extLst>
              <a:ext uri="{FF2B5EF4-FFF2-40B4-BE49-F238E27FC236}">
                <a16:creationId xmlns:a16="http://schemas.microsoft.com/office/drawing/2014/main" id="{00000000-0008-0000-0800-000012000000}"/>
              </a:ext>
            </a:extLst>
          </xdr:cNvPr>
          <xdr:cNvSpPr txBox="1"/>
        </xdr:nvSpPr>
        <xdr:spPr>
          <a:xfrm>
            <a:off x="44472845" y="5225314"/>
            <a:ext cx="3054101" cy="724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2000" b="1">
                <a:solidFill>
                  <a:schemeClr val="bg1"/>
                </a:solidFill>
              </a:rPr>
              <a:t>【</a:t>
            </a:r>
            <a:r>
              <a:rPr kumimoji="1" lang="ja-JP" altLang="en-US" sz="2000" b="1">
                <a:solidFill>
                  <a:schemeClr val="bg1"/>
                </a:solidFill>
              </a:rPr>
              <a:t>食事申込書</a:t>
            </a:r>
            <a:r>
              <a:rPr kumimoji="1" lang="en-US" altLang="ja-JP" sz="2000" b="1">
                <a:solidFill>
                  <a:schemeClr val="bg1"/>
                </a:solidFill>
              </a:rPr>
              <a:t>】</a:t>
            </a:r>
            <a:r>
              <a:rPr kumimoji="1" lang="ja-JP" altLang="en-US" sz="2000" b="1">
                <a:solidFill>
                  <a:schemeClr val="bg1"/>
                </a:solidFill>
              </a:rPr>
              <a:t>に入力した食数合計が自動的に反映されます。</a:t>
            </a:r>
            <a:endParaRPr kumimoji="1" lang="en-US" altLang="ja-JP" sz="2000" b="1">
              <a:solidFill>
                <a:schemeClr val="bg1"/>
              </a:solidFill>
            </a:endParaRPr>
          </a:p>
          <a:p>
            <a:pPr>
              <a:lnSpc>
                <a:spcPct val="100000"/>
              </a:lnSpc>
            </a:pPr>
            <a:r>
              <a:rPr kumimoji="1" lang="ja-JP" altLang="en-US" sz="2000" b="1">
                <a:solidFill>
                  <a:schemeClr val="bg1"/>
                </a:solidFill>
              </a:rPr>
              <a:t>領収書の内訳を、ご入力ください。</a:t>
            </a:r>
          </a:p>
        </xdr:txBody>
      </xdr:sp>
    </xdr:grpSp>
    <xdr:clientData/>
  </xdr:twoCellAnchor>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18</xdr:col>
          <xdr:colOff>361950</xdr:colOff>
          <xdr:row>14</xdr:row>
          <xdr:rowOff>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0800-00000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14</xdr:row>
          <xdr:rowOff>19050</xdr:rowOff>
        </xdr:from>
        <xdr:to>
          <xdr:col>18</xdr:col>
          <xdr:colOff>361950</xdr:colOff>
          <xdr:row>15</xdr:row>
          <xdr:rowOff>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0800-00000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xdr:row>
          <xdr:rowOff>19050</xdr:rowOff>
        </xdr:from>
        <xdr:to>
          <xdr:col>18</xdr:col>
          <xdr:colOff>361950</xdr:colOff>
          <xdr:row>16</xdr:row>
          <xdr:rowOff>0</xdr:rowOff>
        </xdr:to>
        <xdr:sp macro="" textlink="">
          <xdr:nvSpPr>
            <xdr:cNvPr id="45069" name="Check Box 13" hidden="1">
              <a:extLst>
                <a:ext uri="{63B3BB69-23CF-44E3-9099-C40C66FF867C}">
                  <a14:compatExt spid="_x0000_s45069"/>
                </a:ext>
                <a:ext uri="{FF2B5EF4-FFF2-40B4-BE49-F238E27FC236}">
                  <a16:creationId xmlns:a16="http://schemas.microsoft.com/office/drawing/2014/main" id="{00000000-0008-0000-0800-00000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361950</xdr:colOff>
          <xdr:row>14</xdr:row>
          <xdr:rowOff>0</xdr:rowOff>
        </xdr:to>
        <xdr:sp macro="" textlink="">
          <xdr:nvSpPr>
            <xdr:cNvPr id="45070" name="Check Box 14" hidden="1">
              <a:extLst>
                <a:ext uri="{63B3BB69-23CF-44E3-9099-C40C66FF867C}">
                  <a14:compatExt spid="_x0000_s45070"/>
                </a:ext>
                <a:ext uri="{FF2B5EF4-FFF2-40B4-BE49-F238E27FC236}">
                  <a16:creationId xmlns:a16="http://schemas.microsoft.com/office/drawing/2014/main" id="{00000000-0008-0000-08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14</xdr:row>
          <xdr:rowOff>19050</xdr:rowOff>
        </xdr:from>
        <xdr:to>
          <xdr:col>19</xdr:col>
          <xdr:colOff>361950</xdr:colOff>
          <xdr:row>15</xdr:row>
          <xdr:rowOff>0</xdr:rowOff>
        </xdr:to>
        <xdr:sp macro="" textlink="">
          <xdr:nvSpPr>
            <xdr:cNvPr id="45071" name="Check Box 15" hidden="1">
              <a:extLst>
                <a:ext uri="{63B3BB69-23CF-44E3-9099-C40C66FF867C}">
                  <a14:compatExt spid="_x0000_s45071"/>
                </a:ext>
                <a:ext uri="{FF2B5EF4-FFF2-40B4-BE49-F238E27FC236}">
                  <a16:creationId xmlns:a16="http://schemas.microsoft.com/office/drawing/2014/main" id="{00000000-0008-0000-0800-00000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xdr:row>
          <xdr:rowOff>19050</xdr:rowOff>
        </xdr:from>
        <xdr:to>
          <xdr:col>19</xdr:col>
          <xdr:colOff>361950</xdr:colOff>
          <xdr:row>16</xdr:row>
          <xdr:rowOff>0</xdr:rowOff>
        </xdr:to>
        <xdr:sp macro="" textlink="">
          <xdr:nvSpPr>
            <xdr:cNvPr id="45072" name="Check Box 16" hidden="1">
              <a:extLst>
                <a:ext uri="{63B3BB69-23CF-44E3-9099-C40C66FF867C}">
                  <a14:compatExt spid="_x0000_s45072"/>
                </a:ext>
                <a:ext uri="{FF2B5EF4-FFF2-40B4-BE49-F238E27FC236}">
                  <a16:creationId xmlns:a16="http://schemas.microsoft.com/office/drawing/2014/main" id="{00000000-0008-0000-0800-00001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9</xdr:row>
          <xdr:rowOff>47625</xdr:rowOff>
        </xdr:from>
        <xdr:to>
          <xdr:col>71</xdr:col>
          <xdr:colOff>304800</xdr:colOff>
          <xdr:row>9</xdr:row>
          <xdr:rowOff>333375</xdr:rowOff>
        </xdr:to>
        <xdr:sp macro="" textlink="">
          <xdr:nvSpPr>
            <xdr:cNvPr id="45073" name="Check Box 17" hidden="1">
              <a:extLst>
                <a:ext uri="{63B3BB69-23CF-44E3-9099-C40C66FF867C}">
                  <a14:compatExt spid="_x0000_s45073"/>
                </a:ext>
                <a:ext uri="{FF2B5EF4-FFF2-40B4-BE49-F238E27FC236}">
                  <a16:creationId xmlns:a16="http://schemas.microsoft.com/office/drawing/2014/main" id="{00000000-0008-0000-0800-00001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10</xdr:row>
          <xdr:rowOff>47625</xdr:rowOff>
        </xdr:from>
        <xdr:to>
          <xdr:col>71</xdr:col>
          <xdr:colOff>304800</xdr:colOff>
          <xdr:row>10</xdr:row>
          <xdr:rowOff>333375</xdr:rowOff>
        </xdr:to>
        <xdr:sp macro="" textlink="">
          <xdr:nvSpPr>
            <xdr:cNvPr id="45074" name="Check Box 18" hidden="1">
              <a:extLst>
                <a:ext uri="{63B3BB69-23CF-44E3-9099-C40C66FF867C}">
                  <a14:compatExt spid="_x0000_s45074"/>
                </a:ext>
                <a:ext uri="{FF2B5EF4-FFF2-40B4-BE49-F238E27FC236}">
                  <a16:creationId xmlns:a16="http://schemas.microsoft.com/office/drawing/2014/main" id="{00000000-0008-0000-0800-00001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11</xdr:row>
          <xdr:rowOff>47625</xdr:rowOff>
        </xdr:from>
        <xdr:to>
          <xdr:col>71</xdr:col>
          <xdr:colOff>304800</xdr:colOff>
          <xdr:row>11</xdr:row>
          <xdr:rowOff>333375</xdr:rowOff>
        </xdr:to>
        <xdr:sp macro="" textlink="">
          <xdr:nvSpPr>
            <xdr:cNvPr id="45075" name="Check Box 19" hidden="1">
              <a:extLst>
                <a:ext uri="{63B3BB69-23CF-44E3-9099-C40C66FF867C}">
                  <a14:compatExt spid="_x0000_s45075"/>
                </a:ext>
                <a:ext uri="{FF2B5EF4-FFF2-40B4-BE49-F238E27FC236}">
                  <a16:creationId xmlns:a16="http://schemas.microsoft.com/office/drawing/2014/main" id="{00000000-0008-0000-0800-00001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12</xdr:row>
          <xdr:rowOff>47625</xdr:rowOff>
        </xdr:from>
        <xdr:to>
          <xdr:col>71</xdr:col>
          <xdr:colOff>304800</xdr:colOff>
          <xdr:row>12</xdr:row>
          <xdr:rowOff>333375</xdr:rowOff>
        </xdr:to>
        <xdr:sp macro="" textlink="">
          <xdr:nvSpPr>
            <xdr:cNvPr id="45076" name="Check Box 20" hidden="1">
              <a:extLst>
                <a:ext uri="{63B3BB69-23CF-44E3-9099-C40C66FF867C}">
                  <a14:compatExt spid="_x0000_s45076"/>
                </a:ext>
                <a:ext uri="{FF2B5EF4-FFF2-40B4-BE49-F238E27FC236}">
                  <a16:creationId xmlns:a16="http://schemas.microsoft.com/office/drawing/2014/main" id="{00000000-0008-0000-0800-00001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13</xdr:row>
          <xdr:rowOff>47625</xdr:rowOff>
        </xdr:from>
        <xdr:to>
          <xdr:col>71</xdr:col>
          <xdr:colOff>304800</xdr:colOff>
          <xdr:row>13</xdr:row>
          <xdr:rowOff>333375</xdr:rowOff>
        </xdr:to>
        <xdr:sp macro="" textlink="">
          <xdr:nvSpPr>
            <xdr:cNvPr id="45077" name="Check Box 21" hidden="1">
              <a:extLst>
                <a:ext uri="{63B3BB69-23CF-44E3-9099-C40C66FF867C}">
                  <a14:compatExt spid="_x0000_s45077"/>
                </a:ext>
                <a:ext uri="{FF2B5EF4-FFF2-40B4-BE49-F238E27FC236}">
                  <a16:creationId xmlns:a16="http://schemas.microsoft.com/office/drawing/2014/main" id="{00000000-0008-0000-0800-00001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14</xdr:row>
          <xdr:rowOff>47625</xdr:rowOff>
        </xdr:from>
        <xdr:to>
          <xdr:col>71</xdr:col>
          <xdr:colOff>304800</xdr:colOff>
          <xdr:row>14</xdr:row>
          <xdr:rowOff>333375</xdr:rowOff>
        </xdr:to>
        <xdr:sp macro="" textlink="">
          <xdr:nvSpPr>
            <xdr:cNvPr id="45078" name="Check Box 22" hidden="1">
              <a:extLst>
                <a:ext uri="{63B3BB69-23CF-44E3-9099-C40C66FF867C}">
                  <a14:compatExt spid="_x0000_s45078"/>
                </a:ext>
                <a:ext uri="{FF2B5EF4-FFF2-40B4-BE49-F238E27FC236}">
                  <a16:creationId xmlns:a16="http://schemas.microsoft.com/office/drawing/2014/main" id="{00000000-0008-0000-0800-00001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15</xdr:row>
          <xdr:rowOff>47625</xdr:rowOff>
        </xdr:from>
        <xdr:to>
          <xdr:col>71</xdr:col>
          <xdr:colOff>304800</xdr:colOff>
          <xdr:row>15</xdr:row>
          <xdr:rowOff>333375</xdr:rowOff>
        </xdr:to>
        <xdr:sp macro="" textlink="">
          <xdr:nvSpPr>
            <xdr:cNvPr id="45079" name="Check Box 23" hidden="1">
              <a:extLst>
                <a:ext uri="{63B3BB69-23CF-44E3-9099-C40C66FF867C}">
                  <a14:compatExt spid="_x0000_s45079"/>
                </a:ext>
                <a:ext uri="{FF2B5EF4-FFF2-40B4-BE49-F238E27FC236}">
                  <a16:creationId xmlns:a16="http://schemas.microsoft.com/office/drawing/2014/main" id="{00000000-0008-0000-0800-00001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9</xdr:row>
          <xdr:rowOff>66675</xdr:rowOff>
        </xdr:from>
        <xdr:to>
          <xdr:col>72</xdr:col>
          <xdr:colOff>314325</xdr:colOff>
          <xdr:row>9</xdr:row>
          <xdr:rowOff>304800</xdr:rowOff>
        </xdr:to>
        <xdr:sp macro="" textlink="">
          <xdr:nvSpPr>
            <xdr:cNvPr id="45080" name="Check Box 24" hidden="1">
              <a:extLst>
                <a:ext uri="{63B3BB69-23CF-44E3-9099-C40C66FF867C}">
                  <a14:compatExt spid="_x0000_s45080"/>
                </a:ext>
                <a:ext uri="{FF2B5EF4-FFF2-40B4-BE49-F238E27FC236}">
                  <a16:creationId xmlns:a16="http://schemas.microsoft.com/office/drawing/2014/main" id="{00000000-0008-0000-0800-00001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10</xdr:row>
          <xdr:rowOff>66675</xdr:rowOff>
        </xdr:from>
        <xdr:to>
          <xdr:col>72</xdr:col>
          <xdr:colOff>314325</xdr:colOff>
          <xdr:row>10</xdr:row>
          <xdr:rowOff>304800</xdr:rowOff>
        </xdr:to>
        <xdr:sp macro="" textlink="">
          <xdr:nvSpPr>
            <xdr:cNvPr id="45081" name="Check Box 25" hidden="1">
              <a:extLst>
                <a:ext uri="{63B3BB69-23CF-44E3-9099-C40C66FF867C}">
                  <a14:compatExt spid="_x0000_s45081"/>
                </a:ext>
                <a:ext uri="{FF2B5EF4-FFF2-40B4-BE49-F238E27FC236}">
                  <a16:creationId xmlns:a16="http://schemas.microsoft.com/office/drawing/2014/main" id="{00000000-0008-0000-0800-00001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11</xdr:row>
          <xdr:rowOff>66675</xdr:rowOff>
        </xdr:from>
        <xdr:to>
          <xdr:col>72</xdr:col>
          <xdr:colOff>314325</xdr:colOff>
          <xdr:row>11</xdr:row>
          <xdr:rowOff>304800</xdr:rowOff>
        </xdr:to>
        <xdr:sp macro="" textlink="">
          <xdr:nvSpPr>
            <xdr:cNvPr id="45082" name="Check Box 26" hidden="1">
              <a:extLst>
                <a:ext uri="{63B3BB69-23CF-44E3-9099-C40C66FF867C}">
                  <a14:compatExt spid="_x0000_s45082"/>
                </a:ext>
                <a:ext uri="{FF2B5EF4-FFF2-40B4-BE49-F238E27FC236}">
                  <a16:creationId xmlns:a16="http://schemas.microsoft.com/office/drawing/2014/main" id="{00000000-0008-0000-0800-00001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12</xdr:row>
          <xdr:rowOff>66675</xdr:rowOff>
        </xdr:from>
        <xdr:to>
          <xdr:col>72</xdr:col>
          <xdr:colOff>314325</xdr:colOff>
          <xdr:row>12</xdr:row>
          <xdr:rowOff>304800</xdr:rowOff>
        </xdr:to>
        <xdr:sp macro="" textlink="">
          <xdr:nvSpPr>
            <xdr:cNvPr id="45083" name="Check Box 27" hidden="1">
              <a:extLst>
                <a:ext uri="{63B3BB69-23CF-44E3-9099-C40C66FF867C}">
                  <a14:compatExt spid="_x0000_s45083"/>
                </a:ext>
                <a:ext uri="{FF2B5EF4-FFF2-40B4-BE49-F238E27FC236}">
                  <a16:creationId xmlns:a16="http://schemas.microsoft.com/office/drawing/2014/main" id="{00000000-0008-0000-0800-00001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13</xdr:row>
          <xdr:rowOff>66675</xdr:rowOff>
        </xdr:from>
        <xdr:to>
          <xdr:col>72</xdr:col>
          <xdr:colOff>314325</xdr:colOff>
          <xdr:row>13</xdr:row>
          <xdr:rowOff>304800</xdr:rowOff>
        </xdr:to>
        <xdr:sp macro="" textlink="">
          <xdr:nvSpPr>
            <xdr:cNvPr id="45084" name="Check Box 28" hidden="1">
              <a:extLst>
                <a:ext uri="{63B3BB69-23CF-44E3-9099-C40C66FF867C}">
                  <a14:compatExt spid="_x0000_s45084"/>
                </a:ext>
                <a:ext uri="{FF2B5EF4-FFF2-40B4-BE49-F238E27FC236}">
                  <a16:creationId xmlns:a16="http://schemas.microsoft.com/office/drawing/2014/main" id="{00000000-0008-0000-0800-00001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14</xdr:row>
          <xdr:rowOff>66675</xdr:rowOff>
        </xdr:from>
        <xdr:to>
          <xdr:col>72</xdr:col>
          <xdr:colOff>314325</xdr:colOff>
          <xdr:row>14</xdr:row>
          <xdr:rowOff>304800</xdr:rowOff>
        </xdr:to>
        <xdr:sp macro="" textlink="">
          <xdr:nvSpPr>
            <xdr:cNvPr id="45085" name="Check Box 29" hidden="1">
              <a:extLst>
                <a:ext uri="{63B3BB69-23CF-44E3-9099-C40C66FF867C}">
                  <a14:compatExt spid="_x0000_s45085"/>
                </a:ext>
                <a:ext uri="{FF2B5EF4-FFF2-40B4-BE49-F238E27FC236}">
                  <a16:creationId xmlns:a16="http://schemas.microsoft.com/office/drawing/2014/main" id="{00000000-0008-0000-0800-00001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15</xdr:row>
          <xdr:rowOff>66675</xdr:rowOff>
        </xdr:from>
        <xdr:to>
          <xdr:col>72</xdr:col>
          <xdr:colOff>314325</xdr:colOff>
          <xdr:row>15</xdr:row>
          <xdr:rowOff>304800</xdr:rowOff>
        </xdr:to>
        <xdr:sp macro="" textlink="">
          <xdr:nvSpPr>
            <xdr:cNvPr id="45086" name="Check Box 30" hidden="1">
              <a:extLst>
                <a:ext uri="{63B3BB69-23CF-44E3-9099-C40C66FF867C}">
                  <a14:compatExt spid="_x0000_s45086"/>
                </a:ext>
                <a:ext uri="{FF2B5EF4-FFF2-40B4-BE49-F238E27FC236}">
                  <a16:creationId xmlns:a16="http://schemas.microsoft.com/office/drawing/2014/main" id="{00000000-0008-0000-0800-00001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48</xdr:col>
      <xdr:colOff>200025</xdr:colOff>
      <xdr:row>1</xdr:row>
      <xdr:rowOff>19050</xdr:rowOff>
    </xdr:from>
    <xdr:to>
      <xdr:col>51</xdr:col>
      <xdr:colOff>247650</xdr:colOff>
      <xdr:row>1</xdr:row>
      <xdr:rowOff>285750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3458825" y="200025"/>
          <a:ext cx="876300" cy="266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32</xdr:col>
      <xdr:colOff>190501</xdr:colOff>
      <xdr:row>4</xdr:row>
      <xdr:rowOff>19050</xdr:rowOff>
    </xdr:from>
    <xdr:to>
      <xdr:col>50</xdr:col>
      <xdr:colOff>161925</xdr:colOff>
      <xdr:row>9</xdr:row>
      <xdr:rowOff>57150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9334501" y="1038225"/>
          <a:ext cx="4943474" cy="9429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b="1">
              <a:solidFill>
                <a:schemeClr val="bg1"/>
              </a:solidFill>
              <a:latin typeface="BIZ UDPゴシック" panose="020B0400000000000000" pitchFamily="50" charset="-128"/>
              <a:ea typeface="BIZ UDPゴシック" panose="020B0400000000000000" pitchFamily="50" charset="-128"/>
            </a:rPr>
            <a:t>【05</a:t>
          </a:r>
          <a:r>
            <a:rPr kumimoji="1" lang="ja-JP" altLang="en-US" sz="1200" b="1" baseline="0">
              <a:solidFill>
                <a:schemeClr val="bg1"/>
              </a:solidFill>
              <a:latin typeface="BIZ UDPゴシック" panose="020B0400000000000000" pitchFamily="50" charset="-128"/>
              <a:ea typeface="BIZ UDPゴシック" panose="020B0400000000000000" pitchFamily="50" charset="-128"/>
            </a:rPr>
            <a:t> </a:t>
          </a:r>
          <a:r>
            <a:rPr kumimoji="1" lang="ja-JP" altLang="en-US" sz="1200" b="1">
              <a:solidFill>
                <a:schemeClr val="bg1"/>
              </a:solidFill>
              <a:latin typeface="BIZ UDPゴシック" panose="020B0400000000000000" pitchFamily="50" charset="-128"/>
              <a:ea typeface="BIZ UDPゴシック" panose="020B0400000000000000" pitchFamily="50" charset="-128"/>
            </a:rPr>
            <a:t>利用者名簿</a:t>
          </a:r>
          <a:r>
            <a:rPr kumimoji="1" lang="en-US" altLang="ja-JP" sz="1200" b="1">
              <a:solidFill>
                <a:schemeClr val="bg1"/>
              </a:solidFill>
              <a:latin typeface="BIZ UDPゴシック" panose="020B0400000000000000" pitchFamily="50" charset="-128"/>
              <a:ea typeface="BIZ UDPゴシック" panose="020B0400000000000000" pitchFamily="50" charset="-128"/>
            </a:rPr>
            <a:t>】</a:t>
          </a:r>
          <a:r>
            <a:rPr kumimoji="1" lang="ja-JP" altLang="en-US" sz="1200" b="1">
              <a:solidFill>
                <a:schemeClr val="bg1"/>
              </a:solidFill>
              <a:latin typeface="BIZ UDPゴシック" panose="020B0400000000000000" pitchFamily="50" charset="-128"/>
              <a:ea typeface="BIZ UDPゴシック" panose="020B0400000000000000" pitchFamily="50" charset="-128"/>
            </a:rPr>
            <a:t>から、減免区分・人数を算出しております。</a:t>
          </a:r>
          <a:endParaRPr kumimoji="1" lang="en-US" altLang="ja-JP" sz="1200" b="1">
            <a:solidFill>
              <a:schemeClr val="bg1"/>
            </a:solidFill>
            <a:latin typeface="BIZ UDPゴシック" panose="020B0400000000000000" pitchFamily="50" charset="-128"/>
            <a:ea typeface="BIZ UDPゴシック" panose="020B0400000000000000" pitchFamily="50" charset="-128"/>
          </a:endParaRPr>
        </a:p>
        <a:p>
          <a:r>
            <a:rPr kumimoji="1" lang="ja-JP" altLang="en-US" sz="1200" b="1">
              <a:solidFill>
                <a:schemeClr val="bg1"/>
              </a:solidFill>
              <a:latin typeface="BIZ UDPゴシック" panose="020B0400000000000000" pitchFamily="50" charset="-128"/>
              <a:ea typeface="BIZ UDPゴシック" panose="020B0400000000000000" pitchFamily="50" charset="-128"/>
            </a:rPr>
            <a:t>変更がある場合は、本紙を修正せずに、</a:t>
          </a:r>
          <a:r>
            <a:rPr kumimoji="1" lang="en-US" altLang="ja-JP" sz="1200" b="1">
              <a:solidFill>
                <a:schemeClr val="bg1"/>
              </a:solidFill>
              <a:latin typeface="BIZ UDPゴシック" panose="020B0400000000000000" pitchFamily="50" charset="-128"/>
              <a:ea typeface="BIZ UDPゴシック" panose="020B0400000000000000" pitchFamily="50" charset="-128"/>
            </a:rPr>
            <a:t>【05</a:t>
          </a:r>
          <a:r>
            <a:rPr kumimoji="1" lang="ja-JP" altLang="en-US" sz="1200" b="1" baseline="0">
              <a:solidFill>
                <a:schemeClr val="bg1"/>
              </a:solidFill>
              <a:latin typeface="BIZ UDPゴシック" panose="020B0400000000000000" pitchFamily="50" charset="-128"/>
              <a:ea typeface="BIZ UDPゴシック" panose="020B0400000000000000" pitchFamily="50" charset="-128"/>
            </a:rPr>
            <a:t> 利用者名簿</a:t>
          </a:r>
          <a:r>
            <a:rPr kumimoji="1" lang="en-US" altLang="ja-JP" sz="1200" b="1">
              <a:solidFill>
                <a:schemeClr val="bg1"/>
              </a:solidFill>
              <a:latin typeface="BIZ UDPゴシック" panose="020B0400000000000000" pitchFamily="50" charset="-128"/>
              <a:ea typeface="BIZ UDPゴシック" panose="020B0400000000000000" pitchFamily="50" charset="-128"/>
            </a:rPr>
            <a:t>】</a:t>
          </a:r>
          <a:r>
            <a:rPr kumimoji="1" lang="ja-JP" altLang="en-US" sz="1200" b="1">
              <a:solidFill>
                <a:schemeClr val="bg1"/>
              </a:solidFill>
              <a:latin typeface="BIZ UDPゴシック" panose="020B0400000000000000" pitchFamily="50" charset="-128"/>
              <a:ea typeface="BIZ UDPゴシック" panose="020B0400000000000000" pitchFamily="50" charset="-128"/>
            </a:rPr>
            <a:t>のみ修正をおこなってください。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48</xdr:col>
      <xdr:colOff>247651</xdr:colOff>
      <xdr:row>1</xdr:row>
      <xdr:rowOff>28575</xdr:rowOff>
    </xdr:from>
    <xdr:to>
      <xdr:col>51</xdr:col>
      <xdr:colOff>257176</xdr:colOff>
      <xdr:row>1</xdr:row>
      <xdr:rowOff>288348</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3506451" y="390525"/>
          <a:ext cx="838200"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149</xdr:col>
      <xdr:colOff>133351</xdr:colOff>
      <xdr:row>0</xdr:row>
      <xdr:rowOff>9526</xdr:rowOff>
    </xdr:from>
    <xdr:to>
      <xdr:col>155</xdr:col>
      <xdr:colOff>114301</xdr:colOff>
      <xdr:row>1</xdr:row>
      <xdr:rowOff>161925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0277476" y="8162926"/>
          <a:ext cx="838200" cy="3238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3&#24180;&#24230;(2021&#24180;&#24230;)/03%20&#30456;&#35527;/&#9733;R3&#20351;&#29992;&#12288;&#30003;&#35531;&#26360;&#39006;/&#20491;&#21029;&#36865;&#20184;&#29992;%20&#30003;&#35531;&#26360;&#39006;/&#24066;&#12304;&#22806;&#12305;&#23567;&#20013;&#23398;&#26657;/&#12304;A&#12305;&#30003;&#35531;&#26360;&#39006;&#65288;&#26085;&#24112;&#12426;&#12539;&#65297;&#27850;&#24066;&#22806;&#23567;&#20013;&#23398;&#26657;&#29992;&#65289;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はじめにお読みください※"/>
      <sheetName val="01 使用承認申請書"/>
      <sheetName val="02 利用計画書（A）"/>
      <sheetName val="03 食事申込書"/>
      <sheetName val="04 食物アレルギー確認書"/>
      <sheetName val="05 利用者名簿"/>
      <sheetName val="06　人数報告用紙"/>
      <sheetName val="07 使用料減免申請書"/>
      <sheetName val="08-1 補助的指導者（使用申込書）"/>
      <sheetName val="08-2 補助的指導者（駐車カード）"/>
      <sheetName val="10 車両動向報告書"/>
      <sheetName val="11 利用日変更（取消）報告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lgn="l">
          <a:lnSpc>
            <a:spcPts val="1700"/>
          </a:lnSpc>
          <a:defRPr kumimoji="1" sz="1800" b="1">
            <a:solidFill>
              <a:schemeClr val="bg1"/>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ma@syaa.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4.bin"/><Relationship Id="rId5" Type="http://schemas.openxmlformats.org/officeDocument/2006/relationships/ctrlProp" Target="../ctrlProps/ctrlProp181.xml"/><Relationship Id="rId4" Type="http://schemas.openxmlformats.org/officeDocument/2006/relationships/ctrlProp" Target="../ctrlProps/ctrlProp180.xml"/></Relationships>
</file>

<file path=xl/worksheets/_rels/sheet2.xml.rels><?xml version="1.0" encoding="UTF-8" standalone="yes"?>
<Relationships xmlns="http://schemas.openxmlformats.org/package/2006/relationships"><Relationship Id="rId26" Type="http://schemas.openxmlformats.org/officeDocument/2006/relationships/hyperlink" Target="http://www.tondennishi-e.sapporo-c.ed.jp/" TargetMode="External"/><Relationship Id="rId21" Type="http://schemas.openxmlformats.org/officeDocument/2006/relationships/hyperlink" Target="http://www.tondenminami-e.sapporo-c.ed.jp/" TargetMode="External"/><Relationship Id="rId42" Type="http://schemas.openxmlformats.org/officeDocument/2006/relationships/ctrlProp" Target="../ctrlProps/ctrlProp9.xml"/><Relationship Id="rId47" Type="http://schemas.openxmlformats.org/officeDocument/2006/relationships/ctrlProp" Target="../ctrlProps/ctrlProp14.xml"/><Relationship Id="rId63" Type="http://schemas.openxmlformats.org/officeDocument/2006/relationships/ctrlProp" Target="../ctrlProps/ctrlProp30.xml"/><Relationship Id="rId68" Type="http://schemas.openxmlformats.org/officeDocument/2006/relationships/ctrlProp" Target="../ctrlProps/ctrlProp35.xml"/><Relationship Id="rId7" Type="http://schemas.openxmlformats.org/officeDocument/2006/relationships/hyperlink" Target="http://www.shinoro-e.sapporo-c.ed.jp/" TargetMode="External"/><Relationship Id="rId71" Type="http://schemas.openxmlformats.org/officeDocument/2006/relationships/ctrlProp" Target="../ctrlProps/ctrlProp38.xml"/><Relationship Id="rId2" Type="http://schemas.openxmlformats.org/officeDocument/2006/relationships/hyperlink" Target="http://www.kohoku-e.sapporo-c.ed.jp/" TargetMode="External"/><Relationship Id="rId16" Type="http://schemas.openxmlformats.org/officeDocument/2006/relationships/hyperlink" Target="http://www.taihei-e.sapporo-c.ed.jp/" TargetMode="External"/><Relationship Id="rId29" Type="http://schemas.openxmlformats.org/officeDocument/2006/relationships/hyperlink" Target="http://www.tondenkita-e.sapporo-c.ed.jp/" TargetMode="External"/><Relationship Id="rId11" Type="http://schemas.openxmlformats.org/officeDocument/2006/relationships/hyperlink" Target="http://www.koyo-e.sapporo-c.ed.jp/" TargetMode="External"/><Relationship Id="rId24" Type="http://schemas.openxmlformats.org/officeDocument/2006/relationships/hyperlink" Target="http://www.taiheiminami-e.sapporo-c.ed.jp/" TargetMode="External"/><Relationship Id="rId32" Type="http://schemas.openxmlformats.org/officeDocument/2006/relationships/drawing" Target="../drawings/drawing1.xml"/><Relationship Id="rId37" Type="http://schemas.openxmlformats.org/officeDocument/2006/relationships/ctrlProp" Target="../ctrlProps/ctrlProp4.xml"/><Relationship Id="rId40" Type="http://schemas.openxmlformats.org/officeDocument/2006/relationships/ctrlProp" Target="../ctrlProps/ctrlProp7.xml"/><Relationship Id="rId45" Type="http://schemas.openxmlformats.org/officeDocument/2006/relationships/ctrlProp" Target="../ctrlProps/ctrlProp12.xml"/><Relationship Id="rId53" Type="http://schemas.openxmlformats.org/officeDocument/2006/relationships/ctrlProp" Target="../ctrlProps/ctrlProp20.xml"/><Relationship Id="rId58" Type="http://schemas.openxmlformats.org/officeDocument/2006/relationships/ctrlProp" Target="../ctrlProps/ctrlProp25.xml"/><Relationship Id="rId66" Type="http://schemas.openxmlformats.org/officeDocument/2006/relationships/ctrlProp" Target="../ctrlProps/ctrlProp33.xml"/><Relationship Id="rId5" Type="http://schemas.openxmlformats.org/officeDocument/2006/relationships/hyperlink" Target="http://www.tonden-e.sapporo-c.ed.jp/" TargetMode="External"/><Relationship Id="rId61" Type="http://schemas.openxmlformats.org/officeDocument/2006/relationships/ctrlProp" Target="../ctrlProps/ctrlProp28.xml"/><Relationship Id="rId19" Type="http://schemas.openxmlformats.org/officeDocument/2006/relationships/hyperlink" Target="http://www.shinko-e.sapporo-c.ed.jp/" TargetMode="External"/><Relationship Id="rId14" Type="http://schemas.openxmlformats.org/officeDocument/2006/relationships/hyperlink" Target="http://www.shinkawachuo-e.sapporo-c.ed.jp/" TargetMode="External"/><Relationship Id="rId22" Type="http://schemas.openxmlformats.org/officeDocument/2006/relationships/hyperlink" Target="http://www.hokuyo-e.sapporo-c.ed.jp/" TargetMode="External"/><Relationship Id="rId27" Type="http://schemas.openxmlformats.org/officeDocument/2006/relationships/hyperlink" Target="http://www.ainosatohigashi-e.sapporo-c.ed.jp/" TargetMode="External"/><Relationship Id="rId30" Type="http://schemas.openxmlformats.org/officeDocument/2006/relationships/hyperlink" Target="http://www.himawari-ej.sapporo-c.ed.jp/" TargetMode="External"/><Relationship Id="rId35" Type="http://schemas.openxmlformats.org/officeDocument/2006/relationships/ctrlProp" Target="../ctrlProps/ctrlProp2.xml"/><Relationship Id="rId43" Type="http://schemas.openxmlformats.org/officeDocument/2006/relationships/ctrlProp" Target="../ctrlProps/ctrlProp10.xml"/><Relationship Id="rId48" Type="http://schemas.openxmlformats.org/officeDocument/2006/relationships/ctrlProp" Target="../ctrlProps/ctrlProp15.xml"/><Relationship Id="rId56" Type="http://schemas.openxmlformats.org/officeDocument/2006/relationships/ctrlProp" Target="../ctrlProps/ctrlProp23.xml"/><Relationship Id="rId64" Type="http://schemas.openxmlformats.org/officeDocument/2006/relationships/ctrlProp" Target="../ctrlProps/ctrlProp31.xml"/><Relationship Id="rId69" Type="http://schemas.openxmlformats.org/officeDocument/2006/relationships/ctrlProp" Target="../ctrlProps/ctrlProp36.xml"/><Relationship Id="rId8" Type="http://schemas.openxmlformats.org/officeDocument/2006/relationships/hyperlink" Target="http://www.barato-e.sapporo-c.ed.jp/" TargetMode="External"/><Relationship Id="rId51" Type="http://schemas.openxmlformats.org/officeDocument/2006/relationships/ctrlProp" Target="../ctrlProps/ctrlProp18.xml"/><Relationship Id="rId72" Type="http://schemas.openxmlformats.org/officeDocument/2006/relationships/ctrlProp" Target="../ctrlProps/ctrlProp39.xml"/><Relationship Id="rId3" Type="http://schemas.openxmlformats.org/officeDocument/2006/relationships/hyperlink" Target="http://www.hakuyo-e.sapporo-c.ed.jp/" TargetMode="External"/><Relationship Id="rId12" Type="http://schemas.openxmlformats.org/officeDocument/2006/relationships/hyperlink" Target="http://www.shinyo-e.sapporo-c.ed.jp/" TargetMode="External"/><Relationship Id="rId17" Type="http://schemas.openxmlformats.org/officeDocument/2006/relationships/hyperlink" Target="http://www.shinkotoniminami-e.sapporo-c.ed.jp/" TargetMode="External"/><Relationship Id="rId25" Type="http://schemas.openxmlformats.org/officeDocument/2006/relationships/hyperlink" Target="http://www.ainosatonishi-e.sapporo-c.ed.jp/" TargetMode="External"/><Relationship Id="rId33" Type="http://schemas.openxmlformats.org/officeDocument/2006/relationships/vmlDrawing" Target="../drawings/vmlDrawing1.vml"/><Relationship Id="rId38" Type="http://schemas.openxmlformats.org/officeDocument/2006/relationships/ctrlProp" Target="../ctrlProps/ctrlProp5.xml"/><Relationship Id="rId46" Type="http://schemas.openxmlformats.org/officeDocument/2006/relationships/ctrlProp" Target="../ctrlProps/ctrlProp13.xml"/><Relationship Id="rId59" Type="http://schemas.openxmlformats.org/officeDocument/2006/relationships/ctrlProp" Target="../ctrlProps/ctrlProp26.xml"/><Relationship Id="rId67" Type="http://schemas.openxmlformats.org/officeDocument/2006/relationships/ctrlProp" Target="../ctrlProps/ctrlProp34.xml"/><Relationship Id="rId20" Type="http://schemas.openxmlformats.org/officeDocument/2006/relationships/hyperlink" Target="http://www.takuhoku-e.sapporo-c.ed.jp/" TargetMode="External"/><Relationship Id="rId41" Type="http://schemas.openxmlformats.org/officeDocument/2006/relationships/ctrlProp" Target="../ctrlProps/ctrlProp8.xml"/><Relationship Id="rId54" Type="http://schemas.openxmlformats.org/officeDocument/2006/relationships/ctrlProp" Target="../ctrlProps/ctrlProp21.xml"/><Relationship Id="rId62" Type="http://schemas.openxmlformats.org/officeDocument/2006/relationships/ctrlProp" Target="../ctrlProps/ctrlProp29.xml"/><Relationship Id="rId70" Type="http://schemas.openxmlformats.org/officeDocument/2006/relationships/ctrlProp" Target="../ctrlProps/ctrlProp37.xml"/><Relationship Id="rId1" Type="http://schemas.openxmlformats.org/officeDocument/2006/relationships/hyperlink" Target="http://www.kitakujo-e.sapporo-c.ed.jp/" TargetMode="External"/><Relationship Id="rId6" Type="http://schemas.openxmlformats.org/officeDocument/2006/relationships/hyperlink" Target="http://www.shinkawa-e.sapporo-c.ed.jp/" TargetMode="External"/><Relationship Id="rId15" Type="http://schemas.openxmlformats.org/officeDocument/2006/relationships/hyperlink" Target="http://www.shinkotoninishi-e.sapporo-c.ed.jp/" TargetMode="External"/><Relationship Id="rId23" Type="http://schemas.openxmlformats.org/officeDocument/2006/relationships/hyperlink" Target="http://www.shinkotonimidori-e.sapporo-c.ed.jp/" TargetMode="External"/><Relationship Id="rId28" Type="http://schemas.openxmlformats.org/officeDocument/2006/relationships/hyperlink" Target="http://www.yurigahara-e.sapporo-c.ed.jp/" TargetMode="External"/><Relationship Id="rId36" Type="http://schemas.openxmlformats.org/officeDocument/2006/relationships/ctrlProp" Target="../ctrlProps/ctrlProp3.xml"/><Relationship Id="rId49" Type="http://schemas.openxmlformats.org/officeDocument/2006/relationships/ctrlProp" Target="../ctrlProps/ctrlProp16.xml"/><Relationship Id="rId57" Type="http://schemas.openxmlformats.org/officeDocument/2006/relationships/ctrlProp" Target="../ctrlProps/ctrlProp24.xml"/><Relationship Id="rId10" Type="http://schemas.openxmlformats.org/officeDocument/2006/relationships/hyperlink" Target="http://www.wako-e.sapporo-c.ed.jp/" TargetMode="External"/><Relationship Id="rId31" Type="http://schemas.openxmlformats.org/officeDocument/2006/relationships/printerSettings" Target="../printerSettings/printerSettings2.bin"/><Relationship Id="rId44" Type="http://schemas.openxmlformats.org/officeDocument/2006/relationships/ctrlProp" Target="../ctrlProps/ctrlProp11.xml"/><Relationship Id="rId52" Type="http://schemas.openxmlformats.org/officeDocument/2006/relationships/ctrlProp" Target="../ctrlProps/ctrlProp19.xml"/><Relationship Id="rId60" Type="http://schemas.openxmlformats.org/officeDocument/2006/relationships/ctrlProp" Target="../ctrlProps/ctrlProp27.xml"/><Relationship Id="rId65" Type="http://schemas.openxmlformats.org/officeDocument/2006/relationships/ctrlProp" Target="../ctrlProps/ctrlProp32.xml"/><Relationship Id="rId4" Type="http://schemas.openxmlformats.org/officeDocument/2006/relationships/hyperlink" Target="http://www.shinkotoni-e.sapporo-c.ed.jp/" TargetMode="External"/><Relationship Id="rId9" Type="http://schemas.openxmlformats.org/officeDocument/2006/relationships/hyperlink" Target="http://www.kojo-e.sapporo-c.ed.jp/" TargetMode="External"/><Relationship Id="rId13" Type="http://schemas.openxmlformats.org/officeDocument/2006/relationships/hyperlink" Target="http://www.shinkotonikita-e.sapporo-c.ed.jp/" TargetMode="External"/><Relationship Id="rId18" Type="http://schemas.openxmlformats.org/officeDocument/2006/relationships/hyperlink" Target="http://www.shinoronishi-e.sapporo-c.ed.jp/" TargetMode="External"/><Relationship Id="rId39" Type="http://schemas.openxmlformats.org/officeDocument/2006/relationships/ctrlProp" Target="../ctrlProps/ctrlProp6.xml"/><Relationship Id="rId34" Type="http://schemas.openxmlformats.org/officeDocument/2006/relationships/ctrlProp" Target="../ctrlProps/ctrlProp1.xml"/><Relationship Id="rId50" Type="http://schemas.openxmlformats.org/officeDocument/2006/relationships/ctrlProp" Target="../ctrlProps/ctrlProp17.xml"/><Relationship Id="rId55"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62.xml"/><Relationship Id="rId21" Type="http://schemas.openxmlformats.org/officeDocument/2006/relationships/ctrlProp" Target="../ctrlProps/ctrlProp57.xml"/><Relationship Id="rId42" Type="http://schemas.openxmlformats.org/officeDocument/2006/relationships/ctrlProp" Target="../ctrlProps/ctrlProp78.xml"/><Relationship Id="rId47" Type="http://schemas.openxmlformats.org/officeDocument/2006/relationships/ctrlProp" Target="../ctrlProps/ctrlProp83.xml"/><Relationship Id="rId63" Type="http://schemas.openxmlformats.org/officeDocument/2006/relationships/ctrlProp" Target="../ctrlProps/ctrlProp99.xml"/><Relationship Id="rId68" Type="http://schemas.openxmlformats.org/officeDocument/2006/relationships/ctrlProp" Target="../ctrlProps/ctrlProp104.xml"/><Relationship Id="rId16" Type="http://schemas.openxmlformats.org/officeDocument/2006/relationships/ctrlProp" Target="../ctrlProps/ctrlProp52.xml"/><Relationship Id="rId11" Type="http://schemas.openxmlformats.org/officeDocument/2006/relationships/ctrlProp" Target="../ctrlProps/ctrlProp47.xml"/><Relationship Id="rId32" Type="http://schemas.openxmlformats.org/officeDocument/2006/relationships/ctrlProp" Target="../ctrlProps/ctrlProp68.xml"/><Relationship Id="rId37" Type="http://schemas.openxmlformats.org/officeDocument/2006/relationships/ctrlProp" Target="../ctrlProps/ctrlProp73.xml"/><Relationship Id="rId53" Type="http://schemas.openxmlformats.org/officeDocument/2006/relationships/ctrlProp" Target="../ctrlProps/ctrlProp89.xml"/><Relationship Id="rId58" Type="http://schemas.openxmlformats.org/officeDocument/2006/relationships/ctrlProp" Target="../ctrlProps/ctrlProp94.xml"/><Relationship Id="rId74" Type="http://schemas.openxmlformats.org/officeDocument/2006/relationships/ctrlProp" Target="../ctrlProps/ctrlProp110.xml"/><Relationship Id="rId79" Type="http://schemas.openxmlformats.org/officeDocument/2006/relationships/ctrlProp" Target="../ctrlProps/ctrlProp115.xml"/><Relationship Id="rId5" Type="http://schemas.openxmlformats.org/officeDocument/2006/relationships/ctrlProp" Target="../ctrlProps/ctrlProp41.xml"/><Relationship Id="rId61" Type="http://schemas.openxmlformats.org/officeDocument/2006/relationships/ctrlProp" Target="../ctrlProps/ctrlProp97.xml"/><Relationship Id="rId82" Type="http://schemas.openxmlformats.org/officeDocument/2006/relationships/ctrlProp" Target="../ctrlProps/ctrlProp118.xml"/><Relationship Id="rId19" Type="http://schemas.openxmlformats.org/officeDocument/2006/relationships/ctrlProp" Target="../ctrlProps/ctrlProp5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56" Type="http://schemas.openxmlformats.org/officeDocument/2006/relationships/ctrlProp" Target="../ctrlProps/ctrlProp92.xml"/><Relationship Id="rId64" Type="http://schemas.openxmlformats.org/officeDocument/2006/relationships/ctrlProp" Target="../ctrlProps/ctrlProp100.xml"/><Relationship Id="rId69" Type="http://schemas.openxmlformats.org/officeDocument/2006/relationships/ctrlProp" Target="../ctrlProps/ctrlProp105.xml"/><Relationship Id="rId77" Type="http://schemas.openxmlformats.org/officeDocument/2006/relationships/ctrlProp" Target="../ctrlProps/ctrlProp113.xml"/><Relationship Id="rId8" Type="http://schemas.openxmlformats.org/officeDocument/2006/relationships/ctrlProp" Target="../ctrlProps/ctrlProp44.xml"/><Relationship Id="rId51" Type="http://schemas.openxmlformats.org/officeDocument/2006/relationships/ctrlProp" Target="../ctrlProps/ctrlProp87.xml"/><Relationship Id="rId72" Type="http://schemas.openxmlformats.org/officeDocument/2006/relationships/ctrlProp" Target="../ctrlProps/ctrlProp108.xml"/><Relationship Id="rId80" Type="http://schemas.openxmlformats.org/officeDocument/2006/relationships/ctrlProp" Target="../ctrlProps/ctrlProp116.xml"/><Relationship Id="rId3" Type="http://schemas.openxmlformats.org/officeDocument/2006/relationships/vmlDrawing" Target="../drawings/vmlDrawing2.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59" Type="http://schemas.openxmlformats.org/officeDocument/2006/relationships/ctrlProp" Target="../ctrlProps/ctrlProp95.xml"/><Relationship Id="rId67" Type="http://schemas.openxmlformats.org/officeDocument/2006/relationships/ctrlProp" Target="../ctrlProps/ctrlProp103.xml"/><Relationship Id="rId20" Type="http://schemas.openxmlformats.org/officeDocument/2006/relationships/ctrlProp" Target="../ctrlProps/ctrlProp56.xml"/><Relationship Id="rId41" Type="http://schemas.openxmlformats.org/officeDocument/2006/relationships/ctrlProp" Target="../ctrlProps/ctrlProp77.xml"/><Relationship Id="rId54" Type="http://schemas.openxmlformats.org/officeDocument/2006/relationships/ctrlProp" Target="../ctrlProps/ctrlProp90.xml"/><Relationship Id="rId62" Type="http://schemas.openxmlformats.org/officeDocument/2006/relationships/ctrlProp" Target="../ctrlProps/ctrlProp98.xml"/><Relationship Id="rId70" Type="http://schemas.openxmlformats.org/officeDocument/2006/relationships/ctrlProp" Target="../ctrlProps/ctrlProp106.xml"/><Relationship Id="rId75" Type="http://schemas.openxmlformats.org/officeDocument/2006/relationships/ctrlProp" Target="../ctrlProps/ctrlProp111.xml"/><Relationship Id="rId83" Type="http://schemas.openxmlformats.org/officeDocument/2006/relationships/ctrlProp" Target="../ctrlProps/ctrlProp119.xml"/><Relationship Id="rId1" Type="http://schemas.openxmlformats.org/officeDocument/2006/relationships/printerSettings" Target="../printerSettings/printerSettings5.bin"/><Relationship Id="rId6" Type="http://schemas.openxmlformats.org/officeDocument/2006/relationships/ctrlProp" Target="../ctrlProps/ctrlProp42.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 Id="rId57" Type="http://schemas.openxmlformats.org/officeDocument/2006/relationships/ctrlProp" Target="../ctrlProps/ctrlProp93.xml"/><Relationship Id="rId10" Type="http://schemas.openxmlformats.org/officeDocument/2006/relationships/ctrlProp" Target="../ctrlProps/ctrlProp46.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60" Type="http://schemas.openxmlformats.org/officeDocument/2006/relationships/ctrlProp" Target="../ctrlProps/ctrlProp96.xml"/><Relationship Id="rId65" Type="http://schemas.openxmlformats.org/officeDocument/2006/relationships/ctrlProp" Target="../ctrlProps/ctrlProp101.xml"/><Relationship Id="rId73" Type="http://schemas.openxmlformats.org/officeDocument/2006/relationships/ctrlProp" Target="../ctrlProps/ctrlProp109.xml"/><Relationship Id="rId78" Type="http://schemas.openxmlformats.org/officeDocument/2006/relationships/ctrlProp" Target="../ctrlProps/ctrlProp114.xml"/><Relationship Id="rId81" Type="http://schemas.openxmlformats.org/officeDocument/2006/relationships/ctrlProp" Target="../ctrlProps/ctrlProp117.xml"/><Relationship Id="rId4" Type="http://schemas.openxmlformats.org/officeDocument/2006/relationships/ctrlProp" Target="../ctrlProps/ctrlProp40.xml"/><Relationship Id="rId9" Type="http://schemas.openxmlformats.org/officeDocument/2006/relationships/ctrlProp" Target="../ctrlProps/ctrlProp45.xml"/><Relationship Id="rId13" Type="http://schemas.openxmlformats.org/officeDocument/2006/relationships/ctrlProp" Target="../ctrlProps/ctrlProp49.xml"/><Relationship Id="rId18" Type="http://schemas.openxmlformats.org/officeDocument/2006/relationships/ctrlProp" Target="../ctrlProps/ctrlProp54.xml"/><Relationship Id="rId39" Type="http://schemas.openxmlformats.org/officeDocument/2006/relationships/ctrlProp" Target="../ctrlProps/ctrlProp75.xml"/><Relationship Id="rId34" Type="http://schemas.openxmlformats.org/officeDocument/2006/relationships/ctrlProp" Target="../ctrlProps/ctrlProp70.xml"/><Relationship Id="rId50" Type="http://schemas.openxmlformats.org/officeDocument/2006/relationships/ctrlProp" Target="../ctrlProps/ctrlProp86.xml"/><Relationship Id="rId55" Type="http://schemas.openxmlformats.org/officeDocument/2006/relationships/ctrlProp" Target="../ctrlProps/ctrlProp91.xml"/><Relationship Id="rId76" Type="http://schemas.openxmlformats.org/officeDocument/2006/relationships/ctrlProp" Target="../ctrlProps/ctrlProp112.xml"/><Relationship Id="rId7" Type="http://schemas.openxmlformats.org/officeDocument/2006/relationships/ctrlProp" Target="../ctrlProps/ctrlProp43.xml"/><Relationship Id="rId71" Type="http://schemas.openxmlformats.org/officeDocument/2006/relationships/ctrlProp" Target="../ctrlProps/ctrlProp107.xml"/><Relationship Id="rId2" Type="http://schemas.openxmlformats.org/officeDocument/2006/relationships/drawing" Target="../drawings/drawing2.xml"/><Relationship Id="rId29" Type="http://schemas.openxmlformats.org/officeDocument/2006/relationships/ctrlProp" Target="../ctrlProps/ctrlProp65.xml"/><Relationship Id="rId24" Type="http://schemas.openxmlformats.org/officeDocument/2006/relationships/ctrlProp" Target="../ctrlProps/ctrlProp60.xml"/><Relationship Id="rId40" Type="http://schemas.openxmlformats.org/officeDocument/2006/relationships/ctrlProp" Target="../ctrlProps/ctrlProp76.xml"/><Relationship Id="rId45" Type="http://schemas.openxmlformats.org/officeDocument/2006/relationships/ctrlProp" Target="../ctrlProps/ctrlProp81.xml"/><Relationship Id="rId66" Type="http://schemas.openxmlformats.org/officeDocument/2006/relationships/ctrlProp" Target="../ctrlProps/ctrlProp10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29.xml"/><Relationship Id="rId18" Type="http://schemas.openxmlformats.org/officeDocument/2006/relationships/ctrlProp" Target="../ctrlProps/ctrlProp134.xml"/><Relationship Id="rId26" Type="http://schemas.openxmlformats.org/officeDocument/2006/relationships/ctrlProp" Target="../ctrlProps/ctrlProp142.xml"/><Relationship Id="rId3" Type="http://schemas.openxmlformats.org/officeDocument/2006/relationships/vmlDrawing" Target="../drawings/vmlDrawing5.vml"/><Relationship Id="rId21" Type="http://schemas.openxmlformats.org/officeDocument/2006/relationships/ctrlProp" Target="../ctrlProps/ctrlProp137.xml"/><Relationship Id="rId34" Type="http://schemas.openxmlformats.org/officeDocument/2006/relationships/comments" Target="../comments3.xml"/><Relationship Id="rId7" Type="http://schemas.openxmlformats.org/officeDocument/2006/relationships/ctrlProp" Target="../ctrlProps/ctrlProp123.xml"/><Relationship Id="rId12" Type="http://schemas.openxmlformats.org/officeDocument/2006/relationships/ctrlProp" Target="../ctrlProps/ctrlProp128.xml"/><Relationship Id="rId17" Type="http://schemas.openxmlformats.org/officeDocument/2006/relationships/ctrlProp" Target="../ctrlProps/ctrlProp133.xml"/><Relationship Id="rId25" Type="http://schemas.openxmlformats.org/officeDocument/2006/relationships/ctrlProp" Target="../ctrlProps/ctrlProp141.xml"/><Relationship Id="rId33" Type="http://schemas.openxmlformats.org/officeDocument/2006/relationships/ctrlProp" Target="../ctrlProps/ctrlProp149.xml"/><Relationship Id="rId2" Type="http://schemas.openxmlformats.org/officeDocument/2006/relationships/drawing" Target="../drawings/drawing5.xml"/><Relationship Id="rId16" Type="http://schemas.openxmlformats.org/officeDocument/2006/relationships/ctrlProp" Target="../ctrlProps/ctrlProp132.xml"/><Relationship Id="rId20" Type="http://schemas.openxmlformats.org/officeDocument/2006/relationships/ctrlProp" Target="../ctrlProps/ctrlProp136.xml"/><Relationship Id="rId29" Type="http://schemas.openxmlformats.org/officeDocument/2006/relationships/ctrlProp" Target="../ctrlProps/ctrlProp145.xml"/><Relationship Id="rId1" Type="http://schemas.openxmlformats.org/officeDocument/2006/relationships/printerSettings" Target="../printerSettings/printerSettings8.bin"/><Relationship Id="rId6" Type="http://schemas.openxmlformats.org/officeDocument/2006/relationships/ctrlProp" Target="../ctrlProps/ctrlProp122.xml"/><Relationship Id="rId11" Type="http://schemas.openxmlformats.org/officeDocument/2006/relationships/ctrlProp" Target="../ctrlProps/ctrlProp127.xml"/><Relationship Id="rId24" Type="http://schemas.openxmlformats.org/officeDocument/2006/relationships/ctrlProp" Target="../ctrlProps/ctrlProp140.xml"/><Relationship Id="rId32" Type="http://schemas.openxmlformats.org/officeDocument/2006/relationships/ctrlProp" Target="../ctrlProps/ctrlProp148.xml"/><Relationship Id="rId5" Type="http://schemas.openxmlformats.org/officeDocument/2006/relationships/ctrlProp" Target="../ctrlProps/ctrlProp121.xml"/><Relationship Id="rId15" Type="http://schemas.openxmlformats.org/officeDocument/2006/relationships/ctrlProp" Target="../ctrlProps/ctrlProp131.xml"/><Relationship Id="rId23" Type="http://schemas.openxmlformats.org/officeDocument/2006/relationships/ctrlProp" Target="../ctrlProps/ctrlProp139.xml"/><Relationship Id="rId28" Type="http://schemas.openxmlformats.org/officeDocument/2006/relationships/ctrlProp" Target="../ctrlProps/ctrlProp144.xml"/><Relationship Id="rId10" Type="http://schemas.openxmlformats.org/officeDocument/2006/relationships/ctrlProp" Target="../ctrlProps/ctrlProp126.xml"/><Relationship Id="rId19" Type="http://schemas.openxmlformats.org/officeDocument/2006/relationships/ctrlProp" Target="../ctrlProps/ctrlProp135.xml"/><Relationship Id="rId31" Type="http://schemas.openxmlformats.org/officeDocument/2006/relationships/ctrlProp" Target="../ctrlProps/ctrlProp147.xml"/><Relationship Id="rId4" Type="http://schemas.openxmlformats.org/officeDocument/2006/relationships/ctrlProp" Target="../ctrlProps/ctrlProp120.xml"/><Relationship Id="rId9" Type="http://schemas.openxmlformats.org/officeDocument/2006/relationships/ctrlProp" Target="../ctrlProps/ctrlProp125.xml"/><Relationship Id="rId14" Type="http://schemas.openxmlformats.org/officeDocument/2006/relationships/ctrlProp" Target="../ctrlProps/ctrlProp130.xml"/><Relationship Id="rId22" Type="http://schemas.openxmlformats.org/officeDocument/2006/relationships/ctrlProp" Target="../ctrlProps/ctrlProp138.xml"/><Relationship Id="rId27" Type="http://schemas.openxmlformats.org/officeDocument/2006/relationships/ctrlProp" Target="../ctrlProps/ctrlProp143.xml"/><Relationship Id="rId30" Type="http://schemas.openxmlformats.org/officeDocument/2006/relationships/ctrlProp" Target="../ctrlProps/ctrlProp146.xml"/><Relationship Id="rId8" Type="http://schemas.openxmlformats.org/officeDocument/2006/relationships/ctrlProp" Target="../ctrlProps/ctrlProp12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59.xml"/><Relationship Id="rId18" Type="http://schemas.openxmlformats.org/officeDocument/2006/relationships/ctrlProp" Target="../ctrlProps/ctrlProp164.xml"/><Relationship Id="rId26" Type="http://schemas.openxmlformats.org/officeDocument/2006/relationships/ctrlProp" Target="../ctrlProps/ctrlProp172.xml"/><Relationship Id="rId3" Type="http://schemas.openxmlformats.org/officeDocument/2006/relationships/vmlDrawing" Target="../drawings/vmlDrawing6.vml"/><Relationship Id="rId21" Type="http://schemas.openxmlformats.org/officeDocument/2006/relationships/ctrlProp" Target="../ctrlProps/ctrlProp167.xml"/><Relationship Id="rId34" Type="http://schemas.openxmlformats.org/officeDocument/2006/relationships/comments" Target="../comments4.xml"/><Relationship Id="rId7" Type="http://schemas.openxmlformats.org/officeDocument/2006/relationships/ctrlProp" Target="../ctrlProps/ctrlProp153.xml"/><Relationship Id="rId12" Type="http://schemas.openxmlformats.org/officeDocument/2006/relationships/ctrlProp" Target="../ctrlProps/ctrlProp158.xml"/><Relationship Id="rId17" Type="http://schemas.openxmlformats.org/officeDocument/2006/relationships/ctrlProp" Target="../ctrlProps/ctrlProp163.xml"/><Relationship Id="rId25" Type="http://schemas.openxmlformats.org/officeDocument/2006/relationships/ctrlProp" Target="../ctrlProps/ctrlProp171.xml"/><Relationship Id="rId33" Type="http://schemas.openxmlformats.org/officeDocument/2006/relationships/ctrlProp" Target="../ctrlProps/ctrlProp179.xml"/><Relationship Id="rId2" Type="http://schemas.openxmlformats.org/officeDocument/2006/relationships/drawing" Target="../drawings/drawing6.xml"/><Relationship Id="rId16" Type="http://schemas.openxmlformats.org/officeDocument/2006/relationships/ctrlProp" Target="../ctrlProps/ctrlProp162.xml"/><Relationship Id="rId20" Type="http://schemas.openxmlformats.org/officeDocument/2006/relationships/ctrlProp" Target="../ctrlProps/ctrlProp166.xml"/><Relationship Id="rId29" Type="http://schemas.openxmlformats.org/officeDocument/2006/relationships/ctrlProp" Target="../ctrlProps/ctrlProp175.xml"/><Relationship Id="rId1" Type="http://schemas.openxmlformats.org/officeDocument/2006/relationships/printerSettings" Target="../printerSettings/printerSettings9.bin"/><Relationship Id="rId6" Type="http://schemas.openxmlformats.org/officeDocument/2006/relationships/ctrlProp" Target="../ctrlProps/ctrlProp152.xml"/><Relationship Id="rId11" Type="http://schemas.openxmlformats.org/officeDocument/2006/relationships/ctrlProp" Target="../ctrlProps/ctrlProp157.xml"/><Relationship Id="rId24" Type="http://schemas.openxmlformats.org/officeDocument/2006/relationships/ctrlProp" Target="../ctrlProps/ctrlProp170.xml"/><Relationship Id="rId32" Type="http://schemas.openxmlformats.org/officeDocument/2006/relationships/ctrlProp" Target="../ctrlProps/ctrlProp178.xml"/><Relationship Id="rId5" Type="http://schemas.openxmlformats.org/officeDocument/2006/relationships/ctrlProp" Target="../ctrlProps/ctrlProp151.xml"/><Relationship Id="rId15" Type="http://schemas.openxmlformats.org/officeDocument/2006/relationships/ctrlProp" Target="../ctrlProps/ctrlProp161.xml"/><Relationship Id="rId23" Type="http://schemas.openxmlformats.org/officeDocument/2006/relationships/ctrlProp" Target="../ctrlProps/ctrlProp169.xml"/><Relationship Id="rId28" Type="http://schemas.openxmlformats.org/officeDocument/2006/relationships/ctrlProp" Target="../ctrlProps/ctrlProp174.xml"/><Relationship Id="rId10" Type="http://schemas.openxmlformats.org/officeDocument/2006/relationships/ctrlProp" Target="../ctrlProps/ctrlProp156.xml"/><Relationship Id="rId19" Type="http://schemas.openxmlformats.org/officeDocument/2006/relationships/ctrlProp" Target="../ctrlProps/ctrlProp165.xml"/><Relationship Id="rId31" Type="http://schemas.openxmlformats.org/officeDocument/2006/relationships/ctrlProp" Target="../ctrlProps/ctrlProp177.xml"/><Relationship Id="rId4" Type="http://schemas.openxmlformats.org/officeDocument/2006/relationships/ctrlProp" Target="../ctrlProps/ctrlProp150.xml"/><Relationship Id="rId9" Type="http://schemas.openxmlformats.org/officeDocument/2006/relationships/ctrlProp" Target="../ctrlProps/ctrlProp155.xml"/><Relationship Id="rId14" Type="http://schemas.openxmlformats.org/officeDocument/2006/relationships/ctrlProp" Target="../ctrlProps/ctrlProp160.xml"/><Relationship Id="rId22" Type="http://schemas.openxmlformats.org/officeDocument/2006/relationships/ctrlProp" Target="../ctrlProps/ctrlProp168.xml"/><Relationship Id="rId27" Type="http://schemas.openxmlformats.org/officeDocument/2006/relationships/ctrlProp" Target="../ctrlProps/ctrlProp173.xml"/><Relationship Id="rId30" Type="http://schemas.openxmlformats.org/officeDocument/2006/relationships/ctrlProp" Target="../ctrlProps/ctrlProp176.xml"/><Relationship Id="rId8" Type="http://schemas.openxmlformats.org/officeDocument/2006/relationships/ctrlProp" Target="../ctrlProps/ctrlProp1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AC38"/>
  <sheetViews>
    <sheetView tabSelected="1" view="pageBreakPreview" topLeftCell="A2" zoomScale="70" zoomScaleNormal="100" zoomScaleSheetLayoutView="70" workbookViewId="0">
      <selection activeCell="AL23" sqref="AL23"/>
    </sheetView>
  </sheetViews>
  <sheetFormatPr defaultRowHeight="13.5"/>
  <cols>
    <col min="1" max="26" width="3.625" style="757" customWidth="1"/>
    <col min="27" max="16384" width="9" style="757"/>
  </cols>
  <sheetData>
    <row r="1" spans="1:26" hidden="1"/>
    <row r="2" spans="1:26" ht="20.100000000000001" customHeight="1">
      <c r="A2" s="1115" t="s">
        <v>311</v>
      </c>
      <c r="B2" s="1115"/>
      <c r="C2" s="1115"/>
      <c r="D2" s="1115"/>
      <c r="E2" s="1115"/>
      <c r="F2" s="1115"/>
      <c r="G2" s="1115"/>
      <c r="H2" s="1115"/>
      <c r="I2" s="1115"/>
      <c r="J2" s="1115"/>
      <c r="K2" s="1115"/>
      <c r="L2" s="1115"/>
      <c r="M2" s="1115"/>
      <c r="N2" s="1115"/>
      <c r="O2" s="1115"/>
      <c r="P2" s="1115"/>
      <c r="Q2" s="1115"/>
      <c r="R2" s="1115"/>
      <c r="S2" s="1115"/>
      <c r="T2" s="1115"/>
      <c r="U2" s="1115"/>
      <c r="V2" s="1115"/>
      <c r="W2" s="1115"/>
      <c r="X2" s="1115"/>
      <c r="Y2" s="1115"/>
      <c r="Z2" s="1115"/>
    </row>
    <row r="3" spans="1:26" ht="20.100000000000001" customHeight="1">
      <c r="A3" s="640"/>
      <c r="B3" s="641"/>
      <c r="C3" s="641"/>
      <c r="D3" s="641"/>
      <c r="E3" s="641"/>
      <c r="F3" s="641"/>
      <c r="G3" s="641"/>
      <c r="H3" s="641"/>
      <c r="I3" s="641"/>
      <c r="J3" s="641"/>
      <c r="K3" s="641"/>
      <c r="L3" s="641"/>
      <c r="M3" s="641"/>
      <c r="N3" s="641"/>
      <c r="O3" s="641"/>
      <c r="P3" s="641"/>
      <c r="Q3" s="641"/>
      <c r="R3" s="641"/>
      <c r="S3" s="641"/>
      <c r="T3" s="641"/>
      <c r="U3" s="641"/>
      <c r="V3" s="641"/>
      <c r="W3" s="641"/>
      <c r="X3" s="641"/>
      <c r="Y3" s="641"/>
      <c r="Z3" s="640"/>
    </row>
    <row r="4" spans="1:26" ht="20.100000000000001" customHeight="1">
      <c r="A4" s="1123"/>
      <c r="B4" s="1123"/>
      <c r="C4" s="1123"/>
      <c r="D4" s="1123"/>
      <c r="E4" s="1123"/>
      <c r="F4" s="1123"/>
      <c r="G4" s="1123"/>
      <c r="H4" s="1123"/>
      <c r="I4" s="1122" t="s">
        <v>3</v>
      </c>
      <c r="J4" s="1122"/>
      <c r="K4" s="1122"/>
      <c r="L4" s="1122"/>
      <c r="M4" s="1122"/>
      <c r="N4" s="1122"/>
      <c r="O4" s="1122"/>
      <c r="P4" s="1122"/>
      <c r="Q4" s="1122"/>
      <c r="R4" s="1122"/>
      <c r="S4" s="1123"/>
      <c r="T4" s="1123"/>
      <c r="U4" s="1123"/>
      <c r="V4" s="1123"/>
      <c r="W4" s="1123"/>
      <c r="X4" s="1123"/>
      <c r="Y4" s="1123"/>
      <c r="Z4" s="1123"/>
    </row>
    <row r="5" spans="1:26" ht="20.100000000000001" customHeight="1">
      <c r="A5" s="1118"/>
      <c r="B5" s="1118"/>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row>
    <row r="6" spans="1:26" ht="20.100000000000001" customHeight="1">
      <c r="A6" s="1116" t="s">
        <v>6</v>
      </c>
      <c r="B6" s="1117"/>
      <c r="C6" s="1117"/>
      <c r="D6" s="1117"/>
      <c r="E6" s="1117"/>
      <c r="F6" s="1117"/>
      <c r="G6" s="1117"/>
      <c r="H6" s="1117"/>
      <c r="I6" s="1117"/>
      <c r="J6" s="1117"/>
      <c r="K6" s="1117"/>
      <c r="L6" s="1117"/>
      <c r="M6" s="1117"/>
      <c r="N6" s="1117"/>
      <c r="O6" s="1117"/>
      <c r="P6" s="1117"/>
      <c r="Q6" s="1117"/>
      <c r="R6" s="1117"/>
      <c r="S6" s="1117"/>
      <c r="T6" s="1117"/>
      <c r="U6" s="1117"/>
      <c r="V6" s="1117"/>
      <c r="W6" s="1117"/>
      <c r="X6" s="1117"/>
      <c r="Y6" s="1117"/>
      <c r="Z6" s="1117"/>
    </row>
    <row r="7" spans="1:26" ht="20.100000000000001" customHeight="1">
      <c r="A7" s="1117"/>
      <c r="B7" s="1117"/>
      <c r="C7" s="1117"/>
      <c r="D7" s="1117"/>
      <c r="E7" s="1117"/>
      <c r="F7" s="1117"/>
      <c r="G7" s="1117"/>
      <c r="H7" s="1117"/>
      <c r="I7" s="1117"/>
      <c r="J7" s="1117"/>
      <c r="K7" s="1117"/>
      <c r="L7" s="1117"/>
      <c r="M7" s="1117"/>
      <c r="N7" s="1117"/>
      <c r="O7" s="1117"/>
      <c r="P7" s="1117"/>
      <c r="Q7" s="1117"/>
      <c r="R7" s="1117"/>
      <c r="S7" s="1117"/>
      <c r="T7" s="1117"/>
      <c r="U7" s="1117"/>
      <c r="V7" s="1117"/>
      <c r="W7" s="1117"/>
      <c r="X7" s="1117"/>
      <c r="Y7" s="1117"/>
      <c r="Z7" s="1117"/>
    </row>
    <row r="8" spans="1:26" ht="20.100000000000001" customHeight="1">
      <c r="A8" s="1116" t="s">
        <v>4</v>
      </c>
      <c r="B8" s="1117"/>
      <c r="C8" s="1117"/>
      <c r="D8" s="1117"/>
      <c r="E8" s="1117"/>
      <c r="F8" s="1117"/>
      <c r="G8" s="1117"/>
      <c r="H8" s="1117"/>
      <c r="I8" s="1117"/>
      <c r="J8" s="1117"/>
      <c r="K8" s="1117"/>
      <c r="L8" s="1117"/>
      <c r="M8" s="1117"/>
      <c r="N8" s="1117"/>
      <c r="O8" s="1117"/>
      <c r="P8" s="1117"/>
      <c r="Q8" s="1117"/>
      <c r="R8" s="1117"/>
      <c r="S8" s="1117"/>
      <c r="T8" s="1117"/>
      <c r="U8" s="1117"/>
      <c r="V8" s="1117"/>
      <c r="W8" s="1117"/>
      <c r="X8" s="1117"/>
      <c r="Y8" s="1117"/>
      <c r="Z8" s="1117"/>
    </row>
    <row r="9" spans="1:26" ht="20.100000000000001" customHeight="1">
      <c r="A9" s="1117" t="s">
        <v>313</v>
      </c>
      <c r="B9" s="1117"/>
      <c r="C9" s="1117"/>
      <c r="D9" s="1117"/>
      <c r="E9" s="1117"/>
      <c r="F9" s="1124" t="s">
        <v>3083</v>
      </c>
      <c r="G9" s="1124"/>
      <c r="H9" s="1124"/>
      <c r="I9" s="642" t="s">
        <v>314</v>
      </c>
      <c r="J9" s="642"/>
      <c r="K9" s="642"/>
      <c r="L9" s="642"/>
      <c r="M9" s="642"/>
      <c r="N9" s="642"/>
      <c r="O9" s="642"/>
      <c r="P9" s="642"/>
      <c r="Q9" s="642"/>
      <c r="R9" s="642"/>
      <c r="S9" s="642"/>
      <c r="T9" s="642"/>
      <c r="U9" s="642"/>
      <c r="V9" s="642"/>
      <c r="W9" s="642"/>
      <c r="X9" s="642"/>
      <c r="Y9" s="642"/>
      <c r="Z9" s="642"/>
    </row>
    <row r="10" spans="1:26" ht="20.100000000000001" customHeight="1">
      <c r="A10" s="1125" t="s">
        <v>3011</v>
      </c>
      <c r="B10" s="1125"/>
      <c r="C10" s="1125"/>
      <c r="D10" s="1125"/>
      <c r="E10" s="1125"/>
      <c r="F10" s="1125"/>
      <c r="G10" s="1125"/>
      <c r="H10" s="1125"/>
      <c r="I10" s="1125"/>
      <c r="J10" s="1125"/>
      <c r="K10" s="1125"/>
      <c r="L10" s="1125"/>
      <c r="M10" s="1125"/>
      <c r="N10" s="1125"/>
      <c r="O10" s="1125"/>
      <c r="P10" s="1125"/>
      <c r="Q10" s="1125"/>
      <c r="R10" s="1125"/>
      <c r="S10" s="1125"/>
      <c r="T10" s="1125"/>
      <c r="U10" s="1125"/>
      <c r="V10" s="1125"/>
      <c r="W10" s="1125"/>
      <c r="X10" s="1125"/>
      <c r="Y10" s="1125"/>
      <c r="Z10" s="1125"/>
    </row>
    <row r="11" spans="1:26" ht="72.75" customHeight="1">
      <c r="A11" s="1125"/>
      <c r="B11" s="1125"/>
      <c r="C11" s="1125"/>
      <c r="D11" s="1125"/>
      <c r="E11" s="1125"/>
      <c r="F11" s="1125"/>
      <c r="G11" s="1125"/>
      <c r="H11" s="1125"/>
      <c r="I11" s="1125"/>
      <c r="J11" s="1125"/>
      <c r="K11" s="1125"/>
      <c r="L11" s="1125"/>
      <c r="M11" s="1125"/>
      <c r="N11" s="1125"/>
      <c r="O11" s="1125"/>
      <c r="P11" s="1125"/>
      <c r="Q11" s="1125"/>
      <c r="R11" s="1125"/>
      <c r="S11" s="1125"/>
      <c r="T11" s="1125"/>
      <c r="U11" s="1125"/>
      <c r="V11" s="1125"/>
      <c r="W11" s="1125"/>
      <c r="X11" s="1125"/>
      <c r="Y11" s="1125"/>
      <c r="Z11" s="1125"/>
    </row>
    <row r="12" spans="1:26" ht="20.100000000000001" customHeight="1">
      <c r="A12" s="1116"/>
      <c r="B12" s="1116"/>
      <c r="C12" s="1116"/>
      <c r="D12" s="1116"/>
      <c r="E12" s="1116"/>
      <c r="F12" s="1116"/>
      <c r="G12" s="1116"/>
      <c r="H12" s="1116"/>
      <c r="I12" s="1116"/>
      <c r="J12" s="1116"/>
      <c r="K12" s="1116"/>
      <c r="L12" s="1116"/>
      <c r="M12" s="1116"/>
      <c r="N12" s="1116"/>
      <c r="O12" s="1116"/>
      <c r="P12" s="1116"/>
      <c r="Q12" s="1116"/>
      <c r="R12" s="1116"/>
      <c r="S12" s="1116"/>
      <c r="T12" s="1116"/>
      <c r="U12" s="1116"/>
      <c r="V12" s="1116"/>
      <c r="W12" s="1116"/>
      <c r="X12" s="1116"/>
      <c r="Y12" s="1116"/>
      <c r="Z12" s="1116"/>
    </row>
    <row r="13" spans="1:26" ht="20.100000000000001" customHeight="1">
      <c r="A13" s="1117" t="s">
        <v>3010</v>
      </c>
      <c r="B13" s="1117"/>
      <c r="C13" s="1117"/>
      <c r="D13" s="1117"/>
      <c r="E13" s="1117"/>
      <c r="F13" s="1117"/>
      <c r="G13" s="1117"/>
      <c r="H13" s="1117"/>
      <c r="I13" s="1117"/>
      <c r="J13" s="1117"/>
      <c r="K13" s="1117"/>
      <c r="L13" s="1117"/>
      <c r="M13" s="1117"/>
      <c r="N13" s="1117"/>
      <c r="O13" s="1117"/>
      <c r="P13" s="1117"/>
      <c r="Q13" s="1117"/>
      <c r="R13" s="1117"/>
      <c r="S13" s="1117"/>
      <c r="T13" s="1117"/>
      <c r="U13" s="1117"/>
      <c r="V13" s="1117"/>
      <c r="W13" s="1117"/>
      <c r="X13" s="1117"/>
      <c r="Y13" s="1117"/>
      <c r="Z13" s="1117"/>
    </row>
    <row r="14" spans="1:26" ht="20.100000000000001" customHeight="1">
      <c r="A14" s="1116" t="s">
        <v>5</v>
      </c>
      <c r="B14" s="1117"/>
      <c r="C14" s="1117"/>
      <c r="D14" s="1117"/>
      <c r="E14" s="1117"/>
      <c r="F14" s="1117"/>
      <c r="G14" s="1117"/>
      <c r="H14" s="1117"/>
      <c r="I14" s="1117"/>
      <c r="J14" s="1117"/>
      <c r="K14" s="1117"/>
      <c r="L14" s="1117"/>
      <c r="M14" s="1117"/>
      <c r="N14" s="1117"/>
      <c r="O14" s="1117"/>
      <c r="P14" s="1117"/>
      <c r="Q14" s="1117"/>
      <c r="R14" s="1117"/>
      <c r="S14" s="1117"/>
      <c r="T14" s="1117"/>
      <c r="U14" s="1117"/>
      <c r="V14" s="1117"/>
      <c r="W14" s="1117"/>
      <c r="X14" s="1117"/>
      <c r="Y14" s="1117"/>
      <c r="Z14" s="1117"/>
    </row>
    <row r="15" spans="1:26" ht="20.100000000000001" customHeight="1">
      <c r="A15" s="756"/>
      <c r="B15" s="1119" t="s">
        <v>312</v>
      </c>
      <c r="C15" s="1120"/>
      <c r="D15" s="1120"/>
      <c r="E15" s="1120"/>
      <c r="F15" s="1120"/>
      <c r="G15" s="1120"/>
      <c r="H15" s="1120"/>
      <c r="I15" s="1126" t="s">
        <v>2</v>
      </c>
      <c r="J15" s="1126"/>
      <c r="K15" s="1126"/>
      <c r="L15" s="1126"/>
      <c r="M15" s="1126"/>
      <c r="N15" s="1126"/>
      <c r="O15" s="1126"/>
      <c r="P15" s="1119" t="s">
        <v>2</v>
      </c>
      <c r="Q15" s="1120"/>
      <c r="R15" s="1120"/>
      <c r="S15" s="1120"/>
      <c r="T15" s="1120"/>
      <c r="U15" s="1120"/>
      <c r="V15" s="1120"/>
      <c r="W15" s="1120"/>
      <c r="X15" s="1120"/>
      <c r="Y15" s="1120"/>
      <c r="Z15" s="1121"/>
    </row>
    <row r="16" spans="1:26" ht="20.100000000000001" customHeight="1">
      <c r="A16" s="755"/>
      <c r="B16" s="1141" t="s">
        <v>3053</v>
      </c>
      <c r="C16" s="1142"/>
      <c r="D16" s="1142"/>
      <c r="E16" s="1142"/>
      <c r="F16" s="1142"/>
      <c r="G16" s="1142"/>
      <c r="H16" s="1143"/>
      <c r="I16" s="1144" t="s">
        <v>3054</v>
      </c>
      <c r="J16" s="1144"/>
      <c r="K16" s="1144"/>
      <c r="L16" s="1144"/>
      <c r="M16" s="1144"/>
      <c r="N16" s="1144"/>
      <c r="O16" s="1144"/>
      <c r="P16" s="1145" t="s">
        <v>3055</v>
      </c>
      <c r="Q16" s="1145"/>
      <c r="R16" s="1145"/>
      <c r="S16" s="1145"/>
      <c r="T16" s="1145"/>
      <c r="U16" s="1145"/>
      <c r="V16" s="1145"/>
      <c r="W16" s="1145"/>
      <c r="X16" s="1145"/>
      <c r="Y16" s="1145"/>
      <c r="Z16" s="1145"/>
    </row>
    <row r="17" spans="1:29" ht="20.100000000000001" customHeight="1">
      <c r="A17" s="642"/>
      <c r="B17" s="1141" t="s">
        <v>3067</v>
      </c>
      <c r="C17" s="1142"/>
      <c r="D17" s="1142"/>
      <c r="E17" s="1142"/>
      <c r="F17" s="1142"/>
      <c r="G17" s="1142"/>
      <c r="H17" s="1143"/>
      <c r="I17" s="1144" t="s">
        <v>3054</v>
      </c>
      <c r="J17" s="1144"/>
      <c r="K17" s="1144"/>
      <c r="L17" s="1144"/>
      <c r="M17" s="1144"/>
      <c r="N17" s="1144"/>
      <c r="O17" s="1144"/>
      <c r="P17" s="1145"/>
      <c r="Q17" s="1145"/>
      <c r="R17" s="1145"/>
      <c r="S17" s="1145"/>
      <c r="T17" s="1145"/>
      <c r="U17" s="1145"/>
      <c r="V17" s="1145"/>
      <c r="W17" s="1145"/>
      <c r="X17" s="1145"/>
      <c r="Y17" s="1145"/>
      <c r="Z17" s="1145"/>
      <c r="AC17" s="758"/>
    </row>
    <row r="18" spans="1:29" ht="20.100000000000001" customHeight="1">
      <c r="A18" s="642"/>
      <c r="B18" s="1141" t="s">
        <v>3057</v>
      </c>
      <c r="C18" s="1142"/>
      <c r="D18" s="1142"/>
      <c r="E18" s="1142"/>
      <c r="F18" s="1142"/>
      <c r="G18" s="1142"/>
      <c r="H18" s="1143"/>
      <c r="I18" s="1144" t="s">
        <v>3054</v>
      </c>
      <c r="J18" s="1144"/>
      <c r="K18" s="1144"/>
      <c r="L18" s="1144"/>
      <c r="M18" s="1144"/>
      <c r="N18" s="1144"/>
      <c r="O18" s="1144"/>
      <c r="P18" s="1145"/>
      <c r="Q18" s="1145"/>
      <c r="R18" s="1145"/>
      <c r="S18" s="1145"/>
      <c r="T18" s="1145"/>
      <c r="U18" s="1145"/>
      <c r="V18" s="1145"/>
      <c r="W18" s="1145"/>
      <c r="X18" s="1145"/>
      <c r="Y18" s="1145"/>
      <c r="Z18" s="1145"/>
    </row>
    <row r="19" spans="1:29" ht="20.100000000000001" customHeight="1">
      <c r="A19" s="642"/>
      <c r="B19" s="1112" t="s">
        <v>3058</v>
      </c>
      <c r="C19" s="1113"/>
      <c r="D19" s="1113"/>
      <c r="E19" s="1113"/>
      <c r="F19" s="1113"/>
      <c r="G19" s="1113"/>
      <c r="H19" s="1114"/>
      <c r="I19" s="1092" t="s">
        <v>3056</v>
      </c>
      <c r="J19" s="1092"/>
      <c r="K19" s="1092"/>
      <c r="L19" s="1092"/>
      <c r="M19" s="1092"/>
      <c r="N19" s="1092"/>
      <c r="O19" s="1092"/>
      <c r="P19" s="1094" t="s">
        <v>3059</v>
      </c>
      <c r="Q19" s="1095"/>
      <c r="R19" s="1095"/>
      <c r="S19" s="1095"/>
      <c r="T19" s="1095"/>
      <c r="U19" s="1095"/>
      <c r="V19" s="1095"/>
      <c r="W19" s="1095"/>
      <c r="X19" s="1095"/>
      <c r="Y19" s="1095"/>
      <c r="Z19" s="1096"/>
    </row>
    <row r="20" spans="1:29" ht="20.100000000000001" customHeight="1">
      <c r="A20" s="755"/>
      <c r="B20" s="1112" t="s">
        <v>3060</v>
      </c>
      <c r="C20" s="1113"/>
      <c r="D20" s="1113"/>
      <c r="E20" s="1113"/>
      <c r="F20" s="1113"/>
      <c r="G20" s="1113"/>
      <c r="H20" s="1114"/>
      <c r="I20" s="1092" t="s">
        <v>3061</v>
      </c>
      <c r="J20" s="1092"/>
      <c r="K20" s="1092"/>
      <c r="L20" s="1092"/>
      <c r="M20" s="1092"/>
      <c r="N20" s="1092"/>
      <c r="O20" s="1092"/>
      <c r="P20" s="1097"/>
      <c r="Q20" s="1098"/>
      <c r="R20" s="1098"/>
      <c r="S20" s="1098"/>
      <c r="T20" s="1098"/>
      <c r="U20" s="1098"/>
      <c r="V20" s="1098"/>
      <c r="W20" s="1098"/>
      <c r="X20" s="1098"/>
      <c r="Y20" s="1098"/>
      <c r="Z20" s="1099"/>
    </row>
    <row r="21" spans="1:29" ht="20.100000000000001" customHeight="1">
      <c r="A21" s="642"/>
      <c r="B21" s="1112" t="s">
        <v>3062</v>
      </c>
      <c r="C21" s="1113"/>
      <c r="D21" s="1113"/>
      <c r="E21" s="1113"/>
      <c r="F21" s="1113"/>
      <c r="G21" s="1113"/>
      <c r="H21" s="1114"/>
      <c r="I21" s="1092" t="s">
        <v>3061</v>
      </c>
      <c r="J21" s="1092"/>
      <c r="K21" s="1092"/>
      <c r="L21" s="1092"/>
      <c r="M21" s="1092"/>
      <c r="N21" s="1092"/>
      <c r="O21" s="1092"/>
      <c r="P21" s="1097"/>
      <c r="Q21" s="1098"/>
      <c r="R21" s="1098"/>
      <c r="S21" s="1098"/>
      <c r="T21" s="1098"/>
      <c r="U21" s="1098"/>
      <c r="V21" s="1098"/>
      <c r="W21" s="1098"/>
      <c r="X21" s="1098"/>
      <c r="Y21" s="1098"/>
      <c r="Z21" s="1099"/>
    </row>
    <row r="22" spans="1:29" ht="20.100000000000001" customHeight="1">
      <c r="A22" s="755"/>
      <c r="B22" s="1112" t="s">
        <v>3063</v>
      </c>
      <c r="C22" s="1113"/>
      <c r="D22" s="1113"/>
      <c r="E22" s="1113"/>
      <c r="F22" s="1113"/>
      <c r="G22" s="1113"/>
      <c r="H22" s="1114"/>
      <c r="I22" s="1092" t="s">
        <v>3061</v>
      </c>
      <c r="J22" s="1092"/>
      <c r="K22" s="1092"/>
      <c r="L22" s="1092"/>
      <c r="M22" s="1092"/>
      <c r="N22" s="1092"/>
      <c r="O22" s="1092"/>
      <c r="P22" s="1097"/>
      <c r="Q22" s="1098"/>
      <c r="R22" s="1098"/>
      <c r="S22" s="1098"/>
      <c r="T22" s="1098"/>
      <c r="U22" s="1098"/>
      <c r="V22" s="1098"/>
      <c r="W22" s="1098"/>
      <c r="X22" s="1098"/>
      <c r="Y22" s="1098"/>
      <c r="Z22" s="1099"/>
    </row>
    <row r="23" spans="1:29" ht="20.100000000000001" customHeight="1">
      <c r="A23" s="642"/>
      <c r="B23" s="1112" t="s">
        <v>3064</v>
      </c>
      <c r="C23" s="1113"/>
      <c r="D23" s="1113"/>
      <c r="E23" s="1113"/>
      <c r="F23" s="1113"/>
      <c r="G23" s="1113"/>
      <c r="H23" s="1114"/>
      <c r="I23" s="1092" t="s">
        <v>3061</v>
      </c>
      <c r="J23" s="1092"/>
      <c r="K23" s="1092"/>
      <c r="L23" s="1092"/>
      <c r="M23" s="1092"/>
      <c r="N23" s="1092"/>
      <c r="O23" s="1092"/>
      <c r="P23" s="1097"/>
      <c r="Q23" s="1098"/>
      <c r="R23" s="1098"/>
      <c r="S23" s="1098"/>
      <c r="T23" s="1098"/>
      <c r="U23" s="1098"/>
      <c r="V23" s="1098"/>
      <c r="W23" s="1098"/>
      <c r="X23" s="1098"/>
      <c r="Y23" s="1098"/>
      <c r="Z23" s="1099"/>
    </row>
    <row r="24" spans="1:29" s="785" customFormat="1" ht="36" customHeight="1">
      <c r="A24" s="642"/>
      <c r="B24" s="1106" t="s">
        <v>3065</v>
      </c>
      <c r="C24" s="1107"/>
      <c r="D24" s="1107"/>
      <c r="E24" s="1107"/>
      <c r="F24" s="1107"/>
      <c r="G24" s="1107"/>
      <c r="H24" s="1108"/>
      <c r="I24" s="1109" t="s">
        <v>3076</v>
      </c>
      <c r="J24" s="1110"/>
      <c r="K24" s="1110"/>
      <c r="L24" s="1110"/>
      <c r="M24" s="1110"/>
      <c r="N24" s="1110"/>
      <c r="O24" s="1111"/>
      <c r="P24" s="1097"/>
      <c r="Q24" s="1098"/>
      <c r="R24" s="1098"/>
      <c r="S24" s="1098"/>
      <c r="T24" s="1098"/>
      <c r="U24" s="1098"/>
      <c r="V24" s="1098"/>
      <c r="W24" s="1098"/>
      <c r="X24" s="1098"/>
      <c r="Y24" s="1098"/>
      <c r="Z24" s="1099"/>
    </row>
    <row r="25" spans="1:29" ht="19.5" customHeight="1">
      <c r="A25" s="642"/>
      <c r="B25" s="1112" t="s">
        <v>3193</v>
      </c>
      <c r="C25" s="1113"/>
      <c r="D25" s="1113"/>
      <c r="E25" s="1113"/>
      <c r="F25" s="1113"/>
      <c r="G25" s="1113"/>
      <c r="H25" s="1114"/>
      <c r="I25" s="1092" t="s">
        <v>3061</v>
      </c>
      <c r="J25" s="1092"/>
      <c r="K25" s="1092"/>
      <c r="L25" s="1092"/>
      <c r="M25" s="1092"/>
      <c r="N25" s="1092"/>
      <c r="O25" s="1092"/>
      <c r="P25" s="1097"/>
      <c r="Q25" s="1098"/>
      <c r="R25" s="1098"/>
      <c r="S25" s="1098"/>
      <c r="T25" s="1098"/>
      <c r="U25" s="1098"/>
      <c r="V25" s="1098"/>
      <c r="W25" s="1098"/>
      <c r="X25" s="1098"/>
      <c r="Y25" s="1098"/>
      <c r="Z25" s="1099"/>
    </row>
    <row r="26" spans="1:29" s="785" customFormat="1" ht="20.100000000000001" customHeight="1">
      <c r="A26" s="784"/>
      <c r="B26" s="1103" t="s">
        <v>3194</v>
      </c>
      <c r="C26" s="1104"/>
      <c r="D26" s="1104"/>
      <c r="E26" s="1104"/>
      <c r="F26" s="1104"/>
      <c r="G26" s="1104"/>
      <c r="H26" s="1105"/>
      <c r="I26" s="1093" t="s">
        <v>3066</v>
      </c>
      <c r="J26" s="1093"/>
      <c r="K26" s="1093"/>
      <c r="L26" s="1093"/>
      <c r="M26" s="1093"/>
      <c r="N26" s="1093"/>
      <c r="O26" s="1093"/>
      <c r="P26" s="1100"/>
      <c r="Q26" s="1101"/>
      <c r="R26" s="1101"/>
      <c r="S26" s="1101"/>
      <c r="T26" s="1101"/>
      <c r="U26" s="1101"/>
      <c r="V26" s="1101"/>
      <c r="W26" s="1101"/>
      <c r="X26" s="1101"/>
      <c r="Y26" s="1101"/>
      <c r="Z26" s="1102"/>
    </row>
    <row r="27" spans="1:29" s="1090" customFormat="1" ht="20.100000000000001" customHeight="1">
      <c r="A27" s="1089"/>
      <c r="B27" s="1091" t="s">
        <v>3225</v>
      </c>
      <c r="C27" s="1091"/>
      <c r="D27" s="1091"/>
      <c r="E27" s="1091"/>
      <c r="F27" s="1091"/>
      <c r="G27" s="1091"/>
      <c r="H27" s="1091"/>
      <c r="I27" s="1092" t="s">
        <v>3061</v>
      </c>
      <c r="J27" s="1092"/>
      <c r="K27" s="1092"/>
      <c r="L27" s="1092"/>
      <c r="M27" s="1092"/>
      <c r="N27" s="1092"/>
      <c r="O27" s="1092"/>
      <c r="P27" s="1093" t="s">
        <v>3226</v>
      </c>
      <c r="Q27" s="1093"/>
      <c r="R27" s="1093"/>
      <c r="S27" s="1093"/>
      <c r="T27" s="1093"/>
      <c r="U27" s="1093"/>
      <c r="V27" s="1093"/>
      <c r="W27" s="1093"/>
      <c r="X27" s="1093"/>
      <c r="Y27" s="1093"/>
      <c r="Z27" s="1093"/>
    </row>
    <row r="28" spans="1:29" ht="20.100000000000001" customHeight="1" thickBot="1">
      <c r="A28" s="1116" t="s">
        <v>7</v>
      </c>
      <c r="B28" s="1117"/>
      <c r="C28" s="1117"/>
      <c r="D28" s="1117"/>
      <c r="E28" s="1117"/>
      <c r="F28" s="1117"/>
      <c r="G28" s="1117"/>
      <c r="H28" s="1117"/>
      <c r="I28" s="1117"/>
      <c r="J28" s="1117"/>
      <c r="K28" s="1117"/>
      <c r="L28" s="1117"/>
      <c r="M28" s="1117"/>
      <c r="N28" s="1117"/>
      <c r="O28" s="1117"/>
      <c r="P28" s="1117"/>
      <c r="Q28" s="1117"/>
      <c r="R28" s="1117"/>
      <c r="S28" s="1117"/>
      <c r="T28" s="1117"/>
      <c r="U28" s="1117"/>
      <c r="V28" s="1117"/>
      <c r="W28" s="1117"/>
      <c r="X28" s="1117"/>
      <c r="Y28" s="1117"/>
      <c r="Z28" s="1117"/>
    </row>
    <row r="29" spans="1:29" ht="20.100000000000001" customHeight="1" thickBot="1">
      <c r="A29" s="755"/>
      <c r="B29" s="1135"/>
      <c r="C29" s="1135"/>
      <c r="D29" s="1137" t="s">
        <v>1</v>
      </c>
      <c r="E29" s="1138"/>
      <c r="F29" s="1131" t="s">
        <v>3077</v>
      </c>
      <c r="G29" s="1132"/>
      <c r="H29" s="1132"/>
      <c r="I29" s="1132"/>
      <c r="J29" s="1132"/>
      <c r="K29" s="1132"/>
      <c r="L29" s="1132"/>
      <c r="M29" s="1132"/>
      <c r="N29" s="1132"/>
      <c r="O29" s="1132"/>
      <c r="P29" s="1132"/>
      <c r="Q29" s="1132"/>
      <c r="R29" s="1132"/>
      <c r="S29" s="1132"/>
      <c r="T29" s="1132"/>
      <c r="U29" s="1132"/>
      <c r="V29" s="1132"/>
      <c r="W29" s="1132"/>
      <c r="X29" s="1132"/>
      <c r="Y29" s="1132"/>
      <c r="Z29" s="1133"/>
    </row>
    <row r="30" spans="1:29" ht="20.100000000000001" customHeight="1">
      <c r="A30" s="755"/>
      <c r="B30" s="1136"/>
      <c r="C30" s="1136"/>
      <c r="D30" s="1119" t="s">
        <v>0</v>
      </c>
      <c r="E30" s="1121"/>
      <c r="F30" s="1128" t="s">
        <v>8</v>
      </c>
      <c r="G30" s="1129"/>
      <c r="H30" s="1129"/>
      <c r="I30" s="1129"/>
      <c r="J30" s="1129"/>
      <c r="K30" s="1129"/>
      <c r="L30" s="1129"/>
      <c r="M30" s="1129"/>
      <c r="N30" s="1129"/>
      <c r="O30" s="1129"/>
      <c r="P30" s="1129"/>
      <c r="Q30" s="1129"/>
      <c r="R30" s="1129"/>
      <c r="S30" s="1129"/>
      <c r="T30" s="1129"/>
      <c r="U30" s="1129"/>
      <c r="V30" s="1129"/>
      <c r="W30" s="1129"/>
      <c r="X30" s="1129"/>
      <c r="Y30" s="1129"/>
      <c r="Z30" s="1130"/>
    </row>
    <row r="31" spans="1:29" ht="20.100000000000001" customHeight="1">
      <c r="A31" s="1139"/>
      <c r="B31" s="1139"/>
      <c r="C31" s="1139"/>
      <c r="D31" s="1139"/>
      <c r="E31" s="1139"/>
      <c r="F31" s="1139"/>
      <c r="G31" s="1139"/>
      <c r="H31" s="1139"/>
      <c r="I31" s="1139"/>
      <c r="J31" s="1139"/>
      <c r="K31" s="1139"/>
      <c r="L31" s="1139"/>
      <c r="M31" s="1139"/>
      <c r="N31" s="1139"/>
      <c r="O31" s="1139"/>
      <c r="P31" s="1139"/>
      <c r="Q31" s="1139"/>
      <c r="R31" s="1139"/>
      <c r="S31" s="1139"/>
      <c r="T31" s="1139"/>
      <c r="U31" s="1139"/>
      <c r="V31" s="1139"/>
      <c r="W31" s="1139"/>
      <c r="X31" s="1139"/>
      <c r="Y31" s="1139"/>
      <c r="Z31" s="1139"/>
    </row>
    <row r="32" spans="1:29" ht="20.100000000000001" customHeight="1">
      <c r="A32" s="1140"/>
      <c r="B32" s="1140"/>
      <c r="C32" s="1140"/>
      <c r="D32" s="1140"/>
      <c r="E32" s="1140"/>
      <c r="F32" s="1140"/>
      <c r="G32" s="1140"/>
      <c r="H32" s="1140"/>
      <c r="I32" s="1140"/>
      <c r="J32" s="1140"/>
      <c r="K32" s="1140"/>
      <c r="L32" s="1140"/>
      <c r="M32" s="1140"/>
      <c r="N32" s="1140"/>
      <c r="O32" s="1140"/>
      <c r="P32" s="1140"/>
      <c r="Q32" s="1140"/>
      <c r="R32" s="1140"/>
      <c r="S32" s="1140"/>
      <c r="T32" s="1140"/>
      <c r="U32" s="1140"/>
      <c r="V32" s="1140"/>
      <c r="W32" s="1140"/>
      <c r="X32" s="1140"/>
      <c r="Y32" s="1140"/>
      <c r="Z32" s="1140"/>
    </row>
    <row r="33" spans="1:26" ht="20.100000000000001" customHeight="1">
      <c r="A33" s="1127"/>
      <c r="B33" s="1127"/>
      <c r="C33" s="1127"/>
      <c r="D33" s="1127"/>
      <c r="E33" s="1127"/>
      <c r="F33" s="1127"/>
      <c r="G33" s="1127"/>
      <c r="H33" s="1127"/>
      <c r="I33" s="1127"/>
      <c r="J33" s="1127"/>
      <c r="K33" s="1127"/>
      <c r="L33" s="1127"/>
      <c r="M33" s="1127"/>
      <c r="N33" s="1127"/>
      <c r="O33" s="1127"/>
      <c r="P33" s="1127"/>
      <c r="Q33" s="1127"/>
      <c r="R33" s="1127"/>
      <c r="S33" s="1127"/>
      <c r="T33" s="1127"/>
      <c r="U33" s="1127"/>
      <c r="V33" s="1127"/>
      <c r="W33" s="1127"/>
      <c r="X33" s="1127"/>
      <c r="Y33" s="1127"/>
      <c r="Z33" s="1127"/>
    </row>
    <row r="34" spans="1:26" ht="20.100000000000001" customHeight="1">
      <c r="A34" s="1127"/>
      <c r="B34" s="1127"/>
      <c r="C34" s="1127"/>
      <c r="D34" s="1127"/>
      <c r="E34" s="1127"/>
      <c r="F34" s="1127"/>
      <c r="G34" s="1127"/>
      <c r="H34" s="1127"/>
      <c r="I34" s="1127"/>
      <c r="J34" s="1127"/>
      <c r="K34" s="1127"/>
      <c r="L34" s="1127"/>
      <c r="M34" s="1127"/>
      <c r="N34" s="1127"/>
      <c r="O34" s="1127"/>
      <c r="P34" s="1127"/>
      <c r="Q34" s="1127"/>
      <c r="R34" s="1127"/>
      <c r="S34" s="1127"/>
      <c r="T34" s="1127"/>
      <c r="U34" s="1127"/>
      <c r="V34" s="1127"/>
      <c r="W34" s="1127"/>
      <c r="X34" s="1127"/>
      <c r="Y34" s="1127"/>
      <c r="Z34" s="1127"/>
    </row>
    <row r="35" spans="1:26" ht="20.100000000000001" customHeight="1">
      <c r="A35" s="1127"/>
      <c r="B35" s="1127"/>
      <c r="C35" s="1127"/>
      <c r="D35" s="1127"/>
      <c r="E35" s="1127"/>
      <c r="F35" s="1127"/>
      <c r="G35" s="1127"/>
      <c r="H35" s="1127"/>
      <c r="I35" s="1127"/>
      <c r="J35" s="1127"/>
      <c r="K35" s="1127"/>
      <c r="L35" s="1127"/>
      <c r="M35" s="1127"/>
      <c r="N35" s="1127"/>
      <c r="O35" s="1127"/>
      <c r="P35" s="1127"/>
      <c r="Q35" s="1127"/>
      <c r="R35" s="1127"/>
      <c r="S35" s="1127"/>
      <c r="T35" s="1127"/>
      <c r="U35" s="1127"/>
      <c r="V35" s="1127"/>
      <c r="W35" s="1127"/>
      <c r="X35" s="1127"/>
      <c r="Y35" s="1127"/>
      <c r="Z35" s="1127"/>
    </row>
    <row r="36" spans="1:26" ht="20.100000000000001" customHeight="1">
      <c r="A36" s="1127"/>
      <c r="B36" s="1127"/>
      <c r="C36" s="1127"/>
      <c r="D36" s="1127"/>
      <c r="E36" s="1127"/>
      <c r="F36" s="1127"/>
      <c r="G36" s="1127"/>
      <c r="H36" s="1127"/>
      <c r="I36" s="1127"/>
      <c r="J36" s="1127"/>
      <c r="K36" s="1127"/>
      <c r="L36" s="1127"/>
      <c r="M36" s="1127"/>
      <c r="N36" s="1127"/>
      <c r="O36" s="1127"/>
      <c r="P36" s="1127"/>
      <c r="Q36" s="1127"/>
      <c r="R36" s="1127"/>
      <c r="S36" s="1127"/>
      <c r="T36" s="1127"/>
      <c r="U36" s="1127"/>
      <c r="V36" s="1127"/>
      <c r="W36" s="1127"/>
      <c r="X36" s="1127"/>
      <c r="Y36" s="1127"/>
      <c r="Z36" s="1127"/>
    </row>
    <row r="37" spans="1:26" ht="20.100000000000001" customHeight="1">
      <c r="A37" s="1134"/>
      <c r="B37" s="1134"/>
      <c r="C37" s="1134"/>
      <c r="D37" s="1134"/>
      <c r="E37" s="1134"/>
      <c r="F37" s="1134"/>
      <c r="G37" s="1134"/>
      <c r="H37" s="1134"/>
      <c r="I37" s="1134"/>
      <c r="J37" s="1134"/>
      <c r="K37" s="1134"/>
      <c r="L37" s="1134"/>
      <c r="M37" s="1134"/>
      <c r="N37" s="1134"/>
      <c r="O37" s="1134"/>
      <c r="P37" s="1134"/>
      <c r="Q37" s="1134"/>
      <c r="R37" s="1134"/>
      <c r="S37" s="1134"/>
      <c r="T37" s="1134"/>
      <c r="U37" s="1134"/>
      <c r="V37" s="1134"/>
      <c r="W37" s="1134"/>
      <c r="X37" s="1134"/>
      <c r="Y37" s="1134"/>
      <c r="Z37" s="1134"/>
    </row>
    <row r="38" spans="1:26" ht="20.100000000000001" customHeight="1">
      <c r="A38" s="1134"/>
      <c r="B38" s="1134"/>
      <c r="C38" s="1134"/>
      <c r="D38" s="1134"/>
      <c r="E38" s="1134"/>
      <c r="F38" s="1134"/>
      <c r="G38" s="1134"/>
      <c r="H38" s="1134"/>
      <c r="I38" s="1134"/>
      <c r="J38" s="1134"/>
      <c r="K38" s="1134"/>
      <c r="L38" s="1134"/>
      <c r="M38" s="1134"/>
      <c r="N38" s="1134"/>
      <c r="O38" s="1134"/>
      <c r="P38" s="1134"/>
      <c r="Q38" s="1134"/>
      <c r="R38" s="1134"/>
      <c r="S38" s="1134"/>
      <c r="T38" s="1134"/>
      <c r="U38" s="1134"/>
      <c r="V38" s="1134"/>
      <c r="W38" s="1134"/>
      <c r="X38" s="1134"/>
      <c r="Y38" s="1134"/>
      <c r="Z38" s="1134"/>
    </row>
  </sheetData>
  <sheetProtection algorithmName="SHA-512" hashValue="qajt6KaxZY71FacDYSh/Fr/NC00dKd7QKv/uWXrEAzRFnms9QrdDxLawwPcM7IxyUgYx5Bf1X1AZhhL+JXrkDg==" saltValue="6obqc29oPt8UN2nscGLysw==" spinCount="100000" sheet="1" selectLockedCells="1" selectUnlockedCells="1"/>
  <mergeCells count="59">
    <mergeCell ref="B16:H16"/>
    <mergeCell ref="A38:Z38"/>
    <mergeCell ref="A28:Z28"/>
    <mergeCell ref="B29:C29"/>
    <mergeCell ref="B30:C30"/>
    <mergeCell ref="D29:E29"/>
    <mergeCell ref="A31:Z31"/>
    <mergeCell ref="A36:Z36"/>
    <mergeCell ref="A34:Z34"/>
    <mergeCell ref="A37:Z37"/>
    <mergeCell ref="A32:Z32"/>
    <mergeCell ref="I15:O15"/>
    <mergeCell ref="A33:Z33"/>
    <mergeCell ref="A35:Z35"/>
    <mergeCell ref="F30:Z30"/>
    <mergeCell ref="D30:E30"/>
    <mergeCell ref="F29:Z29"/>
    <mergeCell ref="B15:H15"/>
    <mergeCell ref="I19:O19"/>
    <mergeCell ref="B18:H18"/>
    <mergeCell ref="I18:O18"/>
    <mergeCell ref="B20:H20"/>
    <mergeCell ref="B21:H21"/>
    <mergeCell ref="P16:Z18"/>
    <mergeCell ref="I16:O16"/>
    <mergeCell ref="I17:O17"/>
    <mergeCell ref="B17:H17"/>
    <mergeCell ref="B25:H25"/>
    <mergeCell ref="A2:Z2"/>
    <mergeCell ref="A6:Z6"/>
    <mergeCell ref="A5:Z5"/>
    <mergeCell ref="P15:Z15"/>
    <mergeCell ref="A7:Z7"/>
    <mergeCell ref="A8:Z8"/>
    <mergeCell ref="I4:R4"/>
    <mergeCell ref="A4:H4"/>
    <mergeCell ref="A9:E9"/>
    <mergeCell ref="F9:H9"/>
    <mergeCell ref="A10:Z11"/>
    <mergeCell ref="A13:Z13"/>
    <mergeCell ref="A14:Z14"/>
    <mergeCell ref="S4:Z4"/>
    <mergeCell ref="A12:Z12"/>
    <mergeCell ref="B27:H27"/>
    <mergeCell ref="I27:O27"/>
    <mergeCell ref="P27:Z27"/>
    <mergeCell ref="P19:Z26"/>
    <mergeCell ref="B26:H26"/>
    <mergeCell ref="I26:O26"/>
    <mergeCell ref="B24:H24"/>
    <mergeCell ref="I24:O24"/>
    <mergeCell ref="I20:O20"/>
    <mergeCell ref="I21:O21"/>
    <mergeCell ref="I22:O22"/>
    <mergeCell ref="I23:O23"/>
    <mergeCell ref="B22:H22"/>
    <mergeCell ref="B23:H23"/>
    <mergeCell ref="I25:O25"/>
    <mergeCell ref="B19:H19"/>
  </mergeCells>
  <phoneticPr fontId="5"/>
  <hyperlinks>
    <hyperlink ref="F29" r:id="rId1" xr:uid="{14039BB1-B5FB-4E30-AFB6-AB6AAC750BDC}"/>
  </hyperlinks>
  <printOptions horizontalCentered="1"/>
  <pageMargins left="0.39370078740157483" right="0.39370078740157483" top="0.39370078740157483" bottom="0.59055118110236227" header="0" footer="0"/>
  <pageSetup paperSize="9" scale="9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FF00"/>
  </sheetPr>
  <dimension ref="A1:BH127"/>
  <sheetViews>
    <sheetView showZeros="0" view="pageBreakPreview" zoomScale="80" zoomScaleNormal="78" zoomScaleSheetLayoutView="80" workbookViewId="0">
      <selection activeCell="R4" sqref="R4:T4"/>
    </sheetView>
  </sheetViews>
  <sheetFormatPr defaultRowHeight="13.5"/>
  <cols>
    <col min="1" max="21" width="3.625" style="41" customWidth="1"/>
    <col min="22" max="22" width="5.625" style="41" customWidth="1"/>
    <col min="23" max="23" width="3.625" style="41" customWidth="1"/>
    <col min="24" max="24" width="5.625" style="41" customWidth="1"/>
    <col min="25" max="52" width="3.625" style="41" customWidth="1"/>
    <col min="53" max="16384" width="9" style="41"/>
  </cols>
  <sheetData>
    <row r="1" spans="1:60" ht="14.25" customHeight="1">
      <c r="A1" s="2650"/>
      <c r="B1" s="2649"/>
      <c r="C1" s="2649"/>
      <c r="D1" s="2649"/>
      <c r="E1" s="2649"/>
      <c r="F1" s="2649"/>
      <c r="G1" s="2649"/>
      <c r="H1" s="2649"/>
      <c r="I1" s="2649"/>
      <c r="J1" s="2649"/>
      <c r="K1" s="2649"/>
      <c r="L1" s="2649"/>
      <c r="M1" s="2649"/>
      <c r="N1" s="2649"/>
      <c r="O1" s="2649"/>
      <c r="P1" s="2649"/>
      <c r="Q1" s="2649"/>
      <c r="R1" s="2649"/>
      <c r="S1" s="2649"/>
      <c r="T1" s="2649"/>
      <c r="U1" s="2649"/>
      <c r="V1" s="2649"/>
      <c r="W1" s="2649"/>
      <c r="X1" s="2649"/>
      <c r="Y1" s="2649"/>
      <c r="Z1" s="2651"/>
      <c r="AA1" s="2680"/>
      <c r="AB1" s="2681"/>
      <c r="AC1" s="2681"/>
      <c r="AD1" s="2681"/>
      <c r="AE1" s="2681"/>
      <c r="AF1" s="2681"/>
      <c r="AG1" s="2681"/>
      <c r="AH1" s="2681"/>
      <c r="AI1" s="2681"/>
      <c r="AJ1" s="2681"/>
      <c r="AK1" s="2681"/>
      <c r="AL1" s="2681"/>
      <c r="AM1" s="2681"/>
      <c r="AN1" s="2681"/>
      <c r="AO1" s="2681"/>
      <c r="AP1" s="2681"/>
      <c r="AQ1" s="2681"/>
      <c r="AR1" s="2681"/>
      <c r="AS1" s="2681"/>
      <c r="AT1" s="2681"/>
      <c r="AU1" s="2681"/>
      <c r="AV1" s="2681"/>
      <c r="AW1" s="2681"/>
      <c r="AX1" s="2681"/>
      <c r="AY1" s="2681"/>
      <c r="AZ1" s="2682"/>
      <c r="BD1" s="44"/>
      <c r="BE1" s="44"/>
      <c r="BF1" s="44"/>
      <c r="BG1" s="44"/>
      <c r="BH1" s="44"/>
    </row>
    <row r="2" spans="1:60" ht="23.25">
      <c r="A2" s="2683" t="s">
        <v>255</v>
      </c>
      <c r="B2" s="2684"/>
      <c r="C2" s="2684"/>
      <c r="D2" s="2684"/>
      <c r="E2" s="2684"/>
      <c r="F2" s="2684"/>
      <c r="G2" s="2684"/>
      <c r="H2" s="2684"/>
      <c r="I2" s="2684"/>
      <c r="J2" s="2684"/>
      <c r="K2" s="2684"/>
      <c r="L2" s="2684"/>
      <c r="M2" s="2684"/>
      <c r="N2" s="2684"/>
      <c r="O2" s="2684"/>
      <c r="P2" s="2684"/>
      <c r="Q2" s="2684"/>
      <c r="R2" s="2684"/>
      <c r="S2" s="2684"/>
      <c r="T2" s="2684"/>
      <c r="U2" s="2684"/>
      <c r="V2" s="2684"/>
      <c r="W2" s="2684"/>
      <c r="X2" s="2684"/>
      <c r="Y2" s="2684"/>
      <c r="Z2" s="2685"/>
      <c r="AA2" s="2683" t="s">
        <v>255</v>
      </c>
      <c r="AB2" s="2684"/>
      <c r="AC2" s="2684"/>
      <c r="AD2" s="2684"/>
      <c r="AE2" s="2684"/>
      <c r="AF2" s="2684"/>
      <c r="AG2" s="2684"/>
      <c r="AH2" s="2684"/>
      <c r="AI2" s="2684"/>
      <c r="AJ2" s="2684"/>
      <c r="AK2" s="2684"/>
      <c r="AL2" s="2684"/>
      <c r="AM2" s="2684"/>
      <c r="AN2" s="2684"/>
      <c r="AO2" s="2684"/>
      <c r="AP2" s="2684"/>
      <c r="AQ2" s="2684"/>
      <c r="AR2" s="2684"/>
      <c r="AS2" s="2684"/>
      <c r="AT2" s="2684"/>
      <c r="AU2" s="2684"/>
      <c r="AV2" s="2684"/>
      <c r="AW2" s="2684"/>
      <c r="AX2" s="2684"/>
      <c r="AY2" s="2684"/>
      <c r="AZ2" s="2685"/>
      <c r="BB2" s="63" t="s">
        <v>2963</v>
      </c>
      <c r="BC2" s="63">
        <v>1</v>
      </c>
      <c r="BD2" s="192"/>
      <c r="BE2" s="2679" t="s">
        <v>1892</v>
      </c>
      <c r="BF2" s="2679"/>
      <c r="BG2" s="192"/>
      <c r="BH2" s="44"/>
    </row>
    <row r="3" spans="1:60" ht="14.25" customHeight="1">
      <c r="A3" s="2652"/>
      <c r="B3" s="2648"/>
      <c r="C3" s="2648"/>
      <c r="D3" s="2648"/>
      <c r="E3" s="2648"/>
      <c r="F3" s="2648"/>
      <c r="G3" s="2648"/>
      <c r="H3" s="2648"/>
      <c r="I3" s="2648"/>
      <c r="J3" s="2648"/>
      <c r="K3" s="2648"/>
      <c r="L3" s="2648"/>
      <c r="M3" s="2648"/>
      <c r="N3" s="2648"/>
      <c r="O3" s="2648"/>
      <c r="P3" s="2648"/>
      <c r="Q3" s="2648"/>
      <c r="R3" s="2648"/>
      <c r="S3" s="2648"/>
      <c r="T3" s="2648"/>
      <c r="U3" s="2648"/>
      <c r="V3" s="2648"/>
      <c r="W3" s="2648"/>
      <c r="X3" s="2648"/>
      <c r="Y3" s="2648"/>
      <c r="Z3" s="2653"/>
      <c r="AA3" s="2652"/>
      <c r="AB3" s="2648"/>
      <c r="AC3" s="2648"/>
      <c r="AD3" s="2648"/>
      <c r="AE3" s="2648"/>
      <c r="AF3" s="2648"/>
      <c r="AG3" s="2648"/>
      <c r="AH3" s="2648"/>
      <c r="AI3" s="2648"/>
      <c r="AJ3" s="2648"/>
      <c r="AK3" s="2648"/>
      <c r="AL3" s="2648"/>
      <c r="AM3" s="2648"/>
      <c r="AN3" s="2648"/>
      <c r="AO3" s="2648"/>
      <c r="AP3" s="2648"/>
      <c r="AQ3" s="2648"/>
      <c r="AR3" s="2648"/>
      <c r="AS3" s="2648"/>
      <c r="AT3" s="2648"/>
      <c r="AU3" s="2648"/>
      <c r="AV3" s="2648"/>
      <c r="AW3" s="2648"/>
      <c r="AX3" s="2648"/>
      <c r="AY3" s="2648"/>
      <c r="AZ3" s="2653"/>
      <c r="BB3" s="63" t="s">
        <v>2992</v>
      </c>
      <c r="BC3" s="63">
        <v>2</v>
      </c>
      <c r="BD3" s="192"/>
      <c r="BE3" s="875" t="s">
        <v>1886</v>
      </c>
      <c r="BF3" s="876" t="str">
        <f>IF(COUNTIF(L39:P50,"*準*"),"●","")</f>
        <v/>
      </c>
      <c r="BG3" s="192"/>
      <c r="BH3" s="44"/>
    </row>
    <row r="4" spans="1:60" ht="28.5" customHeight="1">
      <c r="A4" s="511"/>
      <c r="B4" s="512"/>
      <c r="C4" s="512"/>
      <c r="D4" s="512"/>
      <c r="E4" s="512"/>
      <c r="F4" s="512"/>
      <c r="G4" s="512"/>
      <c r="H4" s="512"/>
      <c r="I4" s="512"/>
      <c r="J4" s="512"/>
      <c r="K4" s="512"/>
      <c r="L4" s="512"/>
      <c r="M4" s="512"/>
      <c r="N4" s="512"/>
      <c r="O4" s="512"/>
      <c r="P4" s="512"/>
      <c r="Q4" s="512"/>
      <c r="R4" s="2688"/>
      <c r="S4" s="2688"/>
      <c r="T4" s="2688"/>
      <c r="U4" s="513" t="s">
        <v>16</v>
      </c>
      <c r="V4" s="754"/>
      <c r="W4" s="513" t="s">
        <v>15</v>
      </c>
      <c r="X4" s="754"/>
      <c r="Y4" s="513" t="s">
        <v>159</v>
      </c>
      <c r="Z4" s="514"/>
      <c r="AA4" s="2686" t="s">
        <v>3091</v>
      </c>
      <c r="AB4" s="2687"/>
      <c r="AC4" s="2687"/>
      <c r="AD4" s="2687"/>
      <c r="AE4" s="2687"/>
      <c r="AF4" s="2687"/>
      <c r="AG4" s="2687"/>
      <c r="AH4" s="2687"/>
      <c r="AI4" s="2687"/>
      <c r="AJ4" s="2687"/>
      <c r="AK4" s="2687"/>
      <c r="AL4" s="2687"/>
      <c r="AM4" s="2687"/>
      <c r="AN4" s="2687"/>
      <c r="AO4" s="2687"/>
      <c r="AP4" s="2687"/>
      <c r="AQ4" s="2687"/>
      <c r="AR4" s="2687"/>
      <c r="AS4" s="2687"/>
      <c r="AT4" s="2687"/>
      <c r="AU4" s="546" t="s">
        <v>16</v>
      </c>
      <c r="AV4" s="590">
        <v>9</v>
      </c>
      <c r="AW4" s="546" t="s">
        <v>15</v>
      </c>
      <c r="AX4" s="590">
        <v>8</v>
      </c>
      <c r="AY4" s="546" t="s">
        <v>159</v>
      </c>
      <c r="AZ4" s="548"/>
      <c r="BB4" s="63"/>
      <c r="BC4" s="63">
        <v>3</v>
      </c>
      <c r="BD4" s="192"/>
      <c r="BE4" s="875" t="s">
        <v>1887</v>
      </c>
      <c r="BF4" s="876" t="str">
        <f>IF(COUNTIF(L39:P50,"*特*"),"●","")</f>
        <v/>
      </c>
      <c r="BG4" s="192"/>
      <c r="BH4" s="44"/>
    </row>
    <row r="5" spans="1:60" ht="14.25" customHeight="1">
      <c r="A5" s="2652"/>
      <c r="B5" s="2648"/>
      <c r="C5" s="2648"/>
      <c r="D5" s="2648"/>
      <c r="E5" s="2648"/>
      <c r="F5" s="2648"/>
      <c r="G5" s="2648"/>
      <c r="H5" s="2648"/>
      <c r="I5" s="2648"/>
      <c r="J5" s="2648"/>
      <c r="K5" s="2648"/>
      <c r="L5" s="2648"/>
      <c r="M5" s="2648"/>
      <c r="N5" s="2648"/>
      <c r="O5" s="2648"/>
      <c r="P5" s="2648"/>
      <c r="Q5" s="2648"/>
      <c r="R5" s="2648"/>
      <c r="S5" s="2648"/>
      <c r="T5" s="2648"/>
      <c r="U5" s="2648"/>
      <c r="V5" s="2648"/>
      <c r="W5" s="2648"/>
      <c r="X5" s="2648"/>
      <c r="Y5" s="2648"/>
      <c r="Z5" s="2653"/>
      <c r="AA5" s="2652"/>
      <c r="AB5" s="2648"/>
      <c r="AC5" s="2648"/>
      <c r="AD5" s="2648"/>
      <c r="AE5" s="2648"/>
      <c r="AF5" s="2648"/>
      <c r="AG5" s="2648"/>
      <c r="AH5" s="2648"/>
      <c r="AI5" s="2648"/>
      <c r="AJ5" s="2648"/>
      <c r="AK5" s="2648"/>
      <c r="AL5" s="2648"/>
      <c r="AM5" s="2648"/>
      <c r="AN5" s="2648"/>
      <c r="AO5" s="2648"/>
      <c r="AP5" s="2648"/>
      <c r="AQ5" s="2648"/>
      <c r="AR5" s="2648"/>
      <c r="AS5" s="2648"/>
      <c r="AT5" s="2648"/>
      <c r="AU5" s="2648"/>
      <c r="AV5" s="2648"/>
      <c r="AW5" s="2648"/>
      <c r="AX5" s="2648"/>
      <c r="AY5" s="2648"/>
      <c r="AZ5" s="2653"/>
      <c r="BB5" s="63"/>
      <c r="BC5" s="63">
        <v>4</v>
      </c>
      <c r="BD5" s="192"/>
      <c r="BE5" s="875" t="s">
        <v>1888</v>
      </c>
      <c r="BF5" s="876" t="str">
        <f>IF(COUNTIF(L39:P50,"*身*"),"●","")</f>
        <v/>
      </c>
      <c r="BG5" s="192"/>
      <c r="BH5" s="44"/>
    </row>
    <row r="6" spans="1:60" ht="14.25" customHeight="1">
      <c r="A6" s="2638" t="s">
        <v>257</v>
      </c>
      <c r="B6" s="2639"/>
      <c r="C6" s="2639"/>
      <c r="D6" s="2639"/>
      <c r="E6" s="2639"/>
      <c r="F6" s="2639"/>
      <c r="G6" s="2639"/>
      <c r="H6" s="2639"/>
      <c r="I6" s="2639"/>
      <c r="J6" s="2639"/>
      <c r="K6" s="2639"/>
      <c r="L6" s="2639"/>
      <c r="M6" s="2639"/>
      <c r="N6" s="2639"/>
      <c r="O6" s="2639"/>
      <c r="P6" s="2639"/>
      <c r="Q6" s="2639"/>
      <c r="R6" s="2639"/>
      <c r="S6" s="2639"/>
      <c r="T6" s="2639"/>
      <c r="U6" s="2639"/>
      <c r="V6" s="2639"/>
      <c r="W6" s="2639"/>
      <c r="X6" s="2639"/>
      <c r="Y6" s="2639"/>
      <c r="Z6" s="2669"/>
      <c r="AA6" s="2638" t="s">
        <v>257</v>
      </c>
      <c r="AB6" s="2639"/>
      <c r="AC6" s="2639"/>
      <c r="AD6" s="2639"/>
      <c r="AE6" s="2639"/>
      <c r="AF6" s="2639"/>
      <c r="AG6" s="2639"/>
      <c r="AH6" s="2639"/>
      <c r="AI6" s="2639"/>
      <c r="AJ6" s="2639"/>
      <c r="AK6" s="2639"/>
      <c r="AL6" s="2639"/>
      <c r="AM6" s="2639"/>
      <c r="AN6" s="2639"/>
      <c r="AO6" s="2639"/>
      <c r="AP6" s="2639"/>
      <c r="AQ6" s="2639"/>
      <c r="AR6" s="2639"/>
      <c r="AS6" s="2639"/>
      <c r="AT6" s="2639"/>
      <c r="AU6" s="2639"/>
      <c r="AV6" s="2639"/>
      <c r="AW6" s="2639"/>
      <c r="AX6" s="2639"/>
      <c r="AY6" s="2639"/>
      <c r="AZ6" s="2669"/>
      <c r="BB6" s="63"/>
      <c r="BC6" s="63">
        <v>5</v>
      </c>
      <c r="BD6" s="192"/>
      <c r="BE6" s="875" t="s">
        <v>1889</v>
      </c>
      <c r="BF6" s="876" t="str">
        <f>IF(COUNTIF(L39:P50,"*療*"),"●","")</f>
        <v/>
      </c>
      <c r="BG6" s="192"/>
      <c r="BH6" s="44"/>
    </row>
    <row r="7" spans="1:60" ht="14.25" customHeight="1">
      <c r="A7" s="2638" t="s">
        <v>258</v>
      </c>
      <c r="B7" s="2639"/>
      <c r="C7" s="2639"/>
      <c r="D7" s="2639"/>
      <c r="E7" s="2639"/>
      <c r="F7" s="2639"/>
      <c r="G7" s="2639"/>
      <c r="H7" s="2639"/>
      <c r="I7" s="2639"/>
      <c r="J7" s="2639"/>
      <c r="K7" s="2639"/>
      <c r="L7" s="2639"/>
      <c r="M7" s="2639"/>
      <c r="N7" s="2639"/>
      <c r="O7" s="2639"/>
      <c r="P7" s="2639"/>
      <c r="Q7" s="2639"/>
      <c r="R7" s="2639"/>
      <c r="S7" s="2639"/>
      <c r="T7" s="2639"/>
      <c r="U7" s="2639"/>
      <c r="V7" s="2639"/>
      <c r="W7" s="2639"/>
      <c r="X7" s="2639"/>
      <c r="Y7" s="2639"/>
      <c r="Z7" s="2669"/>
      <c r="AA7" s="2638" t="s">
        <v>258</v>
      </c>
      <c r="AB7" s="2639"/>
      <c r="AC7" s="2639"/>
      <c r="AD7" s="2639"/>
      <c r="AE7" s="2639"/>
      <c r="AF7" s="2639"/>
      <c r="AG7" s="2639"/>
      <c r="AH7" s="2639"/>
      <c r="AI7" s="2639"/>
      <c r="AJ7" s="2639"/>
      <c r="AK7" s="2639"/>
      <c r="AL7" s="2639"/>
      <c r="AM7" s="2639"/>
      <c r="AN7" s="2639"/>
      <c r="AO7" s="2639"/>
      <c r="AP7" s="2639"/>
      <c r="AQ7" s="2639"/>
      <c r="AR7" s="2639"/>
      <c r="AS7" s="2639"/>
      <c r="AT7" s="2639"/>
      <c r="AU7" s="2639"/>
      <c r="AV7" s="2639"/>
      <c r="AW7" s="2639"/>
      <c r="AX7" s="2639"/>
      <c r="AY7" s="2639"/>
      <c r="AZ7" s="2669"/>
      <c r="BB7" s="63"/>
      <c r="BC7" s="63">
        <v>6</v>
      </c>
      <c r="BD7" s="192"/>
      <c r="BE7" s="877" t="s">
        <v>1890</v>
      </c>
      <c r="BF7" s="876" t="str">
        <f>IF(COUNTIF(L39:P50,"*精*"),"●","")</f>
        <v/>
      </c>
      <c r="BG7" s="192"/>
      <c r="BH7" s="44"/>
    </row>
    <row r="8" spans="1:60" ht="14.25" customHeight="1">
      <c r="A8" s="2638" t="s">
        <v>259</v>
      </c>
      <c r="B8" s="2639"/>
      <c r="C8" s="2639"/>
      <c r="D8" s="2639"/>
      <c r="E8" s="2639"/>
      <c r="F8" s="2639"/>
      <c r="G8" s="2639"/>
      <c r="H8" s="2639"/>
      <c r="I8" s="2639"/>
      <c r="J8" s="2639"/>
      <c r="K8" s="2639"/>
      <c r="L8" s="2639"/>
      <c r="M8" s="2639"/>
      <c r="N8" s="2639"/>
      <c r="O8" s="2639"/>
      <c r="P8" s="2639"/>
      <c r="Q8" s="2639"/>
      <c r="R8" s="2639"/>
      <c r="S8" s="2639"/>
      <c r="T8" s="2639"/>
      <c r="U8" s="2639"/>
      <c r="V8" s="2639"/>
      <c r="W8" s="2639"/>
      <c r="X8" s="2639"/>
      <c r="Y8" s="2639"/>
      <c r="Z8" s="2669"/>
      <c r="AA8" s="2638" t="s">
        <v>259</v>
      </c>
      <c r="AB8" s="2639"/>
      <c r="AC8" s="2639"/>
      <c r="AD8" s="2639"/>
      <c r="AE8" s="2639"/>
      <c r="AF8" s="2639"/>
      <c r="AG8" s="2639"/>
      <c r="AH8" s="2639"/>
      <c r="AI8" s="2639"/>
      <c r="AJ8" s="2639"/>
      <c r="AK8" s="2639"/>
      <c r="AL8" s="2639"/>
      <c r="AM8" s="2639"/>
      <c r="AN8" s="2639"/>
      <c r="AO8" s="2639"/>
      <c r="AP8" s="2639"/>
      <c r="AQ8" s="2639"/>
      <c r="AR8" s="2639"/>
      <c r="AS8" s="2639"/>
      <c r="AT8" s="2639"/>
      <c r="AU8" s="2639"/>
      <c r="AV8" s="2639"/>
      <c r="AW8" s="2639"/>
      <c r="AX8" s="2639"/>
      <c r="AY8" s="2639"/>
      <c r="AZ8" s="2669"/>
      <c r="BB8" s="63"/>
      <c r="BC8" s="63">
        <v>7</v>
      </c>
      <c r="BD8" s="192"/>
      <c r="BE8" s="877" t="s">
        <v>1891</v>
      </c>
      <c r="BF8" s="876" t="str">
        <f>IF(COUNTIF(L39:P50,"*介添*"),"●","")</f>
        <v/>
      </c>
      <c r="BG8" s="192"/>
      <c r="BH8" s="44"/>
    </row>
    <row r="9" spans="1:60" ht="14.25" customHeight="1">
      <c r="A9" s="2638" t="s">
        <v>494</v>
      </c>
      <c r="B9" s="2639"/>
      <c r="C9" s="2639"/>
      <c r="D9" s="2639"/>
      <c r="E9" s="2639"/>
      <c r="F9" s="2639"/>
      <c r="G9" s="2639"/>
      <c r="H9" s="2639"/>
      <c r="I9" s="2639"/>
      <c r="J9" s="2639"/>
      <c r="K9" s="2639"/>
      <c r="L9" s="2639"/>
      <c r="M9" s="2639"/>
      <c r="N9" s="2639"/>
      <c r="O9" s="2639"/>
      <c r="P9" s="2639"/>
      <c r="Q9" s="2639"/>
      <c r="R9" s="2639"/>
      <c r="S9" s="2639"/>
      <c r="T9" s="2639"/>
      <c r="U9" s="2639"/>
      <c r="V9" s="2639"/>
      <c r="W9" s="2639"/>
      <c r="X9" s="2639"/>
      <c r="Y9" s="2639"/>
      <c r="Z9" s="2669"/>
      <c r="AA9" s="2638" t="s">
        <v>260</v>
      </c>
      <c r="AB9" s="2639"/>
      <c r="AC9" s="2639"/>
      <c r="AD9" s="2639"/>
      <c r="AE9" s="2639"/>
      <c r="AF9" s="2639"/>
      <c r="AG9" s="2639"/>
      <c r="AH9" s="2639"/>
      <c r="AI9" s="2639"/>
      <c r="AJ9" s="2639"/>
      <c r="AK9" s="2639"/>
      <c r="AL9" s="2639"/>
      <c r="AM9" s="2639"/>
      <c r="AN9" s="2639"/>
      <c r="AO9" s="2639"/>
      <c r="AP9" s="2639"/>
      <c r="AQ9" s="2639"/>
      <c r="AR9" s="2639"/>
      <c r="AS9" s="2639"/>
      <c r="AT9" s="2639"/>
      <c r="AU9" s="2639"/>
      <c r="AV9" s="2639"/>
      <c r="AW9" s="2639"/>
      <c r="AX9" s="2639"/>
      <c r="AY9" s="2639"/>
      <c r="AZ9" s="2669"/>
      <c r="BB9" s="63"/>
      <c r="BC9" s="63">
        <v>8</v>
      </c>
      <c r="BD9" s="192"/>
      <c r="BE9" s="192"/>
      <c r="BF9" s="192"/>
      <c r="BG9" s="192"/>
      <c r="BH9" s="44"/>
    </row>
    <row r="10" spans="1:60" ht="14.25" customHeight="1">
      <c r="A10" s="2638"/>
      <c r="B10" s="2639"/>
      <c r="C10" s="2639"/>
      <c r="D10" s="2639"/>
      <c r="E10" s="2639"/>
      <c r="F10" s="2639"/>
      <c r="G10" s="2639"/>
      <c r="H10" s="2639"/>
      <c r="I10" s="2639"/>
      <c r="J10" s="2639"/>
      <c r="K10" s="2639"/>
      <c r="L10" s="2639"/>
      <c r="M10" s="2639"/>
      <c r="N10" s="2639"/>
      <c r="O10" s="2639"/>
      <c r="P10" s="2639"/>
      <c r="Q10" s="2639"/>
      <c r="R10" s="2639"/>
      <c r="S10" s="2639"/>
      <c r="T10" s="2639"/>
      <c r="U10" s="2639"/>
      <c r="V10" s="2639"/>
      <c r="W10" s="2639"/>
      <c r="X10" s="2639"/>
      <c r="Y10" s="2639"/>
      <c r="Z10" s="2669"/>
      <c r="AA10" s="2638"/>
      <c r="AB10" s="2639"/>
      <c r="AC10" s="2639"/>
      <c r="AD10" s="2639"/>
      <c r="AE10" s="2639"/>
      <c r="AF10" s="2639"/>
      <c r="AG10" s="2639"/>
      <c r="AH10" s="2639"/>
      <c r="AI10" s="2639"/>
      <c r="AJ10" s="2639"/>
      <c r="AK10" s="2639"/>
      <c r="AL10" s="2639"/>
      <c r="AM10" s="2639"/>
      <c r="AN10" s="2639"/>
      <c r="AO10" s="2639"/>
      <c r="AP10" s="2639"/>
      <c r="AQ10" s="2639"/>
      <c r="AR10" s="2639"/>
      <c r="AS10" s="2639"/>
      <c r="AT10" s="2639"/>
      <c r="AU10" s="2639"/>
      <c r="AV10" s="2639"/>
      <c r="AW10" s="2639"/>
      <c r="AX10" s="2639"/>
      <c r="AY10" s="2639"/>
      <c r="AZ10" s="2669"/>
      <c r="BB10" s="63"/>
      <c r="BC10" s="63">
        <v>9</v>
      </c>
      <c r="BD10" s="192"/>
      <c r="BE10" s="192"/>
      <c r="BF10" s="192"/>
      <c r="BG10" s="192"/>
      <c r="BH10" s="44"/>
    </row>
    <row r="11" spans="1:60" ht="28.5" customHeight="1">
      <c r="A11" s="511"/>
      <c r="B11" s="512"/>
      <c r="C11" s="512"/>
      <c r="D11" s="512"/>
      <c r="E11" s="512"/>
      <c r="F11" s="345"/>
      <c r="G11" s="345"/>
      <c r="H11" s="345"/>
      <c r="I11" s="345"/>
      <c r="J11" s="345"/>
      <c r="K11" s="2648" t="s">
        <v>160</v>
      </c>
      <c r="L11" s="2648"/>
      <c r="M11" s="2648"/>
      <c r="N11" s="2674" t="str">
        <f>CONCATENATE('01 使用承認申請書'!D4)</f>
        <v/>
      </c>
      <c r="O11" s="2674"/>
      <c r="P11" s="2674"/>
      <c r="Q11" s="2674"/>
      <c r="R11" s="2674"/>
      <c r="S11" s="2674"/>
      <c r="T11" s="2674"/>
      <c r="U11" s="2674"/>
      <c r="V11" s="2674"/>
      <c r="W11" s="2674"/>
      <c r="X11" s="2674"/>
      <c r="Y11" s="2674"/>
      <c r="Z11" s="2675"/>
      <c r="AA11" s="2652"/>
      <c r="AB11" s="2648"/>
      <c r="AC11" s="2648"/>
      <c r="AD11" s="2648"/>
      <c r="AE11" s="2648"/>
      <c r="AF11" s="2648"/>
      <c r="AG11" s="2648"/>
      <c r="AH11" s="2648"/>
      <c r="AI11" s="2648"/>
      <c r="AJ11" s="2648"/>
      <c r="AK11" s="2648"/>
      <c r="AL11" s="2648"/>
      <c r="AM11" s="2648" t="s">
        <v>160</v>
      </c>
      <c r="AN11" s="2648"/>
      <c r="AO11" s="2648"/>
      <c r="AP11" s="2671" t="s">
        <v>316</v>
      </c>
      <c r="AQ11" s="2672"/>
      <c r="AR11" s="2672"/>
      <c r="AS11" s="2672"/>
      <c r="AT11" s="2672"/>
      <c r="AU11" s="2672"/>
      <c r="AV11" s="2672"/>
      <c r="AW11" s="2672"/>
      <c r="AX11" s="2672"/>
      <c r="AY11" s="2672"/>
      <c r="AZ11" s="2673"/>
      <c r="BB11" s="63"/>
      <c r="BC11" s="63">
        <v>10</v>
      </c>
      <c r="BD11" s="192"/>
      <c r="BE11" s="192"/>
      <c r="BF11" s="192"/>
      <c r="BG11" s="192"/>
      <c r="BH11" s="44"/>
    </row>
    <row r="12" spans="1:60" ht="28.5" customHeight="1">
      <c r="A12" s="511"/>
      <c r="B12" s="512"/>
      <c r="C12" s="512"/>
      <c r="D12" s="512"/>
      <c r="E12" s="512"/>
      <c r="F12" s="345"/>
      <c r="G12" s="345"/>
      <c r="H12" s="345"/>
      <c r="I12" s="345"/>
      <c r="J12" s="345"/>
      <c r="K12" s="2648" t="s">
        <v>3004</v>
      </c>
      <c r="L12" s="2648"/>
      <c r="M12" s="2648"/>
      <c r="N12" s="2674" t="str">
        <f>CONCATENATE('01 使用承認申請書'!S6)</f>
        <v/>
      </c>
      <c r="O12" s="2674"/>
      <c r="P12" s="2674"/>
      <c r="Q12" s="2674"/>
      <c r="R12" s="2674"/>
      <c r="S12" s="2674"/>
      <c r="T12" s="2674"/>
      <c r="U12" s="2674"/>
      <c r="V12" s="2674"/>
      <c r="W12" s="2674"/>
      <c r="X12" s="2674"/>
      <c r="Y12" s="2674"/>
      <c r="Z12" s="2675"/>
      <c r="AA12" s="2652"/>
      <c r="AB12" s="2648"/>
      <c r="AC12" s="2648"/>
      <c r="AD12" s="2648"/>
      <c r="AE12" s="2648"/>
      <c r="AF12" s="2648"/>
      <c r="AG12" s="2648"/>
      <c r="AH12" s="2648"/>
      <c r="AI12" s="2648"/>
      <c r="AJ12" s="2648"/>
      <c r="AK12" s="2648"/>
      <c r="AL12" s="2648"/>
      <c r="AM12" s="2648" t="s">
        <v>3004</v>
      </c>
      <c r="AN12" s="2648"/>
      <c r="AO12" s="2648"/>
      <c r="AP12" s="2671" t="s">
        <v>161</v>
      </c>
      <c r="AQ12" s="2671"/>
      <c r="AR12" s="2671"/>
      <c r="AS12" s="2671"/>
      <c r="AT12" s="2671"/>
      <c r="AU12" s="2671"/>
      <c r="AV12" s="2671"/>
      <c r="AW12" s="2671"/>
      <c r="AX12" s="2671"/>
      <c r="AY12" s="2671"/>
      <c r="AZ12" s="2676"/>
      <c r="BB12" s="63"/>
      <c r="BC12" s="63">
        <v>11</v>
      </c>
      <c r="BD12" s="192"/>
      <c r="BE12" s="192"/>
      <c r="BF12" s="192"/>
      <c r="BG12" s="192"/>
      <c r="BH12" s="44"/>
    </row>
    <row r="13" spans="1:60" ht="28.5" customHeight="1">
      <c r="A13" s="511"/>
      <c r="B13" s="512"/>
      <c r="C13" s="512"/>
      <c r="D13" s="512"/>
      <c r="E13" s="512"/>
      <c r="F13" s="345"/>
      <c r="G13" s="345"/>
      <c r="H13" s="345"/>
      <c r="I13" s="345"/>
      <c r="J13" s="345"/>
      <c r="K13" s="2648" t="s">
        <v>263</v>
      </c>
      <c r="L13" s="2648"/>
      <c r="M13" s="2648"/>
      <c r="N13" s="2674" t="str">
        <f>'01 使用承認申請書'!$E$8&amp;'01 使用承認申請書'!$R$8</f>
        <v/>
      </c>
      <c r="O13" s="2674"/>
      <c r="P13" s="2674"/>
      <c r="Q13" s="2674"/>
      <c r="R13" s="2674"/>
      <c r="S13" s="2674"/>
      <c r="T13" s="2674"/>
      <c r="U13" s="2674"/>
      <c r="V13" s="2674"/>
      <c r="W13" s="2674"/>
      <c r="X13" s="2674"/>
      <c r="Y13" s="2674"/>
      <c r="Z13" s="2675"/>
      <c r="AA13" s="2652"/>
      <c r="AB13" s="2648"/>
      <c r="AC13" s="2648"/>
      <c r="AD13" s="2648"/>
      <c r="AE13" s="2648"/>
      <c r="AF13" s="2648"/>
      <c r="AG13" s="2648"/>
      <c r="AH13" s="2648"/>
      <c r="AI13" s="2648"/>
      <c r="AJ13" s="2648"/>
      <c r="AK13" s="2648"/>
      <c r="AL13" s="2648"/>
      <c r="AM13" s="2648" t="s">
        <v>263</v>
      </c>
      <c r="AN13" s="2648"/>
      <c r="AO13" s="2648"/>
      <c r="AP13" s="2671" t="s">
        <v>58</v>
      </c>
      <c r="AQ13" s="2671"/>
      <c r="AR13" s="2671"/>
      <c r="AS13" s="2671"/>
      <c r="AT13" s="2671"/>
      <c r="AU13" s="2671"/>
      <c r="AV13" s="2671"/>
      <c r="AW13" s="2671"/>
      <c r="AX13" s="2671"/>
      <c r="AY13" s="2671"/>
      <c r="AZ13" s="2676"/>
      <c r="BB13" s="63"/>
      <c r="BC13" s="63">
        <v>12</v>
      </c>
      <c r="BD13" s="63"/>
      <c r="BE13" s="63"/>
      <c r="BF13" s="63"/>
      <c r="BG13" s="63"/>
    </row>
    <row r="14" spans="1:60" ht="28.5" customHeight="1">
      <c r="A14" s="511"/>
      <c r="B14" s="512"/>
      <c r="C14" s="512"/>
      <c r="D14" s="512"/>
      <c r="E14" s="512"/>
      <c r="F14" s="345"/>
      <c r="G14" s="345"/>
      <c r="H14" s="345"/>
      <c r="I14" s="345"/>
      <c r="J14" s="345"/>
      <c r="K14" s="2648" t="s">
        <v>264</v>
      </c>
      <c r="L14" s="2648"/>
      <c r="M14" s="2648"/>
      <c r="N14" s="2677" t="str">
        <f>CONCATENATE('01 使用承認申請書'!D9)</f>
        <v/>
      </c>
      <c r="O14" s="2677"/>
      <c r="P14" s="2677"/>
      <c r="Q14" s="2677"/>
      <c r="R14" s="2677"/>
      <c r="S14" s="2677"/>
      <c r="T14" s="2677"/>
      <c r="U14" s="2677"/>
      <c r="V14" s="2677"/>
      <c r="W14" s="2677"/>
      <c r="X14" s="2677"/>
      <c r="Y14" s="2677"/>
      <c r="Z14" s="2678"/>
      <c r="AA14" s="2652"/>
      <c r="AB14" s="2648"/>
      <c r="AC14" s="2648"/>
      <c r="AD14" s="2648"/>
      <c r="AE14" s="2648"/>
      <c r="AF14" s="2648"/>
      <c r="AG14" s="2648"/>
      <c r="AH14" s="2648"/>
      <c r="AI14" s="2648"/>
      <c r="AJ14" s="2648"/>
      <c r="AK14" s="2648"/>
      <c r="AL14" s="2648"/>
      <c r="AM14" s="2648" t="s">
        <v>264</v>
      </c>
      <c r="AN14" s="2648"/>
      <c r="AO14" s="2648"/>
      <c r="AP14" s="2670" t="s">
        <v>2869</v>
      </c>
      <c r="AQ14" s="2670"/>
      <c r="AR14" s="2670"/>
      <c r="AS14" s="2670"/>
      <c r="AT14" s="2670"/>
      <c r="AU14" s="2670"/>
      <c r="AV14" s="2670"/>
      <c r="AW14" s="2670"/>
      <c r="AX14" s="2670"/>
      <c r="AY14" s="2670"/>
      <c r="AZ14" s="549"/>
      <c r="BB14" s="63"/>
      <c r="BC14" s="63">
        <v>13</v>
      </c>
      <c r="BD14" s="63"/>
      <c r="BE14" s="63"/>
      <c r="BF14" s="63"/>
      <c r="BG14" s="63"/>
    </row>
    <row r="15" spans="1:60" ht="14.25" customHeight="1">
      <c r="A15" s="2638"/>
      <c r="B15" s="2639"/>
      <c r="C15" s="2639"/>
      <c r="D15" s="2639"/>
      <c r="E15" s="2639"/>
      <c r="F15" s="2639"/>
      <c r="G15" s="2639"/>
      <c r="H15" s="2639"/>
      <c r="I15" s="2639"/>
      <c r="J15" s="2639"/>
      <c r="K15" s="2639"/>
      <c r="L15" s="2639"/>
      <c r="M15" s="2639"/>
      <c r="N15" s="2639"/>
      <c r="O15" s="2639"/>
      <c r="P15" s="2639"/>
      <c r="Q15" s="2639"/>
      <c r="R15" s="2639"/>
      <c r="S15" s="2639"/>
      <c r="T15" s="2639"/>
      <c r="U15" s="2639"/>
      <c r="V15" s="2639"/>
      <c r="W15" s="2639"/>
      <c r="X15" s="2639"/>
      <c r="Y15" s="2639"/>
      <c r="Z15" s="2669"/>
      <c r="AA15" s="2638"/>
      <c r="AB15" s="2639"/>
      <c r="AC15" s="2639"/>
      <c r="AD15" s="2639"/>
      <c r="AE15" s="2639"/>
      <c r="AF15" s="2639"/>
      <c r="AG15" s="2639"/>
      <c r="AH15" s="2639"/>
      <c r="AI15" s="2639"/>
      <c r="AJ15" s="2639"/>
      <c r="AK15" s="2639"/>
      <c r="AL15" s="2639"/>
      <c r="AM15" s="2639"/>
      <c r="AN15" s="2639"/>
      <c r="AO15" s="2639"/>
      <c r="AP15" s="2639"/>
      <c r="AQ15" s="2639"/>
      <c r="AR15" s="2639"/>
      <c r="AS15" s="2639"/>
      <c r="AT15" s="2639"/>
      <c r="AU15" s="2639"/>
      <c r="AV15" s="2639"/>
      <c r="AW15" s="2639"/>
      <c r="AX15" s="2639"/>
      <c r="AY15" s="2639"/>
      <c r="AZ15" s="2669"/>
      <c r="BB15" s="63"/>
      <c r="BC15" s="63">
        <v>14</v>
      </c>
      <c r="BD15" s="63"/>
      <c r="BE15" s="63"/>
      <c r="BF15" s="63"/>
      <c r="BG15" s="63"/>
    </row>
    <row r="16" spans="1:60" ht="14.25" customHeight="1">
      <c r="A16" s="2638" t="s">
        <v>265</v>
      </c>
      <c r="B16" s="2639"/>
      <c r="C16" s="2639"/>
      <c r="D16" s="2639"/>
      <c r="E16" s="2639"/>
      <c r="F16" s="2639"/>
      <c r="G16" s="2639"/>
      <c r="H16" s="2639"/>
      <c r="I16" s="2639"/>
      <c r="J16" s="2639"/>
      <c r="K16" s="2639"/>
      <c r="L16" s="2639"/>
      <c r="M16" s="2639"/>
      <c r="N16" s="2639"/>
      <c r="O16" s="2639"/>
      <c r="P16" s="2639"/>
      <c r="Q16" s="2639"/>
      <c r="R16" s="2639"/>
      <c r="S16" s="2639"/>
      <c r="T16" s="2639"/>
      <c r="U16" s="2639"/>
      <c r="V16" s="2639"/>
      <c r="W16" s="2639"/>
      <c r="X16" s="2639"/>
      <c r="Y16" s="2639"/>
      <c r="Z16" s="2669"/>
      <c r="AA16" s="2638" t="s">
        <v>265</v>
      </c>
      <c r="AB16" s="2639"/>
      <c r="AC16" s="2639"/>
      <c r="AD16" s="2639"/>
      <c r="AE16" s="2639"/>
      <c r="AF16" s="2639"/>
      <c r="AG16" s="2639"/>
      <c r="AH16" s="2639"/>
      <c r="AI16" s="2639"/>
      <c r="AJ16" s="2639"/>
      <c r="AK16" s="2639"/>
      <c r="AL16" s="2639"/>
      <c r="AM16" s="2639"/>
      <c r="AN16" s="2639"/>
      <c r="AO16" s="2639"/>
      <c r="AP16" s="2639"/>
      <c r="AQ16" s="2639"/>
      <c r="AR16" s="2639"/>
      <c r="AS16" s="2639"/>
      <c r="AT16" s="2639"/>
      <c r="AU16" s="2639"/>
      <c r="AV16" s="2639"/>
      <c r="AW16" s="2639"/>
      <c r="AX16" s="2639"/>
      <c r="AY16" s="2639"/>
      <c r="AZ16" s="2669"/>
      <c r="BB16" s="63"/>
      <c r="BC16" s="63">
        <v>15</v>
      </c>
      <c r="BD16" s="63"/>
      <c r="BE16" s="63"/>
      <c r="BF16" s="63"/>
      <c r="BG16" s="63"/>
    </row>
    <row r="17" spans="1:59" ht="14.25" customHeight="1">
      <c r="A17" s="2638" t="s">
        <v>266</v>
      </c>
      <c r="B17" s="2639"/>
      <c r="C17" s="2639"/>
      <c r="D17" s="2639"/>
      <c r="E17" s="2639"/>
      <c r="F17" s="2639"/>
      <c r="G17" s="2639"/>
      <c r="H17" s="2639"/>
      <c r="I17" s="2639"/>
      <c r="J17" s="2639"/>
      <c r="K17" s="2639"/>
      <c r="L17" s="2639"/>
      <c r="M17" s="2639"/>
      <c r="N17" s="2639"/>
      <c r="O17" s="2639"/>
      <c r="P17" s="2639"/>
      <c r="Q17" s="2639"/>
      <c r="R17" s="2639"/>
      <c r="S17" s="2639"/>
      <c r="T17" s="2639"/>
      <c r="U17" s="2639"/>
      <c r="V17" s="2639"/>
      <c r="W17" s="2639"/>
      <c r="X17" s="2639"/>
      <c r="Y17" s="2639"/>
      <c r="Z17" s="2669"/>
      <c r="AA17" s="2638" t="s">
        <v>266</v>
      </c>
      <c r="AB17" s="2639"/>
      <c r="AC17" s="2639"/>
      <c r="AD17" s="2639"/>
      <c r="AE17" s="2639"/>
      <c r="AF17" s="2639"/>
      <c r="AG17" s="2639"/>
      <c r="AH17" s="2639"/>
      <c r="AI17" s="2639"/>
      <c r="AJ17" s="2639"/>
      <c r="AK17" s="2639"/>
      <c r="AL17" s="2639"/>
      <c r="AM17" s="2639"/>
      <c r="AN17" s="2639"/>
      <c r="AO17" s="2639"/>
      <c r="AP17" s="2639"/>
      <c r="AQ17" s="2639"/>
      <c r="AR17" s="2639"/>
      <c r="AS17" s="2639"/>
      <c r="AT17" s="2639"/>
      <c r="AU17" s="2639"/>
      <c r="AV17" s="2639"/>
      <c r="AW17" s="2639"/>
      <c r="AX17" s="2639"/>
      <c r="AY17" s="2639"/>
      <c r="AZ17" s="2669"/>
      <c r="BB17" s="63"/>
      <c r="BC17" s="63">
        <v>16</v>
      </c>
      <c r="BD17" s="63"/>
      <c r="BE17" s="63"/>
      <c r="BF17" s="63"/>
      <c r="BG17" s="63"/>
    </row>
    <row r="18" spans="1:59" ht="14.25" customHeight="1">
      <c r="A18" s="2638"/>
      <c r="B18" s="2639"/>
      <c r="C18" s="2639"/>
      <c r="D18" s="2639"/>
      <c r="E18" s="2639"/>
      <c r="F18" s="2639"/>
      <c r="G18" s="2639"/>
      <c r="H18" s="2639"/>
      <c r="I18" s="2639"/>
      <c r="J18" s="2639"/>
      <c r="K18" s="2639"/>
      <c r="L18" s="2639"/>
      <c r="M18" s="2639"/>
      <c r="N18" s="2639"/>
      <c r="O18" s="2639"/>
      <c r="P18" s="2639"/>
      <c r="Q18" s="2639"/>
      <c r="R18" s="2639"/>
      <c r="S18" s="2639"/>
      <c r="T18" s="2639"/>
      <c r="U18" s="2639"/>
      <c r="V18" s="2639"/>
      <c r="W18" s="2639"/>
      <c r="X18" s="2639"/>
      <c r="Y18" s="2639"/>
      <c r="Z18" s="2669"/>
      <c r="AA18" s="2638"/>
      <c r="AB18" s="2639"/>
      <c r="AC18" s="2639"/>
      <c r="AD18" s="2639"/>
      <c r="AE18" s="2639"/>
      <c r="AF18" s="2639"/>
      <c r="AG18" s="2639"/>
      <c r="AH18" s="2639"/>
      <c r="AI18" s="2639"/>
      <c r="AJ18" s="2639"/>
      <c r="AK18" s="2639"/>
      <c r="AL18" s="2639"/>
      <c r="AM18" s="2639"/>
      <c r="AN18" s="2639"/>
      <c r="AO18" s="2639"/>
      <c r="AP18" s="2639"/>
      <c r="AQ18" s="2639"/>
      <c r="AR18" s="2639"/>
      <c r="AS18" s="2639"/>
      <c r="AT18" s="2639"/>
      <c r="AU18" s="2639"/>
      <c r="AV18" s="2639"/>
      <c r="AW18" s="2639"/>
      <c r="AX18" s="2639"/>
      <c r="AY18" s="2639"/>
      <c r="AZ18" s="2669"/>
      <c r="BB18" s="63"/>
      <c r="BC18" s="63">
        <v>17</v>
      </c>
      <c r="BD18" s="63"/>
      <c r="BE18" s="63"/>
      <c r="BF18" s="63"/>
      <c r="BG18" s="63"/>
    </row>
    <row r="19" spans="1:59" ht="26.1" customHeight="1">
      <c r="A19" s="511"/>
      <c r="B19" s="2667" t="s">
        <v>2865</v>
      </c>
      <c r="C19" s="2654"/>
      <c r="D19" s="2654"/>
      <c r="E19" s="2654"/>
      <c r="F19" s="2654"/>
      <c r="G19" s="2655"/>
      <c r="H19" s="2667"/>
      <c r="I19" s="2654"/>
      <c r="J19" s="2654"/>
      <c r="K19" s="515"/>
      <c r="L19" s="516"/>
      <c r="M19" s="753" t="str">
        <f>CONCATENATE('01 使用承認申請書'!C14)</f>
        <v/>
      </c>
      <c r="N19" s="516" t="s">
        <v>15</v>
      </c>
      <c r="O19" s="753" t="str">
        <f>CONCATENATE('01 使用承認申請書'!F14)</f>
        <v/>
      </c>
      <c r="P19" s="516" t="s">
        <v>14</v>
      </c>
      <c r="Q19" s="2668" t="s">
        <v>35</v>
      </c>
      <c r="R19" s="2668"/>
      <c r="S19" s="753" t="str">
        <f>CONCATENATE('01 使用承認申請書'!C16)</f>
        <v/>
      </c>
      <c r="T19" s="516" t="s">
        <v>15</v>
      </c>
      <c r="U19" s="753" t="str">
        <f>CONCATENATE('01 使用承認申請書'!F16)</f>
        <v/>
      </c>
      <c r="V19" s="516" t="s">
        <v>14</v>
      </c>
      <c r="W19" s="2654"/>
      <c r="X19" s="2654"/>
      <c r="Y19" s="2655"/>
      <c r="Z19" s="517"/>
      <c r="AA19" s="511"/>
      <c r="AB19" s="2667" t="s">
        <v>2865</v>
      </c>
      <c r="AC19" s="2654"/>
      <c r="AD19" s="2654"/>
      <c r="AE19" s="2654"/>
      <c r="AF19" s="2654"/>
      <c r="AG19" s="2655"/>
      <c r="AH19" s="2667"/>
      <c r="AI19" s="2654"/>
      <c r="AJ19" s="2654"/>
      <c r="AK19" s="515"/>
      <c r="AL19" s="518"/>
      <c r="AM19" s="550">
        <f>AV4</f>
        <v>9</v>
      </c>
      <c r="AN19" s="518" t="s">
        <v>15</v>
      </c>
      <c r="AO19" s="589">
        <v>12</v>
      </c>
      <c r="AP19" s="518" t="s">
        <v>14</v>
      </c>
      <c r="AQ19" s="2654" t="s">
        <v>317</v>
      </c>
      <c r="AR19" s="2654"/>
      <c r="AS19" s="550">
        <f>AV4</f>
        <v>9</v>
      </c>
      <c r="AT19" s="518" t="s">
        <v>15</v>
      </c>
      <c r="AU19" s="550">
        <f>AO19+1</f>
        <v>13</v>
      </c>
      <c r="AV19" s="518" t="s">
        <v>14</v>
      </c>
      <c r="AW19" s="2654"/>
      <c r="AX19" s="2654"/>
      <c r="AY19" s="2655"/>
      <c r="AZ19" s="517"/>
      <c r="BB19" s="63"/>
      <c r="BC19" s="63">
        <v>18</v>
      </c>
      <c r="BD19" s="63"/>
      <c r="BE19" s="63"/>
      <c r="BF19" s="63"/>
      <c r="BG19" s="63"/>
    </row>
    <row r="20" spans="1:59" ht="26.1" customHeight="1">
      <c r="A20" s="511"/>
      <c r="B20" s="2667" t="s">
        <v>2866</v>
      </c>
      <c r="C20" s="2654"/>
      <c r="D20" s="2654"/>
      <c r="E20" s="2654"/>
      <c r="F20" s="2654"/>
      <c r="G20" s="2655"/>
      <c r="H20" s="2661" t="str">
        <f>IF('06-1　人数報告用紙（4.20～11.10用）'!T37&gt;0,"宿泊学習","校外学習")</f>
        <v>校外学習</v>
      </c>
      <c r="I20" s="2662"/>
      <c r="J20" s="2662"/>
      <c r="K20" s="2662"/>
      <c r="L20" s="2662"/>
      <c r="M20" s="2662"/>
      <c r="N20" s="2662"/>
      <c r="O20" s="2662"/>
      <c r="P20" s="2662"/>
      <c r="Q20" s="2662"/>
      <c r="R20" s="2662"/>
      <c r="S20" s="2662"/>
      <c r="T20" s="2662"/>
      <c r="U20" s="2662"/>
      <c r="V20" s="2662"/>
      <c r="W20" s="2662"/>
      <c r="X20" s="2662"/>
      <c r="Y20" s="2663"/>
      <c r="Z20" s="517"/>
      <c r="AA20" s="511"/>
      <c r="AB20" s="2667" t="s">
        <v>2866</v>
      </c>
      <c r="AC20" s="2654"/>
      <c r="AD20" s="2654"/>
      <c r="AE20" s="2654"/>
      <c r="AF20" s="2654"/>
      <c r="AG20" s="2655"/>
      <c r="AH20" s="2664" t="s">
        <v>267</v>
      </c>
      <c r="AI20" s="2665"/>
      <c r="AJ20" s="2665"/>
      <c r="AK20" s="2665"/>
      <c r="AL20" s="2665"/>
      <c r="AM20" s="2665"/>
      <c r="AN20" s="2665"/>
      <c r="AO20" s="2665"/>
      <c r="AP20" s="2665"/>
      <c r="AQ20" s="2665"/>
      <c r="AR20" s="2665"/>
      <c r="AS20" s="2665"/>
      <c r="AT20" s="2665"/>
      <c r="AU20" s="2665"/>
      <c r="AV20" s="2665"/>
      <c r="AW20" s="2665"/>
      <c r="AX20" s="2665"/>
      <c r="AY20" s="2666"/>
      <c r="AZ20" s="517"/>
      <c r="BB20" s="63"/>
      <c r="BC20" s="63">
        <v>19</v>
      </c>
      <c r="BD20" s="63"/>
      <c r="BE20" s="63"/>
      <c r="BF20" s="63"/>
      <c r="BG20" s="63"/>
    </row>
    <row r="21" spans="1:59" ht="26.1" customHeight="1">
      <c r="A21" s="511"/>
      <c r="B21" s="2667" t="s">
        <v>2867</v>
      </c>
      <c r="C21" s="2654"/>
      <c r="D21" s="2654"/>
      <c r="E21" s="2654"/>
      <c r="F21" s="2654"/>
      <c r="G21" s="2655"/>
      <c r="H21" s="2659"/>
      <c r="I21" s="2660"/>
      <c r="J21" s="2660"/>
      <c r="K21" s="2660"/>
      <c r="L21" s="2660"/>
      <c r="M21" s="2660"/>
      <c r="N21" s="2660"/>
      <c r="O21" s="2658">
        <f>W39+W41+W43+W45+W47+W49</f>
        <v>0</v>
      </c>
      <c r="P21" s="2658"/>
      <c r="Q21" s="518" t="s">
        <v>32</v>
      </c>
      <c r="R21" s="2654"/>
      <c r="S21" s="2654"/>
      <c r="T21" s="2654"/>
      <c r="U21" s="2654"/>
      <c r="V21" s="2654"/>
      <c r="W21" s="2654"/>
      <c r="X21" s="2654"/>
      <c r="Y21" s="2655"/>
      <c r="Z21" s="517"/>
      <c r="AA21" s="511"/>
      <c r="AB21" s="2667" t="s">
        <v>2867</v>
      </c>
      <c r="AC21" s="2654"/>
      <c r="AD21" s="2654"/>
      <c r="AE21" s="2654"/>
      <c r="AF21" s="2654"/>
      <c r="AG21" s="2655"/>
      <c r="AH21" s="2656">
        <v>10</v>
      </c>
      <c r="AI21" s="2657"/>
      <c r="AJ21" s="2657"/>
      <c r="AK21" s="2657"/>
      <c r="AL21" s="2657"/>
      <c r="AM21" s="2657"/>
      <c r="AN21" s="2657"/>
      <c r="AO21" s="2657"/>
      <c r="AP21" s="2657"/>
      <c r="AQ21" s="518" t="s">
        <v>32</v>
      </c>
      <c r="AR21" s="2654"/>
      <c r="AS21" s="2654"/>
      <c r="AT21" s="2654"/>
      <c r="AU21" s="2654"/>
      <c r="AV21" s="2654"/>
      <c r="AW21" s="2654"/>
      <c r="AX21" s="2654"/>
      <c r="AY21" s="2655"/>
      <c r="AZ21" s="517"/>
      <c r="BB21" s="63"/>
      <c r="BC21" s="63">
        <v>20</v>
      </c>
      <c r="BD21" s="63"/>
      <c r="BE21" s="63"/>
      <c r="BF21" s="63"/>
      <c r="BG21" s="63"/>
    </row>
    <row r="22" spans="1:59" ht="26.1" customHeight="1">
      <c r="A22" s="511"/>
      <c r="B22" s="2650" t="s">
        <v>2868</v>
      </c>
      <c r="C22" s="2649"/>
      <c r="D22" s="2649"/>
      <c r="E22" s="2649"/>
      <c r="F22" s="2649"/>
      <c r="G22" s="2651"/>
      <c r="H22" s="519" t="str">
        <f t="shared" ref="H22:H27" si="0">BF3</f>
        <v/>
      </c>
      <c r="I22" s="2646" t="s">
        <v>2818</v>
      </c>
      <c r="J22" s="2646"/>
      <c r="K22" s="2646"/>
      <c r="L22" s="2646"/>
      <c r="M22" s="2646"/>
      <c r="N22" s="2646"/>
      <c r="O22" s="2646"/>
      <c r="P22" s="2646"/>
      <c r="Q22" s="2646"/>
      <c r="R22" s="2646"/>
      <c r="S22" s="2646"/>
      <c r="T22" s="2646"/>
      <c r="U22" s="2646"/>
      <c r="V22" s="2646"/>
      <c r="W22" s="2646"/>
      <c r="X22" s="2646"/>
      <c r="Y22" s="2647"/>
      <c r="Z22" s="520"/>
      <c r="AA22" s="511"/>
      <c r="AB22" s="2650" t="s">
        <v>2868</v>
      </c>
      <c r="AC22" s="2649"/>
      <c r="AD22" s="2649"/>
      <c r="AE22" s="2649"/>
      <c r="AF22" s="2649"/>
      <c r="AG22" s="2651"/>
      <c r="AH22" s="519" t="s">
        <v>2862</v>
      </c>
      <c r="AI22" s="2646" t="s">
        <v>2818</v>
      </c>
      <c r="AJ22" s="2646"/>
      <c r="AK22" s="2646"/>
      <c r="AL22" s="2646"/>
      <c r="AM22" s="2646"/>
      <c r="AN22" s="2646"/>
      <c r="AO22" s="2646"/>
      <c r="AP22" s="2646"/>
      <c r="AQ22" s="2646"/>
      <c r="AR22" s="2646"/>
      <c r="AS22" s="2646"/>
      <c r="AT22" s="2646"/>
      <c r="AU22" s="2646"/>
      <c r="AV22" s="2646"/>
      <c r="AW22" s="2646"/>
      <c r="AX22" s="2646"/>
      <c r="AY22" s="2647"/>
      <c r="AZ22" s="517"/>
      <c r="BB22" s="63"/>
      <c r="BC22" s="63">
        <v>21</v>
      </c>
      <c r="BD22" s="63"/>
      <c r="BE22" s="63"/>
      <c r="BF22" s="63"/>
      <c r="BG22" s="63"/>
    </row>
    <row r="23" spans="1:59" ht="26.1" customHeight="1">
      <c r="A23" s="511"/>
      <c r="B23" s="2652"/>
      <c r="C23" s="2648"/>
      <c r="D23" s="2648"/>
      <c r="E23" s="2648"/>
      <c r="F23" s="2648"/>
      <c r="G23" s="2653"/>
      <c r="H23" s="519" t="str">
        <f t="shared" si="0"/>
        <v/>
      </c>
      <c r="I23" s="2646" t="s">
        <v>2819</v>
      </c>
      <c r="J23" s="2646"/>
      <c r="K23" s="2646"/>
      <c r="L23" s="2646"/>
      <c r="M23" s="2646"/>
      <c r="N23" s="2646"/>
      <c r="O23" s="2646"/>
      <c r="P23" s="2646"/>
      <c r="Q23" s="2646"/>
      <c r="R23" s="2646"/>
      <c r="S23" s="2646"/>
      <c r="T23" s="2646"/>
      <c r="U23" s="2646"/>
      <c r="V23" s="2646"/>
      <c r="W23" s="2646"/>
      <c r="X23" s="2646"/>
      <c r="Y23" s="2647"/>
      <c r="Z23" s="520"/>
      <c r="AA23" s="511"/>
      <c r="AB23" s="2652"/>
      <c r="AC23" s="2648"/>
      <c r="AD23" s="2648"/>
      <c r="AE23" s="2648"/>
      <c r="AF23" s="2648"/>
      <c r="AG23" s="2653"/>
      <c r="AH23" s="519" t="s">
        <v>2863</v>
      </c>
      <c r="AI23" s="2646" t="s">
        <v>2819</v>
      </c>
      <c r="AJ23" s="2646"/>
      <c r="AK23" s="2646"/>
      <c r="AL23" s="2646"/>
      <c r="AM23" s="2646"/>
      <c r="AN23" s="2646"/>
      <c r="AO23" s="2646"/>
      <c r="AP23" s="2646"/>
      <c r="AQ23" s="2646"/>
      <c r="AR23" s="2646"/>
      <c r="AS23" s="2646"/>
      <c r="AT23" s="2646"/>
      <c r="AU23" s="2646"/>
      <c r="AV23" s="2646"/>
      <c r="AW23" s="2646"/>
      <c r="AX23" s="2646"/>
      <c r="AY23" s="2647"/>
      <c r="AZ23" s="517"/>
      <c r="BB23" s="63"/>
      <c r="BC23" s="63">
        <v>22</v>
      </c>
      <c r="BD23" s="63"/>
      <c r="BE23" s="63"/>
      <c r="BF23" s="63"/>
      <c r="BG23" s="63"/>
    </row>
    <row r="24" spans="1:59" ht="26.1" customHeight="1">
      <c r="A24" s="511"/>
      <c r="B24" s="2652"/>
      <c r="C24" s="2648"/>
      <c r="D24" s="2648"/>
      <c r="E24" s="2648"/>
      <c r="F24" s="2648"/>
      <c r="G24" s="2653"/>
      <c r="H24" s="519" t="str">
        <f t="shared" si="0"/>
        <v/>
      </c>
      <c r="I24" s="2646" t="s">
        <v>2820</v>
      </c>
      <c r="J24" s="2646"/>
      <c r="K24" s="2646"/>
      <c r="L24" s="2646"/>
      <c r="M24" s="2646"/>
      <c r="N24" s="2646"/>
      <c r="O24" s="2646"/>
      <c r="P24" s="2646"/>
      <c r="Q24" s="2646"/>
      <c r="R24" s="2646"/>
      <c r="S24" s="2646"/>
      <c r="T24" s="2646"/>
      <c r="U24" s="2646"/>
      <c r="V24" s="2646"/>
      <c r="W24" s="2646"/>
      <c r="X24" s="2646"/>
      <c r="Y24" s="2647"/>
      <c r="Z24" s="520"/>
      <c r="AA24" s="511"/>
      <c r="AB24" s="2652"/>
      <c r="AC24" s="2648"/>
      <c r="AD24" s="2648"/>
      <c r="AE24" s="2648"/>
      <c r="AF24" s="2648"/>
      <c r="AG24" s="2653"/>
      <c r="AH24" s="519">
        <f>CF5</f>
        <v>0</v>
      </c>
      <c r="AI24" s="2646" t="s">
        <v>2820</v>
      </c>
      <c r="AJ24" s="2646"/>
      <c r="AK24" s="2646"/>
      <c r="AL24" s="2646"/>
      <c r="AM24" s="2646"/>
      <c r="AN24" s="2646"/>
      <c r="AO24" s="2646"/>
      <c r="AP24" s="2646"/>
      <c r="AQ24" s="2646"/>
      <c r="AR24" s="2646"/>
      <c r="AS24" s="2646"/>
      <c r="AT24" s="2646"/>
      <c r="AU24" s="2646"/>
      <c r="AV24" s="2646"/>
      <c r="AW24" s="2646"/>
      <c r="AX24" s="2646"/>
      <c r="AY24" s="2647"/>
      <c r="AZ24" s="517"/>
      <c r="BB24" s="63"/>
      <c r="BC24" s="63">
        <v>23</v>
      </c>
      <c r="BD24" s="63"/>
      <c r="BE24" s="63"/>
      <c r="BF24" s="63"/>
      <c r="BG24" s="63"/>
    </row>
    <row r="25" spans="1:59" ht="26.1" customHeight="1">
      <c r="A25" s="511"/>
      <c r="B25" s="2652"/>
      <c r="C25" s="2648"/>
      <c r="D25" s="2648"/>
      <c r="E25" s="2648"/>
      <c r="F25" s="2648"/>
      <c r="G25" s="2653"/>
      <c r="H25" s="519" t="str">
        <f t="shared" si="0"/>
        <v/>
      </c>
      <c r="I25" s="2646" t="s">
        <v>2821</v>
      </c>
      <c r="J25" s="2646"/>
      <c r="K25" s="2646"/>
      <c r="L25" s="2646"/>
      <c r="M25" s="2646"/>
      <c r="N25" s="2646"/>
      <c r="O25" s="2646"/>
      <c r="P25" s="2646"/>
      <c r="Q25" s="2646"/>
      <c r="R25" s="2646"/>
      <c r="S25" s="2646"/>
      <c r="T25" s="2646"/>
      <c r="U25" s="2646"/>
      <c r="V25" s="2646"/>
      <c r="W25" s="2646"/>
      <c r="X25" s="2646"/>
      <c r="Y25" s="2647"/>
      <c r="Z25" s="520"/>
      <c r="AA25" s="511"/>
      <c r="AB25" s="2652"/>
      <c r="AC25" s="2648"/>
      <c r="AD25" s="2648"/>
      <c r="AE25" s="2648"/>
      <c r="AF25" s="2648"/>
      <c r="AG25" s="2653"/>
      <c r="AH25" s="519" t="s">
        <v>2863</v>
      </c>
      <c r="AI25" s="2646" t="s">
        <v>2821</v>
      </c>
      <c r="AJ25" s="2646"/>
      <c r="AK25" s="2646"/>
      <c r="AL25" s="2646"/>
      <c r="AM25" s="2646"/>
      <c r="AN25" s="2646"/>
      <c r="AO25" s="2646"/>
      <c r="AP25" s="2646"/>
      <c r="AQ25" s="2646"/>
      <c r="AR25" s="2646"/>
      <c r="AS25" s="2646"/>
      <c r="AT25" s="2646"/>
      <c r="AU25" s="2646"/>
      <c r="AV25" s="2646"/>
      <c r="AW25" s="2646"/>
      <c r="AX25" s="2646"/>
      <c r="AY25" s="2647"/>
      <c r="AZ25" s="517"/>
      <c r="BB25" s="63"/>
      <c r="BC25" s="63">
        <v>24</v>
      </c>
      <c r="BD25" s="63"/>
      <c r="BE25" s="63"/>
      <c r="BF25" s="63"/>
      <c r="BG25" s="63"/>
    </row>
    <row r="26" spans="1:59" ht="26.1" customHeight="1">
      <c r="A26" s="511"/>
      <c r="B26" s="2652"/>
      <c r="C26" s="2648"/>
      <c r="D26" s="2648"/>
      <c r="E26" s="2648"/>
      <c r="F26" s="2648"/>
      <c r="G26" s="2653"/>
      <c r="H26" s="519" t="str">
        <f t="shared" si="0"/>
        <v/>
      </c>
      <c r="I26" s="2646" t="s">
        <v>2822</v>
      </c>
      <c r="J26" s="2646"/>
      <c r="K26" s="2646"/>
      <c r="L26" s="2646"/>
      <c r="M26" s="2646"/>
      <c r="N26" s="2646"/>
      <c r="O26" s="2646"/>
      <c r="P26" s="2646"/>
      <c r="Q26" s="2646"/>
      <c r="R26" s="2646"/>
      <c r="S26" s="2646"/>
      <c r="T26" s="2646"/>
      <c r="U26" s="2646"/>
      <c r="V26" s="2646"/>
      <c r="W26" s="2646"/>
      <c r="X26" s="2646"/>
      <c r="Y26" s="2647"/>
      <c r="Z26" s="520"/>
      <c r="AA26" s="511"/>
      <c r="AB26" s="2652"/>
      <c r="AC26" s="2648"/>
      <c r="AD26" s="2648"/>
      <c r="AE26" s="2648"/>
      <c r="AF26" s="2648"/>
      <c r="AG26" s="2653"/>
      <c r="AH26" s="519">
        <f>CF7</f>
        <v>0</v>
      </c>
      <c r="AI26" s="2646" t="s">
        <v>2822</v>
      </c>
      <c r="AJ26" s="2646"/>
      <c r="AK26" s="2646"/>
      <c r="AL26" s="2646"/>
      <c r="AM26" s="2646"/>
      <c r="AN26" s="2646"/>
      <c r="AO26" s="2646"/>
      <c r="AP26" s="2646"/>
      <c r="AQ26" s="2646"/>
      <c r="AR26" s="2646"/>
      <c r="AS26" s="2646"/>
      <c r="AT26" s="2646"/>
      <c r="AU26" s="2646"/>
      <c r="AV26" s="2646"/>
      <c r="AW26" s="2646"/>
      <c r="AX26" s="2646"/>
      <c r="AY26" s="2647"/>
      <c r="AZ26" s="517"/>
      <c r="BB26" s="63"/>
      <c r="BC26" s="63">
        <v>25</v>
      </c>
      <c r="BD26" s="63"/>
      <c r="BE26" s="63"/>
      <c r="BF26" s="63"/>
      <c r="BG26" s="63"/>
    </row>
    <row r="27" spans="1:59" ht="26.1" customHeight="1">
      <c r="A27" s="511"/>
      <c r="B27" s="2643"/>
      <c r="C27" s="2644"/>
      <c r="D27" s="2644"/>
      <c r="E27" s="2644"/>
      <c r="F27" s="2644"/>
      <c r="G27" s="2645"/>
      <c r="H27" s="519" t="str">
        <f t="shared" si="0"/>
        <v/>
      </c>
      <c r="I27" s="2646" t="s">
        <v>2823</v>
      </c>
      <c r="J27" s="2646"/>
      <c r="K27" s="2646"/>
      <c r="L27" s="2646"/>
      <c r="M27" s="2646"/>
      <c r="N27" s="2646"/>
      <c r="O27" s="2646"/>
      <c r="P27" s="2646"/>
      <c r="Q27" s="2646"/>
      <c r="R27" s="2646"/>
      <c r="S27" s="2646"/>
      <c r="T27" s="2646"/>
      <c r="U27" s="2646"/>
      <c r="V27" s="2646"/>
      <c r="W27" s="2646"/>
      <c r="X27" s="2646"/>
      <c r="Y27" s="2647"/>
      <c r="Z27" s="520"/>
      <c r="AA27" s="511"/>
      <c r="AB27" s="2643"/>
      <c r="AC27" s="2644"/>
      <c r="AD27" s="2644"/>
      <c r="AE27" s="2644"/>
      <c r="AF27" s="2644"/>
      <c r="AG27" s="2645"/>
      <c r="AH27" s="519" t="s">
        <v>2863</v>
      </c>
      <c r="AI27" s="2646" t="s">
        <v>2823</v>
      </c>
      <c r="AJ27" s="2646"/>
      <c r="AK27" s="2646"/>
      <c r="AL27" s="2646"/>
      <c r="AM27" s="2646"/>
      <c r="AN27" s="2646"/>
      <c r="AO27" s="2646"/>
      <c r="AP27" s="2646"/>
      <c r="AQ27" s="2646"/>
      <c r="AR27" s="2646"/>
      <c r="AS27" s="2646"/>
      <c r="AT27" s="2646"/>
      <c r="AU27" s="2646"/>
      <c r="AV27" s="2646"/>
      <c r="AW27" s="2646"/>
      <c r="AX27" s="2646"/>
      <c r="AY27" s="2647"/>
      <c r="AZ27" s="517"/>
      <c r="BB27" s="63"/>
      <c r="BC27" s="63">
        <v>26</v>
      </c>
      <c r="BD27" s="63"/>
      <c r="BE27" s="63"/>
      <c r="BF27" s="63"/>
      <c r="BG27" s="63"/>
    </row>
    <row r="28" spans="1:59" ht="14.25" customHeight="1">
      <c r="A28" s="2643"/>
      <c r="B28" s="2644"/>
      <c r="C28" s="2644"/>
      <c r="D28" s="2644"/>
      <c r="E28" s="2644"/>
      <c r="F28" s="2644"/>
      <c r="G28" s="2644"/>
      <c r="H28" s="2644"/>
      <c r="I28" s="2644"/>
      <c r="J28" s="2644"/>
      <c r="K28" s="2644"/>
      <c r="L28" s="2644"/>
      <c r="M28" s="2644"/>
      <c r="N28" s="2644"/>
      <c r="O28" s="2644"/>
      <c r="P28" s="2644"/>
      <c r="Q28" s="2644"/>
      <c r="R28" s="2644"/>
      <c r="S28" s="2644"/>
      <c r="T28" s="2644"/>
      <c r="U28" s="2644"/>
      <c r="V28" s="2644"/>
      <c r="W28" s="2644"/>
      <c r="X28" s="2644"/>
      <c r="Y28" s="2644"/>
      <c r="Z28" s="2645"/>
      <c r="AA28" s="2643"/>
      <c r="AB28" s="2644"/>
      <c r="AC28" s="2644"/>
      <c r="AD28" s="2644"/>
      <c r="AE28" s="2644"/>
      <c r="AF28" s="2644"/>
      <c r="AG28" s="2644"/>
      <c r="AH28" s="2644"/>
      <c r="AI28" s="2644"/>
      <c r="AJ28" s="2644"/>
      <c r="AK28" s="2644"/>
      <c r="AL28" s="2644"/>
      <c r="AM28" s="2644"/>
      <c r="AN28" s="2644"/>
      <c r="AO28" s="2644"/>
      <c r="AP28" s="2644"/>
      <c r="AQ28" s="2644"/>
      <c r="AR28" s="2644"/>
      <c r="AS28" s="2644"/>
      <c r="AT28" s="2644"/>
      <c r="AU28" s="2644"/>
      <c r="AV28" s="2644"/>
      <c r="AW28" s="2644"/>
      <c r="AX28" s="2644"/>
      <c r="AY28" s="2644"/>
      <c r="AZ28" s="2645"/>
      <c r="BB28" s="63"/>
      <c r="BC28" s="63">
        <v>27</v>
      </c>
      <c r="BD28" s="63"/>
      <c r="BE28" s="63"/>
      <c r="BF28" s="63"/>
      <c r="BG28" s="63"/>
    </row>
    <row r="29" spans="1:59" ht="14.25" customHeight="1">
      <c r="A29" s="2648"/>
      <c r="B29" s="2648"/>
      <c r="C29" s="2648"/>
      <c r="D29" s="2648"/>
      <c r="E29" s="2648"/>
      <c r="F29" s="2648"/>
      <c r="G29" s="2648"/>
      <c r="H29" s="2648"/>
      <c r="I29" s="2648"/>
      <c r="J29" s="2648"/>
      <c r="K29" s="2648"/>
      <c r="L29" s="2648"/>
      <c r="M29" s="2648"/>
      <c r="N29" s="2648"/>
      <c r="O29" s="2648"/>
      <c r="P29" s="2648"/>
      <c r="Q29" s="2648"/>
      <c r="R29" s="2648"/>
      <c r="S29" s="2648"/>
      <c r="T29" s="2648"/>
      <c r="U29" s="2648"/>
      <c r="V29" s="2648"/>
      <c r="W29" s="2648"/>
      <c r="X29" s="2648"/>
      <c r="Y29" s="2648"/>
      <c r="Z29" s="2648"/>
      <c r="AA29" s="2649"/>
      <c r="AB29" s="2649"/>
      <c r="AC29" s="2649"/>
      <c r="AD29" s="2649"/>
      <c r="AE29" s="2649"/>
      <c r="AF29" s="2649"/>
      <c r="AG29" s="2649"/>
      <c r="AH29" s="2649"/>
      <c r="AI29" s="2649"/>
      <c r="AJ29" s="2649"/>
      <c r="AK29" s="2649"/>
      <c r="AL29" s="2649"/>
      <c r="AM29" s="2649"/>
      <c r="AN29" s="2649"/>
      <c r="AO29" s="2649"/>
      <c r="AP29" s="2649"/>
      <c r="AQ29" s="2649"/>
      <c r="AR29" s="2649"/>
      <c r="AS29" s="2649"/>
      <c r="AT29" s="2649"/>
      <c r="AU29" s="2649"/>
      <c r="AV29" s="2649"/>
      <c r="AW29" s="2649"/>
      <c r="AX29" s="2649"/>
      <c r="AY29" s="2649"/>
      <c r="AZ29" s="2649"/>
      <c r="BB29" s="63"/>
      <c r="BC29" s="63">
        <v>28</v>
      </c>
      <c r="BD29" s="63"/>
      <c r="BE29" s="63"/>
      <c r="BF29" s="63"/>
      <c r="BG29" s="63"/>
    </row>
    <row r="30" spans="1:59" s="61" customFormat="1" ht="14.25" customHeight="1">
      <c r="A30" s="521"/>
      <c r="B30" s="522"/>
      <c r="C30" s="522"/>
      <c r="D30" s="522"/>
      <c r="E30" s="522"/>
      <c r="F30" s="522"/>
      <c r="G30" s="522"/>
      <c r="H30" s="522"/>
      <c r="I30" s="522"/>
      <c r="J30" s="522"/>
      <c r="K30" s="522"/>
      <c r="L30" s="522"/>
      <c r="M30" s="522"/>
      <c r="N30" s="522"/>
      <c r="O30" s="522"/>
      <c r="P30" s="522"/>
      <c r="Q30" s="522"/>
      <c r="R30" s="522"/>
      <c r="S30" s="522"/>
      <c r="T30" s="522"/>
      <c r="U30" s="522"/>
      <c r="V30" s="523">
        <f>H42</f>
        <v>0</v>
      </c>
      <c r="W30" s="522"/>
      <c r="X30" s="522"/>
      <c r="Y30" s="522"/>
      <c r="Z30" s="522"/>
      <c r="AA30" s="521"/>
      <c r="AB30" s="522"/>
      <c r="AC30" s="522"/>
      <c r="AD30" s="522"/>
      <c r="AE30" s="522"/>
      <c r="AF30" s="522"/>
      <c r="AG30" s="522"/>
      <c r="AH30" s="522"/>
      <c r="AI30" s="522"/>
      <c r="AJ30" s="522"/>
      <c r="AK30" s="522"/>
      <c r="AL30" s="522"/>
      <c r="AM30" s="522"/>
      <c r="AN30" s="522"/>
      <c r="AO30" s="522"/>
      <c r="AP30" s="522"/>
      <c r="AQ30" s="522"/>
      <c r="AR30" s="522"/>
      <c r="AS30" s="522"/>
      <c r="AT30" s="522"/>
      <c r="AU30" s="522"/>
      <c r="AV30" s="522"/>
      <c r="AW30" s="522"/>
      <c r="AX30" s="522"/>
      <c r="AY30" s="522"/>
      <c r="AZ30" s="551"/>
      <c r="BB30" s="63"/>
      <c r="BC30" s="63">
        <v>29</v>
      </c>
      <c r="BD30" s="63"/>
      <c r="BE30" s="63"/>
      <c r="BF30" s="63"/>
      <c r="BG30" s="63"/>
    </row>
    <row r="31" spans="1:59" s="61" customFormat="1" ht="14.25" customHeight="1">
      <c r="A31" s="524"/>
      <c r="B31" s="525"/>
      <c r="C31" s="525"/>
      <c r="D31" s="525"/>
      <c r="E31" s="525"/>
      <c r="F31" s="525"/>
      <c r="G31" s="525"/>
      <c r="H31" s="525"/>
      <c r="I31" s="525"/>
      <c r="J31" s="525"/>
      <c r="K31" s="525"/>
      <c r="L31" s="525"/>
      <c r="M31" s="525"/>
      <c r="N31" s="525"/>
      <c r="O31" s="525"/>
      <c r="P31" s="525"/>
      <c r="Q31" s="525"/>
      <c r="R31" s="525"/>
      <c r="S31" s="525"/>
      <c r="T31" s="525"/>
      <c r="U31" s="525"/>
      <c r="V31" s="526">
        <f>H41</f>
        <v>0</v>
      </c>
      <c r="W31" s="525"/>
      <c r="X31" s="525"/>
      <c r="Y31" s="525"/>
      <c r="Z31" s="525"/>
      <c r="AA31" s="524"/>
      <c r="AB31" s="525"/>
      <c r="AC31" s="525"/>
      <c r="AD31" s="525"/>
      <c r="AE31" s="525"/>
      <c r="AF31" s="525"/>
      <c r="AG31" s="525"/>
      <c r="AH31" s="525"/>
      <c r="AI31" s="525"/>
      <c r="AJ31" s="525"/>
      <c r="AK31" s="525"/>
      <c r="AL31" s="525"/>
      <c r="AM31" s="525"/>
      <c r="AN31" s="525"/>
      <c r="AO31" s="525"/>
      <c r="AP31" s="525"/>
      <c r="AQ31" s="525"/>
      <c r="AR31" s="525"/>
      <c r="AS31" s="525"/>
      <c r="AV31" s="588">
        <v>7</v>
      </c>
      <c r="AW31" s="525"/>
      <c r="AX31" s="525"/>
      <c r="AY31" s="525"/>
      <c r="AZ31" s="552"/>
      <c r="BB31" s="63"/>
      <c r="BC31" s="63">
        <v>30</v>
      </c>
      <c r="BD31" s="63"/>
      <c r="BE31" s="63"/>
      <c r="BF31" s="63"/>
      <c r="BG31" s="63"/>
    </row>
    <row r="32" spans="1:59" ht="14.25" customHeight="1">
      <c r="A32" s="511"/>
      <c r="B32" s="512"/>
      <c r="C32" s="512"/>
      <c r="D32" s="512"/>
      <c r="E32" s="512"/>
      <c r="F32" s="512"/>
      <c r="G32" s="512"/>
      <c r="H32" s="512"/>
      <c r="I32" s="512"/>
      <c r="J32" s="512"/>
      <c r="K32" s="512"/>
      <c r="L32" s="512"/>
      <c r="M32" s="512"/>
      <c r="N32" s="512"/>
      <c r="O32" s="512"/>
      <c r="P32" s="512"/>
      <c r="Q32" s="512"/>
      <c r="R32" s="512"/>
      <c r="S32" s="512"/>
      <c r="T32" s="512"/>
      <c r="U32" s="512"/>
      <c r="V32" s="526">
        <f>H38</f>
        <v>0</v>
      </c>
      <c r="W32" s="512"/>
      <c r="X32" s="512"/>
      <c r="Y32" s="512"/>
      <c r="Z32" s="512"/>
      <c r="AA32" s="511"/>
      <c r="AB32" s="512"/>
      <c r="AC32" s="512"/>
      <c r="AD32" s="512"/>
      <c r="AE32" s="512"/>
      <c r="AF32" s="512"/>
      <c r="AG32" s="512"/>
      <c r="AH32" s="512"/>
      <c r="AI32" s="512"/>
      <c r="AJ32" s="512"/>
      <c r="AK32" s="512"/>
      <c r="AL32" s="512"/>
      <c r="AM32" s="512"/>
      <c r="AN32" s="512"/>
      <c r="AO32" s="512"/>
      <c r="AP32" s="512"/>
      <c r="AQ32" s="512"/>
      <c r="AR32" s="512"/>
      <c r="AS32" s="512"/>
      <c r="AV32" s="588">
        <v>2</v>
      </c>
      <c r="AW32" s="512"/>
      <c r="AX32" s="512"/>
      <c r="AY32" s="512"/>
      <c r="AZ32" s="517"/>
      <c r="BB32" s="63"/>
      <c r="BC32" s="63">
        <v>31</v>
      </c>
      <c r="BD32" s="63"/>
      <c r="BE32" s="63"/>
      <c r="BF32" s="63"/>
      <c r="BG32" s="63"/>
    </row>
    <row r="33" spans="1:59" ht="14.25" customHeight="1">
      <c r="A33" s="2625" t="s">
        <v>2873</v>
      </c>
      <c r="B33" s="2626"/>
      <c r="C33" s="2626"/>
      <c r="D33" s="2626"/>
      <c r="E33" s="2626"/>
      <c r="F33" s="2626"/>
      <c r="G33" s="2626"/>
      <c r="H33" s="2626"/>
      <c r="I33" s="2626"/>
      <c r="J33" s="2626"/>
      <c r="K33" s="2626"/>
      <c r="L33" s="2626"/>
      <c r="M33" s="2626"/>
      <c r="N33" s="2626"/>
      <c r="O33" s="2626"/>
      <c r="P33" s="2626"/>
      <c r="Q33" s="2626"/>
      <c r="R33" s="2626"/>
      <c r="S33" s="2626"/>
      <c r="T33" s="2626"/>
      <c r="U33" s="527"/>
      <c r="V33" s="623">
        <f>H37</f>
        <v>0</v>
      </c>
      <c r="W33" s="2626" t="s">
        <v>2817</v>
      </c>
      <c r="X33" s="2626"/>
      <c r="Y33" s="2626"/>
      <c r="Z33" s="527"/>
      <c r="AA33" s="2642" t="s">
        <v>2964</v>
      </c>
      <c r="AB33" s="2055"/>
      <c r="AC33" s="2055"/>
      <c r="AD33" s="2055"/>
      <c r="AE33" s="2055"/>
      <c r="AF33" s="2055"/>
      <c r="AG33" s="2055"/>
      <c r="AH33" s="2055"/>
      <c r="AI33" s="2055"/>
      <c r="AJ33" s="2055"/>
      <c r="AK33" s="2055"/>
      <c r="AL33" s="2055"/>
      <c r="AM33" s="2055"/>
      <c r="AN33" s="2055"/>
      <c r="AO33" s="2055"/>
      <c r="AP33" s="2055"/>
      <c r="AQ33" s="2055"/>
      <c r="AR33" s="2055"/>
      <c r="AS33" s="2055"/>
      <c r="AT33" s="2055"/>
      <c r="AV33" s="527">
        <v>1</v>
      </c>
      <c r="AW33" s="2626" t="s">
        <v>2817</v>
      </c>
      <c r="AX33" s="2626"/>
      <c r="AY33" s="2626"/>
      <c r="AZ33" s="554"/>
      <c r="BB33" s="63"/>
      <c r="BC33" s="63"/>
      <c r="BD33" s="63"/>
      <c r="BE33" s="63"/>
      <c r="BF33" s="63"/>
      <c r="BG33" s="63"/>
    </row>
    <row r="34" spans="1:59" ht="14.25" customHeight="1">
      <c r="A34" s="2638" t="s">
        <v>268</v>
      </c>
      <c r="B34" s="2639"/>
      <c r="C34" s="2639"/>
      <c r="D34" s="2639"/>
      <c r="E34" s="2639"/>
      <c r="F34" s="2639"/>
      <c r="G34" s="2639"/>
      <c r="H34" s="2639"/>
      <c r="I34" s="2639"/>
      <c r="J34" s="2639"/>
      <c r="K34" s="2639"/>
      <c r="L34" s="2639"/>
      <c r="M34" s="2639"/>
      <c r="N34" s="2639"/>
      <c r="O34" s="2639"/>
      <c r="P34" s="2639"/>
      <c r="Q34" s="2639"/>
      <c r="R34" s="2639"/>
      <c r="S34" s="512"/>
      <c r="T34" s="512"/>
      <c r="U34" s="512"/>
      <c r="V34" s="526">
        <f>H39</f>
        <v>0</v>
      </c>
      <c r="W34" s="512"/>
      <c r="X34" s="512"/>
      <c r="Y34" s="512"/>
      <c r="Z34" s="512"/>
      <c r="AA34" s="2638" t="s">
        <v>268</v>
      </c>
      <c r="AB34" s="2639"/>
      <c r="AC34" s="2639"/>
      <c r="AD34" s="2639"/>
      <c r="AE34" s="2639"/>
      <c r="AF34" s="2639"/>
      <c r="AG34" s="2639"/>
      <c r="AH34" s="2639"/>
      <c r="AI34" s="2639"/>
      <c r="AJ34" s="2639"/>
      <c r="AK34" s="2639"/>
      <c r="AL34" s="2639"/>
      <c r="AM34" s="2639"/>
      <c r="AN34" s="2639"/>
      <c r="AO34" s="512"/>
      <c r="AP34" s="512"/>
      <c r="AQ34" s="512"/>
      <c r="AR34" s="512"/>
      <c r="AS34" s="512"/>
      <c r="AV34" s="588">
        <v>4</v>
      </c>
      <c r="AW34" s="512"/>
      <c r="AX34" s="512"/>
      <c r="AY34" s="512"/>
      <c r="AZ34" s="517"/>
      <c r="BB34" s="63"/>
      <c r="BC34" s="63"/>
      <c r="BD34" s="63"/>
      <c r="BE34" s="63"/>
      <c r="BF34" s="63"/>
      <c r="BG34" s="63"/>
    </row>
    <row r="35" spans="1:59" ht="14.25" customHeight="1">
      <c r="A35" s="528"/>
      <c r="B35" s="529"/>
      <c r="C35" s="529"/>
      <c r="D35" s="530"/>
      <c r="E35" s="530"/>
      <c r="F35" s="530"/>
      <c r="G35" s="530"/>
      <c r="H35" s="530"/>
      <c r="I35" s="530"/>
      <c r="J35" s="530"/>
      <c r="K35" s="530"/>
      <c r="L35" s="529"/>
      <c r="M35" s="2626" t="s">
        <v>269</v>
      </c>
      <c r="N35" s="2626"/>
      <c r="O35" s="2626"/>
      <c r="P35" s="2626"/>
      <c r="Q35" s="2626"/>
      <c r="R35" s="529"/>
      <c r="S35" s="529"/>
      <c r="T35" s="529"/>
      <c r="U35" s="529"/>
      <c r="V35" s="526">
        <f>H40</f>
        <v>0</v>
      </c>
      <c r="W35" s="529"/>
      <c r="X35" s="529"/>
      <c r="Y35" s="529"/>
      <c r="Z35" s="529"/>
      <c r="AA35" s="528"/>
      <c r="AB35" s="529"/>
      <c r="AC35" s="529"/>
      <c r="AD35" s="529"/>
      <c r="AE35" s="529"/>
      <c r="AF35" s="529"/>
      <c r="AG35" s="529"/>
      <c r="AH35" s="529"/>
      <c r="AI35" s="529"/>
      <c r="AJ35" s="529"/>
      <c r="AK35" s="529"/>
      <c r="AL35" s="529"/>
      <c r="AM35" s="2626" t="s">
        <v>269</v>
      </c>
      <c r="AN35" s="2626"/>
      <c r="AO35" s="2626"/>
      <c r="AP35" s="2626"/>
      <c r="AQ35" s="2626"/>
      <c r="AR35" s="529"/>
      <c r="AS35" s="529"/>
      <c r="AT35" s="529"/>
      <c r="AU35" s="529"/>
      <c r="AV35" s="531">
        <f>AH40</f>
        <v>0</v>
      </c>
      <c r="AW35" s="529"/>
      <c r="AX35" s="529"/>
      <c r="AY35" s="529"/>
      <c r="AZ35" s="553"/>
      <c r="BB35" s="63"/>
      <c r="BC35" s="63"/>
      <c r="BD35" s="63"/>
      <c r="BE35" s="63"/>
      <c r="BF35" s="63"/>
      <c r="BG35" s="63"/>
    </row>
    <row r="36" spans="1:59" ht="14.25" customHeight="1">
      <c r="A36" s="532"/>
      <c r="B36" s="530"/>
      <c r="C36" s="530"/>
      <c r="D36" s="530"/>
      <c r="E36" s="530"/>
      <c r="F36" s="530"/>
      <c r="G36" s="530"/>
      <c r="H36" s="530"/>
      <c r="I36" s="530"/>
      <c r="J36" s="530"/>
      <c r="K36" s="530"/>
      <c r="L36" s="529"/>
      <c r="M36" s="2626"/>
      <c r="N36" s="2626"/>
      <c r="O36" s="2626"/>
      <c r="P36" s="2626"/>
      <c r="Q36" s="2626"/>
      <c r="R36" s="2636">
        <f>R39*W39+R41*W41+R43*W43+R45*W45+R47*W47+R49*W49</f>
        <v>0</v>
      </c>
      <c r="S36" s="2636"/>
      <c r="T36" s="2636"/>
      <c r="U36" s="2636"/>
      <c r="V36" s="2636"/>
      <c r="W36" s="2636"/>
      <c r="X36" s="2636"/>
      <c r="Y36" s="527"/>
      <c r="Z36" s="527"/>
      <c r="AA36" s="528"/>
      <c r="AB36" s="529"/>
      <c r="AC36" s="529"/>
      <c r="AD36" s="529"/>
      <c r="AE36" s="529"/>
      <c r="AF36" s="529"/>
      <c r="AG36" s="529"/>
      <c r="AH36" s="529"/>
      <c r="AI36" s="529"/>
      <c r="AJ36" s="529"/>
      <c r="AK36" s="529"/>
      <c r="AL36" s="529"/>
      <c r="AM36" s="2626"/>
      <c r="AN36" s="2626"/>
      <c r="AO36" s="2626"/>
      <c r="AP36" s="2626"/>
      <c r="AQ36" s="2626"/>
      <c r="AR36" s="2640">
        <f>AR39*AW39+AR41*AW41+AR43*AW43+AR45*AW45+AR47*AW47+AR49*AW49</f>
        <v>3630</v>
      </c>
      <c r="AS36" s="2640"/>
      <c r="AT36" s="2640"/>
      <c r="AU36" s="2640"/>
      <c r="AV36" s="2640"/>
      <c r="AW36" s="2640"/>
      <c r="AX36" s="2640"/>
      <c r="AY36" s="527"/>
      <c r="AZ36" s="554"/>
    </row>
    <row r="37" spans="1:59" ht="14.25" customHeight="1" thickBot="1">
      <c r="A37" s="532"/>
      <c r="B37" s="533"/>
      <c r="C37" s="533" t="s">
        <v>2824</v>
      </c>
      <c r="D37" s="533">
        <f>IF(OR(H22="",H22=0),0,1)</f>
        <v>0</v>
      </c>
      <c r="E37" s="533"/>
      <c r="F37" s="533"/>
      <c r="G37" s="533">
        <v>1</v>
      </c>
      <c r="H37" s="533">
        <f t="shared" ref="H37:H42" si="1">LARGE($D$37:$D$42,ROW(A1))</f>
        <v>0</v>
      </c>
      <c r="I37" s="533"/>
      <c r="J37" s="533"/>
      <c r="K37" s="530"/>
      <c r="L37" s="529"/>
      <c r="M37" s="527"/>
      <c r="N37" s="527"/>
      <c r="O37" s="527"/>
      <c r="P37" s="527"/>
      <c r="Q37" s="527"/>
      <c r="R37" s="2637"/>
      <c r="S37" s="2637"/>
      <c r="T37" s="2637"/>
      <c r="U37" s="2637"/>
      <c r="V37" s="2637"/>
      <c r="W37" s="2637"/>
      <c r="X37" s="2637"/>
      <c r="Y37" s="534" t="s">
        <v>270</v>
      </c>
      <c r="Z37" s="527"/>
      <c r="AA37" s="528"/>
      <c r="AB37" s="529"/>
      <c r="AC37" s="529"/>
      <c r="AD37" s="529"/>
      <c r="AE37" s="529"/>
      <c r="AF37" s="529"/>
      <c r="AG37" s="529"/>
      <c r="AH37" s="529"/>
      <c r="AI37" s="529"/>
      <c r="AJ37" s="529"/>
      <c r="AK37" s="529"/>
      <c r="AL37" s="529"/>
      <c r="AM37" s="527"/>
      <c r="AN37" s="527"/>
      <c r="AO37" s="527"/>
      <c r="AP37" s="527"/>
      <c r="AQ37" s="527"/>
      <c r="AR37" s="2641"/>
      <c r="AS37" s="2641"/>
      <c r="AT37" s="2641"/>
      <c r="AU37" s="2641"/>
      <c r="AV37" s="2641"/>
      <c r="AW37" s="2641"/>
      <c r="AX37" s="2641"/>
      <c r="AY37" s="534" t="s">
        <v>270</v>
      </c>
      <c r="AZ37" s="554"/>
    </row>
    <row r="38" spans="1:59" ht="14.25" customHeight="1">
      <c r="A38" s="532"/>
      <c r="B38" s="533"/>
      <c r="C38" s="533" t="s">
        <v>2825</v>
      </c>
      <c r="D38" s="533">
        <f>IF(OR(H23="",H23=0),0,2)</f>
        <v>0</v>
      </c>
      <c r="E38" s="533"/>
      <c r="F38" s="533"/>
      <c r="G38" s="533">
        <v>2</v>
      </c>
      <c r="H38" s="533">
        <f t="shared" si="1"/>
        <v>0</v>
      </c>
      <c r="I38" s="533"/>
      <c r="J38" s="533"/>
      <c r="K38" s="530"/>
      <c r="L38" s="529"/>
      <c r="M38" s="527"/>
      <c r="N38" s="2055" t="s">
        <v>271</v>
      </c>
      <c r="O38" s="2055"/>
      <c r="P38" s="2055"/>
      <c r="Q38" s="2055"/>
      <c r="R38" s="2055"/>
      <c r="S38" s="2055"/>
      <c r="T38" s="2055"/>
      <c r="U38" s="2055"/>
      <c r="V38" s="2055"/>
      <c r="W38" s="2055"/>
      <c r="X38" s="2055"/>
      <c r="Y38" s="2055"/>
      <c r="Z38" s="527"/>
      <c r="AA38" s="528"/>
      <c r="AB38" s="529"/>
      <c r="AC38" s="529"/>
      <c r="AD38" s="529"/>
      <c r="AE38" s="529"/>
      <c r="AF38" s="529"/>
      <c r="AG38" s="529"/>
      <c r="AH38" s="529"/>
      <c r="AI38" s="529"/>
      <c r="AJ38" s="529"/>
      <c r="AK38" s="529"/>
      <c r="AL38" s="529"/>
      <c r="AM38" s="527"/>
      <c r="AN38" s="2055" t="s">
        <v>271</v>
      </c>
      <c r="AO38" s="2055"/>
      <c r="AP38" s="2055"/>
      <c r="AQ38" s="2055"/>
      <c r="AR38" s="2055"/>
      <c r="AS38" s="2055"/>
      <c r="AT38" s="2055"/>
      <c r="AU38" s="2055"/>
      <c r="AV38" s="2055"/>
      <c r="AW38" s="2055"/>
      <c r="AX38" s="2055"/>
      <c r="AY38" s="2055"/>
      <c r="AZ38" s="554"/>
    </row>
    <row r="39" spans="1:59" ht="14.25" customHeight="1">
      <c r="A39" s="532"/>
      <c r="B39" s="535"/>
      <c r="C39" s="535" t="s">
        <v>2826</v>
      </c>
      <c r="D39" s="533">
        <f>IF(OR(H24="",H24=0),0,3)</f>
        <v>0</v>
      </c>
      <c r="E39" s="535"/>
      <c r="F39" s="535"/>
      <c r="G39" s="535">
        <v>3</v>
      </c>
      <c r="H39" s="533">
        <f t="shared" si="1"/>
        <v>0</v>
      </c>
      <c r="I39" s="535"/>
      <c r="J39" s="535"/>
      <c r="K39" s="332"/>
      <c r="L39" s="2622">
        <f>IF(OR(W39="",W39=0),0,'05 利用者名簿'!CN3)</f>
        <v>0</v>
      </c>
      <c r="M39" s="2622"/>
      <c r="N39" s="2622"/>
      <c r="O39" s="2622"/>
      <c r="P39" s="2622"/>
      <c r="Q39" s="536"/>
      <c r="R39" s="2634">
        <f>IF(OR(W39="",W39=0),0,'05 利用者名簿'!CQ3)</f>
        <v>0</v>
      </c>
      <c r="S39" s="2634"/>
      <c r="T39" s="2634"/>
      <c r="U39" s="527"/>
      <c r="V39" s="527"/>
      <c r="W39" s="2633">
        <f>'05 利用者名簿'!CO3</f>
        <v>0</v>
      </c>
      <c r="X39" s="2633"/>
      <c r="Y39" s="527"/>
      <c r="Z39" s="527"/>
      <c r="AA39" s="528"/>
      <c r="AB39" s="527"/>
      <c r="AC39" s="527"/>
      <c r="AD39" s="527"/>
      <c r="AE39" s="527"/>
      <c r="AF39" s="527"/>
      <c r="AG39" s="527"/>
      <c r="AH39" s="527"/>
      <c r="AI39" s="527"/>
      <c r="AJ39" s="527"/>
      <c r="AK39" s="529"/>
      <c r="AL39" s="2622" t="s">
        <v>2870</v>
      </c>
      <c r="AM39" s="2622"/>
      <c r="AN39" s="2622"/>
      <c r="AO39" s="2622"/>
      <c r="AP39" s="2622"/>
      <c r="AQ39" s="536"/>
      <c r="AR39" s="2635">
        <v>330</v>
      </c>
      <c r="AS39" s="2635"/>
      <c r="AT39" s="2635"/>
      <c r="AU39" s="527"/>
      <c r="AV39" s="527"/>
      <c r="AW39" s="2635">
        <v>9</v>
      </c>
      <c r="AX39" s="2635"/>
      <c r="AY39" s="527"/>
      <c r="AZ39" s="554"/>
    </row>
    <row r="40" spans="1:59" ht="14.25" customHeight="1">
      <c r="A40" s="532"/>
      <c r="B40" s="535"/>
      <c r="C40" s="535" t="s">
        <v>2827</v>
      </c>
      <c r="D40" s="533">
        <f>IF(OR(H25="",H25=0),0,4)</f>
        <v>0</v>
      </c>
      <c r="E40" s="535"/>
      <c r="F40" s="535"/>
      <c r="G40" s="535">
        <v>4</v>
      </c>
      <c r="H40" s="533">
        <f t="shared" si="1"/>
        <v>0</v>
      </c>
      <c r="I40" s="535"/>
      <c r="J40" s="535"/>
      <c r="K40" s="332"/>
      <c r="L40" s="2622"/>
      <c r="M40" s="2622"/>
      <c r="N40" s="2622"/>
      <c r="O40" s="2622"/>
      <c r="P40" s="2622"/>
      <c r="Q40" s="322" t="s">
        <v>318</v>
      </c>
      <c r="R40" s="2621"/>
      <c r="S40" s="2621"/>
      <c r="T40" s="2621"/>
      <c r="U40" s="322" t="s">
        <v>270</v>
      </c>
      <c r="V40" s="322" t="s">
        <v>319</v>
      </c>
      <c r="W40" s="2619"/>
      <c r="X40" s="2619"/>
      <c r="Y40" s="322" t="s">
        <v>32</v>
      </c>
      <c r="Z40" s="529"/>
      <c r="AA40" s="528"/>
      <c r="AB40" s="527"/>
      <c r="AC40" s="527"/>
      <c r="AD40" s="527"/>
      <c r="AE40" s="527"/>
      <c r="AF40" s="527"/>
      <c r="AG40" s="527"/>
      <c r="AH40" s="527"/>
      <c r="AI40" s="527"/>
      <c r="AJ40" s="527"/>
      <c r="AK40" s="529"/>
      <c r="AL40" s="2622"/>
      <c r="AM40" s="2622"/>
      <c r="AN40" s="2622"/>
      <c r="AO40" s="2622"/>
      <c r="AP40" s="2622"/>
      <c r="AQ40" s="322" t="s">
        <v>272</v>
      </c>
      <c r="AR40" s="2632"/>
      <c r="AS40" s="2632"/>
      <c r="AT40" s="2632"/>
      <c r="AU40" s="322" t="s">
        <v>270</v>
      </c>
      <c r="AV40" s="322" t="s">
        <v>122</v>
      </c>
      <c r="AW40" s="2632"/>
      <c r="AX40" s="2632"/>
      <c r="AY40" s="322" t="s">
        <v>32</v>
      </c>
      <c r="AZ40" s="553"/>
    </row>
    <row r="41" spans="1:59" ht="14.25" customHeight="1">
      <c r="A41" s="532"/>
      <c r="B41" s="535"/>
      <c r="C41" s="535" t="s">
        <v>2828</v>
      </c>
      <c r="D41" s="533">
        <f>IF(OR(H26="",H26=0),0,5)</f>
        <v>0</v>
      </c>
      <c r="E41" s="535"/>
      <c r="F41" s="535"/>
      <c r="G41" s="535">
        <v>5</v>
      </c>
      <c r="H41" s="533">
        <f t="shared" si="1"/>
        <v>0</v>
      </c>
      <c r="I41" s="535"/>
      <c r="J41" s="535"/>
      <c r="K41" s="332"/>
      <c r="L41" s="2622">
        <f>IF(OR(W41="",W41=0),0,'05 利用者名簿'!CN4)</f>
        <v>0</v>
      </c>
      <c r="M41" s="2622"/>
      <c r="N41" s="2622"/>
      <c r="O41" s="2622"/>
      <c r="P41" s="2622"/>
      <c r="Q41" s="537"/>
      <c r="R41" s="2620">
        <f>IF(OR(W41="",W41=0),0,'05 利用者名簿'!CQ4)</f>
        <v>0</v>
      </c>
      <c r="S41" s="2620"/>
      <c r="T41" s="2620"/>
      <c r="U41" s="537"/>
      <c r="V41" s="537"/>
      <c r="W41" s="2618">
        <f>'05 利用者名簿'!CO4</f>
        <v>0</v>
      </c>
      <c r="X41" s="2618"/>
      <c r="Y41" s="537"/>
      <c r="Z41" s="529"/>
      <c r="AA41" s="528"/>
      <c r="AB41" s="527"/>
      <c r="AC41" s="527"/>
      <c r="AD41" s="527"/>
      <c r="AE41" s="527"/>
      <c r="AF41" s="527"/>
      <c r="AG41" s="527"/>
      <c r="AH41" s="527"/>
      <c r="AI41" s="527"/>
      <c r="AJ41" s="527"/>
      <c r="AK41" s="529"/>
      <c r="AL41" s="2622" t="s">
        <v>2871</v>
      </c>
      <c r="AM41" s="2622"/>
      <c r="AN41" s="2622"/>
      <c r="AO41" s="2622"/>
      <c r="AP41" s="2622"/>
      <c r="AQ41" s="537"/>
      <c r="AR41" s="2631">
        <v>330</v>
      </c>
      <c r="AS41" s="2631"/>
      <c r="AT41" s="2631"/>
      <c r="AU41" s="537"/>
      <c r="AV41" s="537"/>
      <c r="AW41" s="2631">
        <v>1</v>
      </c>
      <c r="AX41" s="2631"/>
      <c r="AY41" s="537"/>
      <c r="AZ41" s="553"/>
    </row>
    <row r="42" spans="1:59" ht="14.25" customHeight="1">
      <c r="A42" s="532"/>
      <c r="B42" s="535"/>
      <c r="C42" s="535" t="s">
        <v>2829</v>
      </c>
      <c r="D42" s="533">
        <f>IF(OR(H27="",H27=0),0,7)</f>
        <v>0</v>
      </c>
      <c r="E42" s="535"/>
      <c r="F42" s="535"/>
      <c r="G42" s="535">
        <v>7</v>
      </c>
      <c r="H42" s="533">
        <f t="shared" si="1"/>
        <v>0</v>
      </c>
      <c r="I42" s="535"/>
      <c r="J42" s="535"/>
      <c r="K42" s="332"/>
      <c r="L42" s="2622"/>
      <c r="M42" s="2622"/>
      <c r="N42" s="2622"/>
      <c r="O42" s="2622"/>
      <c r="P42" s="2622"/>
      <c r="Q42" s="322" t="s">
        <v>318</v>
      </c>
      <c r="R42" s="2621"/>
      <c r="S42" s="2621"/>
      <c r="T42" s="2621"/>
      <c r="U42" s="322" t="s">
        <v>270</v>
      </c>
      <c r="V42" s="322" t="s">
        <v>122</v>
      </c>
      <c r="W42" s="2619"/>
      <c r="X42" s="2619"/>
      <c r="Y42" s="322" t="s">
        <v>32</v>
      </c>
      <c r="Z42" s="529"/>
      <c r="AA42" s="528"/>
      <c r="AB42" s="527"/>
      <c r="AC42" s="527"/>
      <c r="AD42" s="527"/>
      <c r="AE42" s="527"/>
      <c r="AF42" s="527"/>
      <c r="AG42" s="527"/>
      <c r="AH42" s="527"/>
      <c r="AI42" s="527"/>
      <c r="AJ42" s="527"/>
      <c r="AK42" s="529"/>
      <c r="AL42" s="2622"/>
      <c r="AM42" s="2622"/>
      <c r="AN42" s="2622"/>
      <c r="AO42" s="2622"/>
      <c r="AP42" s="2622"/>
      <c r="AQ42" s="322" t="s">
        <v>272</v>
      </c>
      <c r="AR42" s="2632"/>
      <c r="AS42" s="2632"/>
      <c r="AT42" s="2632"/>
      <c r="AU42" s="322" t="s">
        <v>270</v>
      </c>
      <c r="AV42" s="322" t="s">
        <v>122</v>
      </c>
      <c r="AW42" s="2632"/>
      <c r="AX42" s="2632"/>
      <c r="AY42" s="322" t="s">
        <v>32</v>
      </c>
      <c r="AZ42" s="553"/>
    </row>
    <row r="43" spans="1:59" ht="14.25" customHeight="1">
      <c r="A43" s="532"/>
      <c r="B43" s="535"/>
      <c r="C43" s="535"/>
      <c r="D43" s="535"/>
      <c r="E43" s="535"/>
      <c r="F43" s="535"/>
      <c r="G43" s="535"/>
      <c r="H43" s="535"/>
      <c r="I43" s="535"/>
      <c r="J43" s="535"/>
      <c r="K43" s="332"/>
      <c r="L43" s="2622">
        <f>IF(OR(W43="",W43=0),0,'05 利用者名簿'!CN5)</f>
        <v>0</v>
      </c>
      <c r="M43" s="2622"/>
      <c r="N43" s="2622"/>
      <c r="O43" s="2622"/>
      <c r="P43" s="2622"/>
      <c r="Q43" s="537"/>
      <c r="R43" s="2620">
        <f>IF(OR(W43="",W43=0),0,'05 利用者名簿'!CQ5)</f>
        <v>0</v>
      </c>
      <c r="S43" s="2620"/>
      <c r="T43" s="2620"/>
      <c r="U43" s="537"/>
      <c r="V43" s="537"/>
      <c r="W43" s="2618">
        <f>'05 利用者名簿'!CO5</f>
        <v>0</v>
      </c>
      <c r="X43" s="2618"/>
      <c r="Y43" s="537"/>
      <c r="Z43" s="529"/>
      <c r="AA43" s="528"/>
      <c r="AB43" s="527"/>
      <c r="AC43" s="527"/>
      <c r="AD43" s="527"/>
      <c r="AE43" s="527"/>
      <c r="AF43" s="527"/>
      <c r="AG43" s="527"/>
      <c r="AH43" s="527"/>
      <c r="AI43" s="527"/>
      <c r="AJ43" s="527"/>
      <c r="AK43" s="529"/>
      <c r="AL43" s="2622" t="s">
        <v>2872</v>
      </c>
      <c r="AM43" s="2622"/>
      <c r="AN43" s="2622"/>
      <c r="AO43" s="2622"/>
      <c r="AP43" s="2622"/>
      <c r="AQ43" s="537"/>
      <c r="AR43" s="2631">
        <v>330</v>
      </c>
      <c r="AS43" s="2631"/>
      <c r="AT43" s="2631"/>
      <c r="AU43" s="537"/>
      <c r="AV43" s="537"/>
      <c r="AW43" s="2631">
        <v>1</v>
      </c>
      <c r="AX43" s="2631"/>
      <c r="AY43" s="537"/>
      <c r="AZ43" s="553"/>
    </row>
    <row r="44" spans="1:59" ht="14.25" customHeight="1">
      <c r="A44" s="532"/>
      <c r="B44" s="535"/>
      <c r="C44" s="535"/>
      <c r="D44" s="535"/>
      <c r="E44" s="535"/>
      <c r="F44" s="535"/>
      <c r="G44" s="535"/>
      <c r="H44" s="535"/>
      <c r="I44" s="535"/>
      <c r="J44" s="535"/>
      <c r="K44" s="332"/>
      <c r="L44" s="2622"/>
      <c r="M44" s="2622"/>
      <c r="N44" s="2622"/>
      <c r="O44" s="2622"/>
      <c r="P44" s="2622"/>
      <c r="Q44" s="322" t="s">
        <v>318</v>
      </c>
      <c r="R44" s="2621"/>
      <c r="S44" s="2621"/>
      <c r="T44" s="2621"/>
      <c r="U44" s="322" t="s">
        <v>270</v>
      </c>
      <c r="V44" s="322" t="s">
        <v>319</v>
      </c>
      <c r="W44" s="2619"/>
      <c r="X44" s="2619"/>
      <c r="Y44" s="322" t="s">
        <v>32</v>
      </c>
      <c r="Z44" s="529"/>
      <c r="AA44" s="528"/>
      <c r="AB44" s="527"/>
      <c r="AC44" s="527"/>
      <c r="AD44" s="527"/>
      <c r="AE44" s="527"/>
      <c r="AF44" s="527"/>
      <c r="AG44" s="527"/>
      <c r="AH44" s="527"/>
      <c r="AI44" s="527"/>
      <c r="AJ44" s="527"/>
      <c r="AK44" s="529"/>
      <c r="AL44" s="2622"/>
      <c r="AM44" s="2622"/>
      <c r="AN44" s="2622"/>
      <c r="AO44" s="2622"/>
      <c r="AP44" s="2622"/>
      <c r="AQ44" s="322" t="s">
        <v>272</v>
      </c>
      <c r="AR44" s="2632"/>
      <c r="AS44" s="2632"/>
      <c r="AT44" s="2632"/>
      <c r="AU44" s="322" t="s">
        <v>270</v>
      </c>
      <c r="AV44" s="322" t="s">
        <v>122</v>
      </c>
      <c r="AW44" s="2632"/>
      <c r="AX44" s="2632"/>
      <c r="AY44" s="322" t="s">
        <v>32</v>
      </c>
      <c r="AZ44" s="553"/>
    </row>
    <row r="45" spans="1:59" ht="14.25" customHeight="1">
      <c r="A45" s="528"/>
      <c r="B45" s="345"/>
      <c r="C45" s="345"/>
      <c r="D45" s="332"/>
      <c r="E45" s="332"/>
      <c r="F45" s="332"/>
      <c r="G45" s="332"/>
      <c r="H45" s="332"/>
      <c r="I45" s="332"/>
      <c r="J45" s="332"/>
      <c r="K45" s="332"/>
      <c r="L45" s="2622">
        <f>IF(OR(W45="",W45=0),0,'05 利用者名簿'!CN6)</f>
        <v>0</v>
      </c>
      <c r="M45" s="2622"/>
      <c r="N45" s="2622"/>
      <c r="O45" s="2622"/>
      <c r="P45" s="2622"/>
      <c r="Q45" s="537"/>
      <c r="R45" s="2620">
        <f>IF(OR(W45="",W45=0),0,'05 利用者名簿'!CQ6)</f>
        <v>0</v>
      </c>
      <c r="S45" s="2620"/>
      <c r="T45" s="2620"/>
      <c r="U45" s="537"/>
      <c r="V45" s="537"/>
      <c r="W45" s="2618">
        <f>'05 利用者名簿'!CO6</f>
        <v>0</v>
      </c>
      <c r="X45" s="2618"/>
      <c r="Y45" s="537"/>
      <c r="Z45" s="529"/>
      <c r="AA45" s="528"/>
      <c r="AB45" s="345"/>
      <c r="AC45" s="345"/>
      <c r="AD45" s="345"/>
      <c r="AE45" s="345"/>
      <c r="AF45" s="345"/>
      <c r="AG45" s="345"/>
      <c r="AH45" s="345"/>
      <c r="AI45" s="345"/>
      <c r="AJ45" s="345"/>
      <c r="AK45" s="529"/>
      <c r="AL45" s="2622">
        <f>IF(OR(AW45="",AW45=0),0,'05 利用者名簿'!DN6)</f>
        <v>0</v>
      </c>
      <c r="AM45" s="2622"/>
      <c r="AN45" s="2622"/>
      <c r="AO45" s="2622"/>
      <c r="AP45" s="2622"/>
      <c r="AQ45" s="537"/>
      <c r="AR45" s="2631">
        <f>IF(OR(AW45="",AW45=0),0,'05 利用者名簿'!DQ6)</f>
        <v>0</v>
      </c>
      <c r="AS45" s="2631"/>
      <c r="AT45" s="2631"/>
      <c r="AU45" s="537"/>
      <c r="AV45" s="537"/>
      <c r="AW45" s="2631">
        <f>'05 利用者名簿'!DO6</f>
        <v>0</v>
      </c>
      <c r="AX45" s="2631"/>
      <c r="AY45" s="537"/>
      <c r="AZ45" s="553"/>
    </row>
    <row r="46" spans="1:59" ht="14.25" customHeight="1">
      <c r="A46" s="528"/>
      <c r="B46" s="345"/>
      <c r="C46" s="345"/>
      <c r="D46" s="345"/>
      <c r="E46" s="345"/>
      <c r="F46" s="345"/>
      <c r="G46" s="345"/>
      <c r="H46" s="345"/>
      <c r="I46" s="345"/>
      <c r="J46" s="538"/>
      <c r="K46" s="345"/>
      <c r="L46" s="2622"/>
      <c r="M46" s="2622"/>
      <c r="N46" s="2622"/>
      <c r="O46" s="2622"/>
      <c r="P46" s="2622"/>
      <c r="Q46" s="322" t="s">
        <v>318</v>
      </c>
      <c r="R46" s="2621"/>
      <c r="S46" s="2621"/>
      <c r="T46" s="2621"/>
      <c r="U46" s="322" t="s">
        <v>270</v>
      </c>
      <c r="V46" s="322" t="s">
        <v>321</v>
      </c>
      <c r="W46" s="2619"/>
      <c r="X46" s="2619"/>
      <c r="Y46" s="322" t="s">
        <v>32</v>
      </c>
      <c r="Z46" s="529"/>
      <c r="AA46" s="528"/>
      <c r="AB46" s="345"/>
      <c r="AC46" s="345"/>
      <c r="AD46" s="345"/>
      <c r="AE46" s="345"/>
      <c r="AF46" s="345"/>
      <c r="AG46" s="345"/>
      <c r="AH46" s="345"/>
      <c r="AI46" s="345"/>
      <c r="AJ46" s="345"/>
      <c r="AK46" s="529"/>
      <c r="AL46" s="2622"/>
      <c r="AM46" s="2622"/>
      <c r="AN46" s="2622"/>
      <c r="AO46" s="2622"/>
      <c r="AP46" s="2622"/>
      <c r="AQ46" s="322" t="s">
        <v>272</v>
      </c>
      <c r="AR46" s="2632"/>
      <c r="AS46" s="2632"/>
      <c r="AT46" s="2632"/>
      <c r="AU46" s="322" t="s">
        <v>270</v>
      </c>
      <c r="AV46" s="322" t="s">
        <v>122</v>
      </c>
      <c r="AW46" s="2632"/>
      <c r="AX46" s="2632"/>
      <c r="AY46" s="322" t="s">
        <v>32</v>
      </c>
      <c r="AZ46" s="553"/>
    </row>
    <row r="47" spans="1:59" ht="14.25" customHeight="1">
      <c r="A47" s="528"/>
      <c r="B47" s="2630" t="s">
        <v>480</v>
      </c>
      <c r="C47" s="2630"/>
      <c r="D47" s="2630"/>
      <c r="E47" s="2630" t="s">
        <v>273</v>
      </c>
      <c r="F47" s="2630"/>
      <c r="G47" s="2630"/>
      <c r="H47" s="2630" t="s">
        <v>9</v>
      </c>
      <c r="I47" s="2630"/>
      <c r="J47" s="2630"/>
      <c r="K47" s="539"/>
      <c r="L47" s="2622">
        <f>IF(OR(W47="",W47=0),0,'05 利用者名簿'!CN7)</f>
        <v>0</v>
      </c>
      <c r="M47" s="2622"/>
      <c r="N47" s="2622"/>
      <c r="O47" s="2622"/>
      <c r="P47" s="2622"/>
      <c r="Q47" s="537"/>
      <c r="R47" s="2620">
        <f>IF(OR(W47="",W47=0),0,'05 利用者名簿'!CQ7)</f>
        <v>0</v>
      </c>
      <c r="S47" s="2620"/>
      <c r="T47" s="2620"/>
      <c r="U47" s="537"/>
      <c r="V47" s="537"/>
      <c r="W47" s="2618">
        <f>'05 利用者名簿'!CO7</f>
        <v>0</v>
      </c>
      <c r="X47" s="2618"/>
      <c r="Y47" s="537"/>
      <c r="Z47" s="529"/>
      <c r="AA47" s="528"/>
      <c r="AB47" s="2630" t="s">
        <v>480</v>
      </c>
      <c r="AC47" s="2630"/>
      <c r="AD47" s="2630"/>
      <c r="AE47" s="2630" t="s">
        <v>273</v>
      </c>
      <c r="AF47" s="2630"/>
      <c r="AG47" s="2630"/>
      <c r="AH47" s="2630" t="s">
        <v>9</v>
      </c>
      <c r="AI47" s="2630"/>
      <c r="AJ47" s="2630"/>
      <c r="AK47" s="529"/>
      <c r="AL47" s="2622">
        <f>IF(OR(AW47="",AW47=0),0,'05 利用者名簿'!DN7)</f>
        <v>0</v>
      </c>
      <c r="AM47" s="2622"/>
      <c r="AN47" s="2622"/>
      <c r="AO47" s="2622"/>
      <c r="AP47" s="2622"/>
      <c r="AQ47" s="537"/>
      <c r="AR47" s="2631">
        <f>IF(OR(AW47="",AW47=0),0,'05 利用者名簿'!DQ7)</f>
        <v>0</v>
      </c>
      <c r="AS47" s="2631"/>
      <c r="AT47" s="2631"/>
      <c r="AU47" s="537"/>
      <c r="AV47" s="537"/>
      <c r="AW47" s="2631">
        <f>'05 利用者名簿'!DO7</f>
        <v>0</v>
      </c>
      <c r="AX47" s="2631"/>
      <c r="AY47" s="537"/>
      <c r="AZ47" s="553"/>
    </row>
    <row r="48" spans="1:59" ht="14.25" customHeight="1">
      <c r="A48" s="528"/>
      <c r="B48" s="2630"/>
      <c r="C48" s="2630"/>
      <c r="D48" s="2630"/>
      <c r="E48" s="2630"/>
      <c r="F48" s="2630"/>
      <c r="G48" s="2630"/>
      <c r="H48" s="2630"/>
      <c r="I48" s="2630"/>
      <c r="J48" s="2630"/>
      <c r="K48" s="539"/>
      <c r="L48" s="2622"/>
      <c r="M48" s="2622"/>
      <c r="N48" s="2622"/>
      <c r="O48" s="2622"/>
      <c r="P48" s="2622"/>
      <c r="Q48" s="322" t="s">
        <v>320</v>
      </c>
      <c r="R48" s="2621"/>
      <c r="S48" s="2621"/>
      <c r="T48" s="2621"/>
      <c r="U48" s="322" t="s">
        <v>270</v>
      </c>
      <c r="V48" s="322" t="s">
        <v>319</v>
      </c>
      <c r="W48" s="2619"/>
      <c r="X48" s="2619"/>
      <c r="Y48" s="322" t="s">
        <v>32</v>
      </c>
      <c r="Z48" s="529"/>
      <c r="AA48" s="528"/>
      <c r="AB48" s="2630"/>
      <c r="AC48" s="2630"/>
      <c r="AD48" s="2630"/>
      <c r="AE48" s="2630"/>
      <c r="AF48" s="2630"/>
      <c r="AG48" s="2630"/>
      <c r="AH48" s="2630"/>
      <c r="AI48" s="2630"/>
      <c r="AJ48" s="2630"/>
      <c r="AK48" s="529"/>
      <c r="AL48" s="2622"/>
      <c r="AM48" s="2622"/>
      <c r="AN48" s="2622"/>
      <c r="AO48" s="2622"/>
      <c r="AP48" s="2622"/>
      <c r="AQ48" s="322" t="s">
        <v>272</v>
      </c>
      <c r="AR48" s="2632"/>
      <c r="AS48" s="2632"/>
      <c r="AT48" s="2632"/>
      <c r="AU48" s="322" t="s">
        <v>270</v>
      </c>
      <c r="AV48" s="322" t="s">
        <v>122</v>
      </c>
      <c r="AW48" s="2632"/>
      <c r="AX48" s="2632"/>
      <c r="AY48" s="322" t="s">
        <v>32</v>
      </c>
      <c r="AZ48" s="553"/>
    </row>
    <row r="49" spans="1:52" ht="14.25" customHeight="1">
      <c r="A49" s="528"/>
      <c r="B49" s="2623"/>
      <c r="C49" s="2121"/>
      <c r="D49" s="2624"/>
      <c r="E49" s="2623"/>
      <c r="F49" s="2121"/>
      <c r="G49" s="2624"/>
      <c r="H49" s="2623"/>
      <c r="I49" s="2121"/>
      <c r="J49" s="2624"/>
      <c r="K49" s="539"/>
      <c r="L49" s="2622">
        <f>IF(OR(W49="",W49=0),0,'05 利用者名簿'!CN8)</f>
        <v>0</v>
      </c>
      <c r="M49" s="2622"/>
      <c r="N49" s="2622"/>
      <c r="O49" s="2622"/>
      <c r="P49" s="2622"/>
      <c r="Q49" s="537"/>
      <c r="R49" s="2620">
        <f>IF(OR(W49="",W49=0),0,'05 利用者名簿'!CQ8)</f>
        <v>0</v>
      </c>
      <c r="S49" s="2620"/>
      <c r="T49" s="2620"/>
      <c r="U49" s="537"/>
      <c r="V49" s="537"/>
      <c r="W49" s="2618">
        <f>'05 利用者名簿'!CO8</f>
        <v>0</v>
      </c>
      <c r="X49" s="2618"/>
      <c r="Y49" s="537"/>
      <c r="Z49" s="529"/>
      <c r="AA49" s="528"/>
      <c r="AB49" s="2630"/>
      <c r="AC49" s="2630"/>
      <c r="AD49" s="2630"/>
      <c r="AE49" s="2630"/>
      <c r="AF49" s="2630"/>
      <c r="AG49" s="2630"/>
      <c r="AH49" s="2630"/>
      <c r="AI49" s="2630"/>
      <c r="AJ49" s="2630"/>
      <c r="AK49" s="529"/>
      <c r="AL49" s="2622">
        <f>IF(OR(AW49="",AW49=0),0,'05 利用者名簿'!DN8)</f>
        <v>0</v>
      </c>
      <c r="AM49" s="2622"/>
      <c r="AN49" s="2622"/>
      <c r="AO49" s="2622"/>
      <c r="AP49" s="2622"/>
      <c r="AQ49" s="537"/>
      <c r="AR49" s="2631">
        <f>IF(OR(AW49="",AW49=0),0,'05 利用者名簿'!DQ8)</f>
        <v>0</v>
      </c>
      <c r="AS49" s="2631"/>
      <c r="AT49" s="2631"/>
      <c r="AU49" s="537"/>
      <c r="AV49" s="537"/>
      <c r="AW49" s="2631">
        <f>'05 利用者名簿'!DO8</f>
        <v>0</v>
      </c>
      <c r="AX49" s="2631"/>
      <c r="AY49" s="537"/>
      <c r="AZ49" s="553"/>
    </row>
    <row r="50" spans="1:52" ht="14.25" customHeight="1">
      <c r="A50" s="528"/>
      <c r="B50" s="2625"/>
      <c r="C50" s="2626"/>
      <c r="D50" s="2627"/>
      <c r="E50" s="2625"/>
      <c r="F50" s="2626"/>
      <c r="G50" s="2627"/>
      <c r="H50" s="2625"/>
      <c r="I50" s="2626"/>
      <c r="J50" s="2627"/>
      <c r="K50" s="539"/>
      <c r="L50" s="2622"/>
      <c r="M50" s="2622"/>
      <c r="N50" s="2622"/>
      <c r="O50" s="2622"/>
      <c r="P50" s="2622"/>
      <c r="Q50" s="322" t="s">
        <v>320</v>
      </c>
      <c r="R50" s="2621"/>
      <c r="S50" s="2621"/>
      <c r="T50" s="2621"/>
      <c r="U50" s="322" t="s">
        <v>270</v>
      </c>
      <c r="V50" s="322" t="s">
        <v>322</v>
      </c>
      <c r="W50" s="2619"/>
      <c r="X50" s="2619"/>
      <c r="Y50" s="322" t="s">
        <v>32</v>
      </c>
      <c r="Z50" s="529"/>
      <c r="AA50" s="528"/>
      <c r="AB50" s="2630"/>
      <c r="AC50" s="2630"/>
      <c r="AD50" s="2630"/>
      <c r="AE50" s="2630"/>
      <c r="AF50" s="2630"/>
      <c r="AG50" s="2630"/>
      <c r="AH50" s="2630"/>
      <c r="AI50" s="2630"/>
      <c r="AJ50" s="2630"/>
      <c r="AK50" s="529"/>
      <c r="AL50" s="2622"/>
      <c r="AM50" s="2622"/>
      <c r="AN50" s="2622"/>
      <c r="AO50" s="2622"/>
      <c r="AP50" s="2622"/>
      <c r="AQ50" s="322" t="s">
        <v>272</v>
      </c>
      <c r="AR50" s="2632"/>
      <c r="AS50" s="2632"/>
      <c r="AT50" s="2632"/>
      <c r="AU50" s="322" t="s">
        <v>270</v>
      </c>
      <c r="AV50" s="322" t="s">
        <v>122</v>
      </c>
      <c r="AW50" s="2632"/>
      <c r="AX50" s="2632"/>
      <c r="AY50" s="322" t="s">
        <v>32</v>
      </c>
      <c r="AZ50" s="553"/>
    </row>
    <row r="51" spans="1:52" ht="14.25" customHeight="1">
      <c r="A51" s="540"/>
      <c r="B51" s="2625"/>
      <c r="C51" s="2626"/>
      <c r="D51" s="2627"/>
      <c r="E51" s="2625"/>
      <c r="F51" s="2626"/>
      <c r="G51" s="2627"/>
      <c r="H51" s="2625"/>
      <c r="I51" s="2626"/>
      <c r="J51" s="2627"/>
      <c r="K51" s="512"/>
      <c r="L51" s="2622">
        <f>IF(OR(W51="",W51=0),0,'05 利用者名簿'!CN9)</f>
        <v>0</v>
      </c>
      <c r="M51" s="2622"/>
      <c r="N51" s="2622"/>
      <c r="O51" s="2622"/>
      <c r="P51" s="2622"/>
      <c r="Q51" s="537"/>
      <c r="R51" s="2620">
        <f>IF(OR(W51="",W51=0),0,'05 利用者名簿'!CQ9)</f>
        <v>0</v>
      </c>
      <c r="S51" s="2620"/>
      <c r="T51" s="2620"/>
      <c r="U51" s="537"/>
      <c r="V51" s="537"/>
      <c r="W51" s="2618">
        <f>'05 利用者名簿'!CO9</f>
        <v>0</v>
      </c>
      <c r="X51" s="2618"/>
      <c r="Y51" s="537"/>
      <c r="Z51" s="512"/>
      <c r="AA51" s="511"/>
      <c r="AB51" s="2630"/>
      <c r="AC51" s="2630"/>
      <c r="AD51" s="2630"/>
      <c r="AE51" s="2630"/>
      <c r="AF51" s="2630"/>
      <c r="AG51" s="2630"/>
      <c r="AH51" s="2630"/>
      <c r="AI51" s="2630"/>
      <c r="AJ51" s="2630"/>
      <c r="AK51" s="512"/>
      <c r="AL51" s="2622">
        <f>IF(OR(AW51="",AW51=0),0,'05 利用者名簿'!DN9)</f>
        <v>0</v>
      </c>
      <c r="AM51" s="2622"/>
      <c r="AN51" s="2622"/>
      <c r="AO51" s="2622"/>
      <c r="AP51" s="2622"/>
      <c r="AQ51" s="537"/>
      <c r="AR51" s="2631">
        <f>IF(OR(AW51="",AW51=0),0,'05 利用者名簿'!DQ9)</f>
        <v>0</v>
      </c>
      <c r="AS51" s="2631"/>
      <c r="AT51" s="2631"/>
      <c r="AU51" s="537"/>
      <c r="AV51" s="537"/>
      <c r="AW51" s="2631">
        <f>'05 利用者名簿'!DO9</f>
        <v>0</v>
      </c>
      <c r="AX51" s="2631"/>
      <c r="AY51" s="537"/>
      <c r="AZ51" s="517"/>
    </row>
    <row r="52" spans="1:52" ht="14.25" customHeight="1">
      <c r="A52" s="528"/>
      <c r="B52" s="2628"/>
      <c r="C52" s="2122"/>
      <c r="D52" s="2629"/>
      <c r="E52" s="2628"/>
      <c r="F52" s="2122"/>
      <c r="G52" s="2629"/>
      <c r="H52" s="2628"/>
      <c r="I52" s="2122"/>
      <c r="J52" s="2629"/>
      <c r="K52" s="541"/>
      <c r="L52" s="2622"/>
      <c r="M52" s="2622"/>
      <c r="N52" s="2622"/>
      <c r="O52" s="2622"/>
      <c r="P52" s="2622"/>
      <c r="Q52" s="322" t="s">
        <v>272</v>
      </c>
      <c r="R52" s="2621"/>
      <c r="S52" s="2621"/>
      <c r="T52" s="2621"/>
      <c r="U52" s="322" t="s">
        <v>270</v>
      </c>
      <c r="V52" s="322" t="s">
        <v>122</v>
      </c>
      <c r="W52" s="2619"/>
      <c r="X52" s="2619"/>
      <c r="Y52" s="322" t="s">
        <v>32</v>
      </c>
      <c r="Z52" s="529"/>
      <c r="AA52" s="555"/>
      <c r="AB52" s="2630"/>
      <c r="AC52" s="2630"/>
      <c r="AD52" s="2630"/>
      <c r="AE52" s="2630"/>
      <c r="AF52" s="2630"/>
      <c r="AG52" s="2630"/>
      <c r="AH52" s="2630"/>
      <c r="AI52" s="2630"/>
      <c r="AJ52" s="2630"/>
      <c r="AK52" s="541"/>
      <c r="AL52" s="2622"/>
      <c r="AM52" s="2622"/>
      <c r="AN52" s="2622"/>
      <c r="AO52" s="2622"/>
      <c r="AP52" s="2622"/>
      <c r="AQ52" s="322" t="s">
        <v>272</v>
      </c>
      <c r="AR52" s="2632"/>
      <c r="AS52" s="2632"/>
      <c r="AT52" s="2632"/>
      <c r="AU52" s="322" t="s">
        <v>270</v>
      </c>
      <c r="AV52" s="322" t="s">
        <v>122</v>
      </c>
      <c r="AW52" s="2632"/>
      <c r="AX52" s="2632"/>
      <c r="AY52" s="322" t="s">
        <v>32</v>
      </c>
      <c r="AZ52" s="553"/>
    </row>
    <row r="53" spans="1:52" ht="14.25" customHeight="1">
      <c r="A53" s="542"/>
      <c r="B53" s="543"/>
      <c r="C53" s="543"/>
      <c r="D53" s="543"/>
      <c r="E53" s="543"/>
      <c r="F53" s="543"/>
      <c r="G53" s="543"/>
      <c r="H53" s="543"/>
      <c r="I53" s="543"/>
      <c r="J53" s="543"/>
      <c r="K53" s="543"/>
      <c r="L53" s="543"/>
      <c r="M53" s="543"/>
      <c r="N53" s="543"/>
      <c r="O53" s="543"/>
      <c r="P53" s="543"/>
      <c r="Q53" s="543"/>
      <c r="R53" s="543"/>
      <c r="S53" s="543"/>
      <c r="T53" s="543"/>
      <c r="U53" s="543"/>
      <c r="V53" s="543"/>
      <c r="W53" s="543"/>
      <c r="X53" s="543"/>
      <c r="Y53" s="543"/>
      <c r="Z53" s="543"/>
      <c r="AA53" s="542"/>
      <c r="AB53" s="543"/>
      <c r="AC53" s="543"/>
      <c r="AD53" s="543"/>
      <c r="AE53" s="543"/>
      <c r="AF53" s="543"/>
      <c r="AG53" s="543"/>
      <c r="AH53" s="543"/>
      <c r="AI53" s="543"/>
      <c r="AJ53" s="543"/>
      <c r="AK53" s="543"/>
      <c r="AL53" s="543"/>
      <c r="AM53" s="543"/>
      <c r="AN53" s="543"/>
      <c r="AO53" s="543"/>
      <c r="AP53" s="543"/>
      <c r="AQ53" s="543"/>
      <c r="AR53" s="543"/>
      <c r="AS53" s="543"/>
      <c r="AT53" s="543"/>
      <c r="AU53" s="543"/>
      <c r="AV53" s="543"/>
      <c r="AW53" s="543"/>
      <c r="AX53" s="543"/>
      <c r="AY53" s="543"/>
      <c r="AZ53" s="556"/>
    </row>
    <row r="54" spans="1:52" ht="14.25" customHeight="1">
      <c r="A54" s="544"/>
      <c r="B54" s="545"/>
      <c r="C54" s="545"/>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28"/>
      <c r="AB54" s="29"/>
      <c r="AC54" s="29"/>
      <c r="AD54" s="29"/>
      <c r="AE54" s="29"/>
      <c r="AF54" s="29"/>
      <c r="AG54" s="29"/>
      <c r="AH54" s="29"/>
      <c r="AI54" s="29"/>
      <c r="AJ54" s="30"/>
      <c r="AK54" s="30"/>
      <c r="AL54" s="30"/>
      <c r="AM54" s="30"/>
      <c r="AN54" s="30"/>
      <c r="AO54" s="30"/>
      <c r="AP54" s="30"/>
      <c r="AQ54" s="30"/>
      <c r="AR54" s="30"/>
      <c r="AS54" s="30"/>
      <c r="AT54" s="30"/>
      <c r="AU54" s="30"/>
      <c r="AV54" s="30"/>
      <c r="AW54" s="30"/>
      <c r="AX54" s="30"/>
      <c r="AY54" s="30"/>
      <c r="AZ54" s="30"/>
    </row>
    <row r="55" spans="1:52" ht="14.25" customHeight="1">
      <c r="A55" s="28"/>
      <c r="B55" s="29"/>
      <c r="C55" s="29"/>
      <c r="D55" s="29"/>
      <c r="E55" s="29"/>
      <c r="F55" s="29"/>
      <c r="G55" s="29"/>
      <c r="H55" s="29"/>
      <c r="I55" s="29"/>
      <c r="J55" s="30"/>
      <c r="K55" s="30"/>
      <c r="L55" s="30"/>
      <c r="M55" s="30"/>
      <c r="N55" s="30"/>
      <c r="O55" s="30"/>
      <c r="P55" s="30"/>
      <c r="Q55" s="30"/>
      <c r="R55" s="30"/>
      <c r="S55" s="30"/>
      <c r="T55" s="30"/>
      <c r="U55" s="30"/>
      <c r="V55" s="30"/>
      <c r="W55" s="30"/>
      <c r="X55" s="30"/>
      <c r="Y55" s="30"/>
      <c r="Z55" s="30"/>
      <c r="AA55" s="28"/>
      <c r="AB55" s="29"/>
      <c r="AC55" s="29"/>
      <c r="AD55" s="29"/>
      <c r="AE55" s="29"/>
      <c r="AF55" s="29"/>
      <c r="AG55" s="29"/>
      <c r="AH55" s="29"/>
      <c r="AI55" s="29"/>
      <c r="AJ55" s="30"/>
      <c r="AK55" s="30"/>
      <c r="AL55" s="30"/>
      <c r="AM55" s="30"/>
      <c r="AN55" s="30"/>
      <c r="AO55" s="30"/>
      <c r="AP55" s="30"/>
      <c r="AQ55" s="30"/>
      <c r="AR55" s="30"/>
      <c r="AS55" s="30"/>
      <c r="AT55" s="30"/>
      <c r="AU55" s="30"/>
      <c r="AV55" s="30"/>
      <c r="AW55" s="30"/>
      <c r="AX55" s="30"/>
      <c r="AY55" s="30"/>
      <c r="AZ55" s="30"/>
    </row>
    <row r="56" spans="1:52" ht="14.25" customHeight="1">
      <c r="A56" s="31"/>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1"/>
      <c r="AB56" s="32"/>
      <c r="AC56" s="32"/>
      <c r="AD56" s="32"/>
      <c r="AE56" s="32"/>
      <c r="AF56" s="32"/>
      <c r="AG56" s="32"/>
      <c r="AH56" s="176"/>
      <c r="AI56" s="32"/>
      <c r="AJ56" s="32"/>
      <c r="AK56" s="32"/>
      <c r="AL56" s="32"/>
      <c r="AM56" s="32"/>
      <c r="AN56" s="32"/>
      <c r="AO56" s="32"/>
      <c r="AP56" s="32"/>
      <c r="AQ56" s="32"/>
      <c r="AR56" s="32"/>
      <c r="AS56" s="32"/>
      <c r="AT56" s="32"/>
      <c r="AU56" s="32"/>
      <c r="AV56" s="32"/>
      <c r="AW56" s="32"/>
      <c r="AX56" s="32"/>
      <c r="AY56" s="32"/>
      <c r="AZ56" s="32"/>
    </row>
    <row r="57" spans="1:52" ht="14.25" customHeight="1">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1"/>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row>
    <row r="58" spans="1:52" ht="14.25" customHeight="1">
      <c r="A58" s="3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1"/>
      <c r="AK58" s="32"/>
      <c r="AL58" s="32"/>
      <c r="AM58" s="32"/>
      <c r="AN58" s="32"/>
      <c r="AO58" s="32"/>
      <c r="AP58" s="32"/>
      <c r="AQ58" s="32"/>
      <c r="AR58" s="32"/>
      <c r="AS58" s="32"/>
      <c r="AT58" s="32"/>
      <c r="AU58" s="32"/>
      <c r="AV58" s="32"/>
      <c r="AW58" s="32"/>
      <c r="AX58" s="32"/>
      <c r="AY58" s="32"/>
      <c r="AZ58" s="32"/>
    </row>
    <row r="59" spans="1:52" ht="14.25" customHeight="1">
      <c r="A59" s="31"/>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1"/>
      <c r="AK59" s="32"/>
      <c r="AL59" s="32"/>
      <c r="AM59" s="32"/>
      <c r="AN59" s="32"/>
      <c r="AO59" s="32"/>
      <c r="AP59" s="32"/>
      <c r="AQ59" s="32"/>
      <c r="AR59" s="32"/>
      <c r="AS59" s="32"/>
      <c r="AT59" s="32"/>
      <c r="AU59" s="32"/>
      <c r="AV59" s="32"/>
      <c r="AW59" s="32"/>
      <c r="AX59" s="32"/>
      <c r="AY59" s="32"/>
      <c r="AZ59" s="32"/>
    </row>
    <row r="60" spans="1:52" ht="14.25" customHeight="1">
      <c r="A60" s="31"/>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1"/>
      <c r="AK60" s="32"/>
      <c r="AL60" s="32"/>
      <c r="AM60" s="32"/>
      <c r="AN60" s="32"/>
      <c r="AO60" s="32"/>
      <c r="AP60" s="32"/>
      <c r="AQ60" s="32"/>
      <c r="AR60" s="32"/>
      <c r="AS60" s="32"/>
      <c r="AT60" s="32"/>
      <c r="AU60" s="32"/>
      <c r="AV60" s="32"/>
      <c r="AW60" s="32"/>
      <c r="AX60" s="32"/>
      <c r="AY60" s="32"/>
      <c r="AZ60" s="32"/>
    </row>
    <row r="61" spans="1:52" ht="14.25" customHeight="1">
      <c r="A61" s="31"/>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1"/>
      <c r="AK61" s="32"/>
      <c r="AL61" s="32"/>
      <c r="AM61" s="32"/>
      <c r="AN61" s="32"/>
      <c r="AO61" s="32"/>
      <c r="AP61" s="32"/>
      <c r="AQ61" s="32"/>
      <c r="AR61" s="32"/>
      <c r="AS61" s="32"/>
      <c r="AT61" s="32"/>
      <c r="AU61" s="32"/>
      <c r="AV61" s="32"/>
      <c r="AW61" s="32"/>
      <c r="AX61" s="32"/>
      <c r="AY61" s="32"/>
      <c r="AZ61" s="32"/>
    </row>
    <row r="62" spans="1:52" ht="14.25">
      <c r="A62" s="31"/>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1"/>
      <c r="AK62" s="32"/>
      <c r="AL62" s="32"/>
      <c r="AM62" s="32"/>
      <c r="AN62" s="32"/>
      <c r="AO62" s="32"/>
      <c r="AP62" s="32"/>
      <c r="AQ62" s="32"/>
      <c r="AR62" s="32"/>
      <c r="AS62" s="32"/>
      <c r="AT62" s="32"/>
      <c r="AU62" s="32"/>
      <c r="AV62" s="32"/>
      <c r="AW62" s="32"/>
      <c r="AX62" s="32"/>
      <c r="AY62" s="32"/>
      <c r="AZ62" s="32"/>
    </row>
    <row r="63" spans="1:52" ht="14.25">
      <c r="A63" s="29"/>
      <c r="B63" s="29"/>
      <c r="C63" s="29"/>
      <c r="D63" s="29"/>
      <c r="E63" s="29"/>
      <c r="F63" s="29"/>
      <c r="G63" s="29"/>
      <c r="H63" s="29"/>
      <c r="I63" s="29"/>
      <c r="J63" s="30"/>
      <c r="K63" s="30"/>
      <c r="L63" s="30"/>
      <c r="M63" s="30"/>
      <c r="N63" s="30"/>
      <c r="O63" s="30"/>
      <c r="P63" s="30"/>
      <c r="Q63" s="30"/>
      <c r="R63" s="30"/>
      <c r="S63" s="30"/>
      <c r="T63" s="30"/>
      <c r="U63" s="30"/>
      <c r="V63" s="30"/>
      <c r="W63" s="30"/>
      <c r="X63" s="30"/>
      <c r="Y63" s="30"/>
      <c r="Z63" s="30"/>
      <c r="AA63" s="29"/>
      <c r="AK63" s="30"/>
      <c r="AL63" s="30"/>
      <c r="AM63" s="30"/>
      <c r="AN63" s="30"/>
      <c r="AO63" s="30"/>
      <c r="AP63" s="30"/>
      <c r="AQ63" s="30"/>
      <c r="AR63" s="30"/>
      <c r="AS63" s="30"/>
      <c r="AT63" s="30"/>
      <c r="AU63" s="30"/>
      <c r="AV63" s="30"/>
      <c r="AW63" s="30"/>
      <c r="AX63" s="30"/>
      <c r="AY63" s="30"/>
      <c r="AZ63" s="30"/>
    </row>
    <row r="64" spans="1:52" ht="14.25">
      <c r="A64" s="29"/>
      <c r="B64" s="29"/>
      <c r="C64" s="29"/>
      <c r="D64" s="29"/>
      <c r="E64" s="29"/>
      <c r="F64" s="29"/>
      <c r="G64" s="29"/>
      <c r="H64" s="29"/>
      <c r="I64" s="29"/>
      <c r="J64" s="30"/>
      <c r="K64" s="30"/>
      <c r="L64" s="30"/>
      <c r="M64" s="30"/>
      <c r="N64" s="30"/>
      <c r="O64" s="30"/>
      <c r="P64" s="30"/>
      <c r="Q64" s="30"/>
      <c r="R64" s="30"/>
      <c r="S64" s="30"/>
      <c r="T64" s="30"/>
      <c r="U64" s="30"/>
      <c r="V64" s="30"/>
      <c r="W64" s="30"/>
      <c r="X64" s="30"/>
      <c r="Y64" s="30"/>
      <c r="Z64" s="30"/>
      <c r="AA64" s="29"/>
      <c r="AB64" s="29"/>
      <c r="AC64" s="29"/>
      <c r="AD64" s="29"/>
      <c r="AE64" s="29"/>
      <c r="AF64" s="29"/>
      <c r="AG64" s="29"/>
      <c r="AH64" s="29"/>
      <c r="AI64" s="29"/>
      <c r="AJ64" s="30"/>
      <c r="AK64" s="30"/>
      <c r="AL64" s="30"/>
      <c r="AM64" s="30"/>
      <c r="AN64" s="30"/>
      <c r="AO64" s="30"/>
      <c r="AP64" s="30"/>
      <c r="AQ64" s="30"/>
      <c r="AR64" s="30"/>
      <c r="AS64" s="30"/>
      <c r="AT64" s="30"/>
      <c r="AU64" s="30"/>
      <c r="AV64" s="30"/>
      <c r="AW64" s="30"/>
      <c r="AX64" s="30"/>
      <c r="AY64" s="30"/>
      <c r="AZ64" s="30"/>
    </row>
    <row r="65" spans="1:52" ht="14.25">
      <c r="A65" s="29"/>
      <c r="B65" s="29"/>
      <c r="C65" s="29"/>
      <c r="D65" s="29"/>
      <c r="E65" s="29"/>
      <c r="F65" s="29"/>
      <c r="G65" s="29"/>
      <c r="H65" s="29"/>
      <c r="I65" s="29"/>
      <c r="J65" s="30"/>
      <c r="K65" s="30"/>
      <c r="L65" s="30"/>
      <c r="M65" s="30"/>
      <c r="N65" s="30"/>
      <c r="O65" s="30"/>
      <c r="P65" s="30"/>
      <c r="Q65" s="30"/>
      <c r="R65" s="30"/>
      <c r="S65" s="30"/>
      <c r="T65" s="30"/>
      <c r="U65" s="30"/>
      <c r="V65" s="30"/>
      <c r="W65" s="30"/>
      <c r="X65" s="30"/>
      <c r="Y65" s="30"/>
      <c r="Z65" s="30"/>
      <c r="AA65" s="29"/>
      <c r="AB65" s="29"/>
      <c r="AC65" s="29"/>
      <c r="AD65" s="29"/>
      <c r="AE65" s="29"/>
      <c r="AF65" s="29"/>
      <c r="AG65" s="29"/>
      <c r="AH65" s="29"/>
      <c r="AI65" s="29"/>
      <c r="AJ65" s="30"/>
      <c r="AK65" s="30"/>
      <c r="AL65" s="30"/>
      <c r="AM65" s="30"/>
      <c r="AN65" s="30"/>
      <c r="AO65" s="30"/>
      <c r="AP65" s="30"/>
      <c r="AQ65" s="30"/>
      <c r="AR65" s="30"/>
      <c r="AS65" s="30"/>
      <c r="AT65" s="30"/>
      <c r="AU65" s="30"/>
      <c r="AV65" s="30"/>
      <c r="AW65" s="30"/>
      <c r="AX65" s="30"/>
      <c r="AY65" s="30"/>
      <c r="AZ65" s="30"/>
    </row>
    <row r="66" spans="1:52" ht="14.25">
      <c r="A66" s="29"/>
      <c r="B66" s="29"/>
      <c r="C66" s="29"/>
      <c r="D66" s="29"/>
      <c r="E66" s="29"/>
      <c r="F66" s="29"/>
      <c r="G66" s="29"/>
      <c r="H66" s="29"/>
      <c r="I66" s="29"/>
      <c r="J66" s="30"/>
      <c r="K66" s="30"/>
      <c r="L66" s="30"/>
      <c r="M66" s="30"/>
      <c r="N66" s="30"/>
      <c r="O66" s="30"/>
      <c r="P66" s="30"/>
      <c r="Q66" s="30"/>
      <c r="R66" s="30"/>
      <c r="S66" s="30"/>
      <c r="T66" s="30"/>
      <c r="U66" s="30"/>
      <c r="V66" s="30"/>
      <c r="W66" s="30"/>
      <c r="X66" s="30"/>
      <c r="Y66" s="30"/>
      <c r="Z66" s="30"/>
      <c r="AA66" s="29"/>
      <c r="AB66" s="29"/>
      <c r="AC66" s="29"/>
      <c r="AD66" s="29"/>
      <c r="AE66" s="29"/>
      <c r="AF66" s="29"/>
      <c r="AG66" s="29"/>
      <c r="AH66" s="29"/>
      <c r="AI66" s="29"/>
      <c r="AJ66" s="30"/>
      <c r="AK66" s="30"/>
      <c r="AL66" s="30"/>
      <c r="AM66" s="30"/>
      <c r="AN66" s="30"/>
      <c r="AO66" s="30"/>
      <c r="AP66" s="30"/>
      <c r="AQ66" s="30"/>
      <c r="AR66" s="30"/>
      <c r="AS66" s="30"/>
      <c r="AT66" s="30"/>
      <c r="AU66" s="30"/>
      <c r="AV66" s="30"/>
      <c r="AW66" s="30"/>
      <c r="AX66" s="30"/>
      <c r="AY66" s="30"/>
      <c r="AZ66" s="30"/>
    </row>
    <row r="67" spans="1:52" ht="14.25">
      <c r="A67" s="29"/>
      <c r="B67" s="29"/>
      <c r="C67" s="29"/>
      <c r="D67" s="29"/>
      <c r="E67" s="29"/>
      <c r="F67" s="29"/>
      <c r="G67" s="29"/>
      <c r="H67" s="29"/>
      <c r="I67" s="29"/>
      <c r="J67" s="30"/>
      <c r="K67" s="30"/>
      <c r="L67" s="30"/>
      <c r="M67" s="30"/>
      <c r="N67" s="30"/>
      <c r="O67" s="30"/>
      <c r="P67" s="30"/>
      <c r="Q67" s="30"/>
      <c r="R67" s="30"/>
      <c r="S67" s="30"/>
      <c r="T67" s="30"/>
      <c r="U67" s="30"/>
      <c r="V67" s="30"/>
      <c r="W67" s="30"/>
      <c r="X67" s="30"/>
      <c r="Y67" s="30"/>
      <c r="Z67" s="30"/>
      <c r="AA67" s="29"/>
      <c r="AB67" s="29"/>
      <c r="AC67" s="29"/>
      <c r="AD67" s="29"/>
      <c r="AE67" s="29"/>
      <c r="AF67" s="29"/>
      <c r="AG67" s="29"/>
      <c r="AH67" s="29"/>
      <c r="AI67" s="29"/>
      <c r="AJ67" s="30"/>
      <c r="AK67" s="30"/>
      <c r="AL67" s="30"/>
      <c r="AM67" s="30"/>
      <c r="AN67" s="30"/>
      <c r="AO67" s="30"/>
      <c r="AP67" s="30"/>
      <c r="AQ67" s="30"/>
      <c r="AR67" s="30"/>
      <c r="AS67" s="30"/>
      <c r="AT67" s="30"/>
      <c r="AU67" s="30"/>
      <c r="AV67" s="30"/>
      <c r="AW67" s="30"/>
      <c r="AX67" s="30"/>
      <c r="AY67" s="30"/>
      <c r="AZ67" s="30"/>
    </row>
    <row r="68" spans="1:52" ht="14.25">
      <c r="A68" s="29"/>
      <c r="B68" s="29"/>
      <c r="C68" s="29"/>
      <c r="D68" s="29"/>
      <c r="E68" s="29"/>
      <c r="F68" s="29"/>
      <c r="G68" s="29"/>
      <c r="H68" s="29"/>
      <c r="I68" s="29"/>
      <c r="J68" s="30"/>
      <c r="K68" s="30"/>
      <c r="L68" s="30"/>
      <c r="M68" s="30"/>
      <c r="N68" s="30"/>
      <c r="O68" s="30"/>
      <c r="P68" s="30"/>
      <c r="Q68" s="30"/>
      <c r="R68" s="30"/>
      <c r="S68" s="30"/>
      <c r="T68" s="30"/>
      <c r="U68" s="30"/>
      <c r="V68" s="30"/>
      <c r="W68" s="30"/>
      <c r="X68" s="30"/>
      <c r="Y68" s="30"/>
      <c r="Z68" s="30"/>
      <c r="AA68" s="29"/>
      <c r="AB68" s="29"/>
      <c r="AC68" s="29"/>
      <c r="AD68" s="29"/>
      <c r="AE68" s="29"/>
      <c r="AF68" s="29"/>
      <c r="AG68" s="29"/>
      <c r="AH68" s="29"/>
      <c r="AI68" s="29"/>
      <c r="AJ68" s="30"/>
      <c r="AK68" s="30"/>
      <c r="AL68" s="30"/>
      <c r="AM68" s="30"/>
      <c r="AN68" s="30"/>
      <c r="AO68" s="30"/>
      <c r="AP68" s="30"/>
      <c r="AQ68" s="30"/>
      <c r="AR68" s="30"/>
      <c r="AS68" s="30"/>
      <c r="AT68" s="30"/>
      <c r="AU68" s="30"/>
      <c r="AV68" s="30"/>
      <c r="AW68" s="30"/>
      <c r="AX68" s="30"/>
      <c r="AY68" s="30"/>
      <c r="AZ68" s="30"/>
    </row>
    <row r="69" spans="1:52" ht="14.25">
      <c r="A69" s="29"/>
      <c r="B69" s="29"/>
      <c r="C69" s="29"/>
      <c r="D69" s="29"/>
      <c r="E69" s="29"/>
      <c r="F69" s="29"/>
      <c r="G69" s="29"/>
      <c r="H69" s="29"/>
      <c r="I69" s="29"/>
      <c r="J69" s="30"/>
      <c r="K69" s="30"/>
      <c r="L69" s="30"/>
      <c r="M69" s="30"/>
      <c r="N69" s="30"/>
      <c r="O69" s="30"/>
      <c r="P69" s="30"/>
      <c r="Q69" s="30"/>
      <c r="R69" s="30"/>
      <c r="S69" s="30"/>
      <c r="T69" s="30"/>
      <c r="U69" s="30"/>
      <c r="V69" s="30"/>
      <c r="W69" s="30"/>
      <c r="X69" s="30"/>
      <c r="Y69" s="30"/>
      <c r="Z69" s="30"/>
      <c r="AA69" s="29"/>
      <c r="AB69" s="29"/>
      <c r="AC69" s="29"/>
      <c r="AD69" s="29"/>
      <c r="AE69" s="29"/>
      <c r="AF69" s="29"/>
      <c r="AG69" s="29"/>
      <c r="AH69" s="29"/>
      <c r="AI69" s="29"/>
      <c r="AJ69" s="30"/>
      <c r="AK69" s="30"/>
      <c r="AL69" s="30"/>
      <c r="AM69" s="30"/>
      <c r="AN69" s="30"/>
      <c r="AO69" s="30"/>
      <c r="AP69" s="30"/>
      <c r="AQ69" s="30"/>
      <c r="AR69" s="30"/>
      <c r="AS69" s="30"/>
      <c r="AT69" s="30"/>
      <c r="AU69" s="30"/>
      <c r="AV69" s="30"/>
      <c r="AW69" s="30"/>
      <c r="AX69" s="30"/>
      <c r="AY69" s="30"/>
      <c r="AZ69" s="30"/>
    </row>
    <row r="70" spans="1:52" ht="14.25">
      <c r="A70" s="29"/>
      <c r="B70" s="29"/>
      <c r="C70" s="29"/>
      <c r="D70" s="29"/>
      <c r="E70" s="29"/>
      <c r="F70" s="29"/>
      <c r="G70" s="29"/>
      <c r="H70" s="29"/>
      <c r="I70" s="29"/>
      <c r="J70" s="30"/>
      <c r="K70" s="30"/>
      <c r="L70" s="30"/>
      <c r="M70" s="30"/>
      <c r="N70" s="30"/>
      <c r="O70" s="30"/>
      <c r="P70" s="30"/>
      <c r="Q70" s="30"/>
      <c r="R70" s="30"/>
      <c r="S70" s="30"/>
      <c r="T70" s="30"/>
      <c r="U70" s="30"/>
      <c r="V70" s="30"/>
      <c r="W70" s="30"/>
      <c r="X70" s="30"/>
      <c r="Y70" s="30"/>
      <c r="Z70" s="30"/>
      <c r="AA70" s="29"/>
      <c r="AB70" s="29"/>
      <c r="AC70" s="29"/>
      <c r="AD70" s="29"/>
      <c r="AE70" s="29"/>
      <c r="AF70" s="29"/>
      <c r="AG70" s="29"/>
      <c r="AH70" s="29"/>
      <c r="AI70" s="29"/>
      <c r="AJ70" s="30"/>
      <c r="AK70" s="30"/>
      <c r="AL70" s="30"/>
      <c r="AM70" s="30"/>
      <c r="AN70" s="30"/>
      <c r="AO70" s="30"/>
      <c r="AP70" s="30"/>
      <c r="AQ70" s="30"/>
      <c r="AR70" s="30"/>
      <c r="AS70" s="30"/>
      <c r="AT70" s="30"/>
      <c r="AU70" s="30"/>
      <c r="AV70" s="30"/>
      <c r="AW70" s="30"/>
      <c r="AX70" s="30"/>
      <c r="AY70" s="30"/>
      <c r="AZ70" s="30"/>
    </row>
    <row r="71" spans="1:52" ht="14.25">
      <c r="A71" s="29"/>
      <c r="B71" s="29"/>
      <c r="C71" s="29"/>
      <c r="D71" s="29"/>
      <c r="E71" s="29"/>
      <c r="F71" s="29"/>
      <c r="G71" s="29"/>
      <c r="H71" s="29"/>
      <c r="I71" s="29"/>
      <c r="J71" s="30"/>
      <c r="K71" s="30"/>
      <c r="L71" s="30"/>
      <c r="M71" s="30"/>
      <c r="N71" s="30"/>
      <c r="O71" s="30"/>
      <c r="P71" s="30"/>
      <c r="Q71" s="30"/>
      <c r="R71" s="30"/>
      <c r="S71" s="30"/>
      <c r="T71" s="30"/>
      <c r="U71" s="30"/>
      <c r="V71" s="30"/>
      <c r="W71" s="30"/>
      <c r="X71" s="30"/>
      <c r="Y71" s="30"/>
      <c r="Z71" s="30"/>
      <c r="AA71" s="29"/>
      <c r="AB71" s="29"/>
      <c r="AC71" s="29"/>
      <c r="AD71" s="29"/>
      <c r="AE71" s="29"/>
      <c r="AF71" s="29"/>
      <c r="AG71" s="29"/>
      <c r="AH71" s="29"/>
      <c r="AI71" s="29"/>
      <c r="AJ71" s="30"/>
      <c r="AK71" s="30"/>
      <c r="AL71" s="30"/>
      <c r="AM71" s="30"/>
      <c r="AN71" s="30"/>
      <c r="AO71" s="30"/>
      <c r="AP71" s="30"/>
      <c r="AQ71" s="30"/>
      <c r="AR71" s="30"/>
      <c r="AS71" s="30"/>
      <c r="AT71" s="30"/>
      <c r="AU71" s="30"/>
      <c r="AV71" s="30"/>
      <c r="AW71" s="30"/>
      <c r="AX71" s="30"/>
      <c r="AY71" s="30"/>
      <c r="AZ71" s="30"/>
    </row>
    <row r="72" spans="1:52" ht="14.25">
      <c r="A72" s="29"/>
      <c r="B72" s="29"/>
      <c r="C72" s="29"/>
      <c r="D72" s="29"/>
      <c r="E72" s="29"/>
      <c r="F72" s="29"/>
      <c r="G72" s="29"/>
      <c r="H72" s="29"/>
      <c r="I72" s="29"/>
      <c r="J72" s="30"/>
      <c r="K72" s="30"/>
      <c r="L72" s="30"/>
      <c r="M72" s="30"/>
      <c r="N72" s="30"/>
      <c r="O72" s="30"/>
      <c r="P72" s="30"/>
      <c r="Q72" s="30"/>
      <c r="R72" s="30"/>
      <c r="S72" s="30"/>
      <c r="T72" s="30"/>
      <c r="U72" s="30"/>
      <c r="V72" s="30"/>
      <c r="W72" s="30"/>
      <c r="X72" s="30"/>
      <c r="Y72" s="30"/>
      <c r="Z72" s="30"/>
      <c r="AA72" s="29"/>
      <c r="AB72" s="29"/>
      <c r="AC72" s="29"/>
      <c r="AD72" s="29"/>
      <c r="AE72" s="29"/>
      <c r="AF72" s="29"/>
      <c r="AG72" s="29"/>
      <c r="AH72" s="29"/>
      <c r="AI72" s="29"/>
      <c r="AJ72" s="30"/>
      <c r="AK72" s="30"/>
      <c r="AL72" s="30"/>
      <c r="AM72" s="30"/>
      <c r="AN72" s="30"/>
      <c r="AO72" s="30"/>
      <c r="AP72" s="30"/>
      <c r="AQ72" s="30"/>
      <c r="AR72" s="30"/>
      <c r="AS72" s="30"/>
      <c r="AT72" s="30"/>
      <c r="AU72" s="30"/>
      <c r="AV72" s="30"/>
      <c r="AW72" s="30"/>
      <c r="AX72" s="30"/>
      <c r="AY72" s="30"/>
      <c r="AZ72" s="30"/>
    </row>
    <row r="73" spans="1:52" ht="14.25">
      <c r="A73" s="29"/>
      <c r="B73" s="29"/>
      <c r="C73" s="29"/>
      <c r="D73" s="29"/>
      <c r="E73" s="29"/>
      <c r="F73" s="29"/>
      <c r="G73" s="29"/>
      <c r="H73" s="29"/>
      <c r="I73" s="29"/>
      <c r="J73" s="30"/>
      <c r="K73" s="30"/>
      <c r="L73" s="30"/>
      <c r="M73" s="30"/>
      <c r="N73" s="30"/>
      <c r="O73" s="30"/>
      <c r="P73" s="30"/>
      <c r="Q73" s="30"/>
      <c r="R73" s="30"/>
      <c r="S73" s="30"/>
      <c r="T73" s="30"/>
      <c r="U73" s="30"/>
      <c r="V73" s="30"/>
      <c r="W73" s="30"/>
      <c r="X73" s="30"/>
      <c r="Y73" s="30"/>
      <c r="Z73" s="30"/>
      <c r="AA73" s="29"/>
      <c r="AB73" s="29"/>
      <c r="AC73" s="29"/>
      <c r="AD73" s="29"/>
      <c r="AE73" s="29"/>
      <c r="AF73" s="29"/>
      <c r="AG73" s="29"/>
      <c r="AH73" s="29"/>
      <c r="AI73" s="29"/>
      <c r="AJ73" s="30"/>
      <c r="AK73" s="30"/>
      <c r="AL73" s="30"/>
      <c r="AM73" s="30"/>
      <c r="AN73" s="30"/>
      <c r="AO73" s="30"/>
      <c r="AP73" s="30"/>
      <c r="AQ73" s="30"/>
      <c r="AR73" s="30"/>
      <c r="AS73" s="30"/>
      <c r="AT73" s="30"/>
      <c r="AU73" s="30"/>
      <c r="AV73" s="30"/>
      <c r="AW73" s="30"/>
      <c r="AX73" s="30"/>
      <c r="AY73" s="30"/>
      <c r="AZ73" s="30"/>
    </row>
    <row r="74" spans="1:52" ht="14.25">
      <c r="A74" s="29"/>
      <c r="B74" s="29"/>
      <c r="C74" s="29"/>
      <c r="D74" s="29"/>
      <c r="E74" s="29"/>
      <c r="F74" s="29"/>
      <c r="G74" s="29"/>
      <c r="H74" s="29"/>
      <c r="I74" s="29"/>
      <c r="J74" s="30"/>
      <c r="K74" s="30"/>
      <c r="L74" s="30"/>
      <c r="M74" s="30"/>
      <c r="N74" s="30"/>
      <c r="O74" s="30"/>
      <c r="P74" s="30"/>
      <c r="Q74" s="30"/>
      <c r="R74" s="30"/>
      <c r="S74" s="30"/>
      <c r="T74" s="30"/>
      <c r="U74" s="30"/>
      <c r="V74" s="30"/>
      <c r="W74" s="30"/>
      <c r="X74" s="30"/>
      <c r="Y74" s="30"/>
      <c r="Z74" s="30"/>
      <c r="AA74" s="29"/>
      <c r="AB74" s="29"/>
      <c r="AC74" s="29"/>
      <c r="AD74" s="29"/>
      <c r="AE74" s="29"/>
      <c r="AF74" s="29"/>
      <c r="AG74" s="29"/>
      <c r="AH74" s="29"/>
      <c r="AI74" s="29"/>
      <c r="AJ74" s="30"/>
      <c r="AK74" s="30"/>
      <c r="AL74" s="30"/>
      <c r="AM74" s="30"/>
      <c r="AN74" s="30"/>
      <c r="AO74" s="30"/>
      <c r="AP74" s="30"/>
      <c r="AQ74" s="30"/>
      <c r="AR74" s="30"/>
      <c r="AS74" s="30"/>
      <c r="AT74" s="30"/>
      <c r="AU74" s="30"/>
      <c r="AV74" s="30"/>
      <c r="AW74" s="30"/>
      <c r="AX74" s="30"/>
      <c r="AY74" s="30"/>
      <c r="AZ74" s="30"/>
    </row>
    <row r="75" spans="1:52" ht="14.25">
      <c r="A75" s="29"/>
      <c r="B75" s="29"/>
      <c r="C75" s="29"/>
      <c r="D75" s="29"/>
      <c r="E75" s="29"/>
      <c r="F75" s="29"/>
      <c r="G75" s="29"/>
      <c r="H75" s="29"/>
      <c r="I75" s="29"/>
      <c r="J75" s="30"/>
      <c r="K75" s="30"/>
      <c r="L75" s="30"/>
      <c r="M75" s="30"/>
      <c r="N75" s="30"/>
      <c r="O75" s="30"/>
      <c r="P75" s="30"/>
      <c r="Q75" s="30"/>
      <c r="R75" s="30"/>
      <c r="S75" s="30"/>
      <c r="T75" s="30"/>
      <c r="U75" s="30"/>
      <c r="V75" s="30"/>
      <c r="W75" s="30"/>
      <c r="X75" s="30"/>
      <c r="Y75" s="30"/>
      <c r="Z75" s="30"/>
      <c r="AA75" s="29"/>
      <c r="AB75" s="29"/>
      <c r="AC75" s="29"/>
      <c r="AD75" s="29"/>
      <c r="AE75" s="29"/>
      <c r="AF75" s="29"/>
      <c r="AG75" s="29"/>
      <c r="AH75" s="29"/>
      <c r="AI75" s="29"/>
      <c r="AJ75" s="30"/>
      <c r="AK75" s="30"/>
      <c r="AL75" s="30"/>
      <c r="AM75" s="30"/>
      <c r="AN75" s="30"/>
      <c r="AO75" s="30"/>
      <c r="AP75" s="30"/>
      <c r="AQ75" s="30"/>
      <c r="AR75" s="30"/>
      <c r="AS75" s="30"/>
      <c r="AT75" s="30"/>
      <c r="AU75" s="30"/>
      <c r="AV75" s="30"/>
      <c r="AW75" s="30"/>
      <c r="AX75" s="30"/>
      <c r="AY75" s="30"/>
      <c r="AZ75" s="30"/>
    </row>
    <row r="76" spans="1:52" ht="14.25">
      <c r="A76" s="29"/>
      <c r="B76" s="29"/>
      <c r="C76" s="29"/>
      <c r="D76" s="29"/>
      <c r="E76" s="29"/>
      <c r="F76" s="29"/>
      <c r="G76" s="29"/>
      <c r="H76" s="29"/>
      <c r="I76" s="29"/>
      <c r="J76" s="30"/>
      <c r="K76" s="30"/>
      <c r="L76" s="30"/>
      <c r="M76" s="30"/>
      <c r="N76" s="30"/>
      <c r="O76" s="30"/>
      <c r="P76" s="30"/>
      <c r="Q76" s="30"/>
      <c r="R76" s="30"/>
      <c r="S76" s="30"/>
      <c r="T76" s="30"/>
      <c r="U76" s="30"/>
      <c r="V76" s="30"/>
      <c r="W76" s="30"/>
      <c r="X76" s="30"/>
      <c r="Y76" s="30"/>
      <c r="Z76" s="30"/>
      <c r="AA76" s="29"/>
      <c r="AB76" s="29"/>
      <c r="AC76" s="29"/>
      <c r="AD76" s="29"/>
      <c r="AE76" s="29"/>
      <c r="AF76" s="29"/>
      <c r="AG76" s="29"/>
      <c r="AH76" s="29"/>
      <c r="AI76" s="29"/>
      <c r="AJ76" s="30"/>
      <c r="AK76" s="30"/>
      <c r="AL76" s="30"/>
      <c r="AM76" s="30"/>
      <c r="AN76" s="30"/>
      <c r="AO76" s="30"/>
      <c r="AP76" s="30"/>
      <c r="AQ76" s="30"/>
      <c r="AR76" s="30"/>
      <c r="AS76" s="30"/>
      <c r="AT76" s="30"/>
      <c r="AU76" s="30"/>
      <c r="AV76" s="30"/>
      <c r="AW76" s="30"/>
      <c r="AX76" s="30"/>
      <c r="AY76" s="30"/>
      <c r="AZ76" s="30"/>
    </row>
    <row r="77" spans="1:52" ht="14.25">
      <c r="A77" s="29"/>
      <c r="B77" s="29"/>
      <c r="C77" s="29"/>
      <c r="D77" s="29"/>
      <c r="E77" s="29"/>
      <c r="F77" s="29"/>
      <c r="G77" s="29"/>
      <c r="H77" s="29"/>
      <c r="I77" s="29"/>
      <c r="J77" s="30"/>
      <c r="K77" s="30"/>
      <c r="L77" s="30"/>
      <c r="M77" s="30"/>
      <c r="N77" s="30"/>
      <c r="O77" s="30"/>
      <c r="P77" s="30"/>
      <c r="Q77" s="30"/>
      <c r="R77" s="30"/>
      <c r="S77" s="30"/>
      <c r="T77" s="30"/>
      <c r="U77" s="30"/>
      <c r="V77" s="30"/>
      <c r="W77" s="30"/>
      <c r="X77" s="30"/>
      <c r="Y77" s="30"/>
      <c r="Z77" s="30"/>
      <c r="AA77" s="29"/>
      <c r="AB77" s="29"/>
      <c r="AC77" s="29"/>
      <c r="AD77" s="29"/>
      <c r="AE77" s="29"/>
      <c r="AF77" s="29"/>
      <c r="AG77" s="29"/>
      <c r="AH77" s="29"/>
      <c r="AI77" s="29"/>
      <c r="AJ77" s="30"/>
      <c r="AK77" s="30"/>
      <c r="AL77" s="30"/>
      <c r="AM77" s="30"/>
      <c r="AN77" s="30"/>
      <c r="AO77" s="30"/>
      <c r="AP77" s="30"/>
      <c r="AQ77" s="30"/>
      <c r="AR77" s="30"/>
      <c r="AS77" s="30"/>
      <c r="AT77" s="30"/>
      <c r="AU77" s="30"/>
      <c r="AV77" s="30"/>
      <c r="AW77" s="30"/>
      <c r="AX77" s="30"/>
      <c r="AY77" s="30"/>
      <c r="AZ77" s="30"/>
    </row>
    <row r="78" spans="1:52" ht="14.25">
      <c r="A78" s="29"/>
      <c r="B78" s="29"/>
      <c r="C78" s="29"/>
      <c r="D78" s="29"/>
      <c r="E78" s="29"/>
      <c r="F78" s="29"/>
      <c r="G78" s="29"/>
      <c r="H78" s="29"/>
      <c r="I78" s="29"/>
      <c r="J78" s="30"/>
      <c r="K78" s="30"/>
      <c r="L78" s="30"/>
      <c r="M78" s="30"/>
      <c r="N78" s="30"/>
      <c r="O78" s="30"/>
      <c r="P78" s="30"/>
      <c r="Q78" s="30"/>
      <c r="R78" s="30"/>
      <c r="S78" s="30"/>
      <c r="T78" s="30"/>
      <c r="U78" s="30"/>
      <c r="V78" s="30"/>
      <c r="W78" s="30"/>
      <c r="X78" s="30"/>
      <c r="Y78" s="30"/>
      <c r="Z78" s="30"/>
      <c r="AA78" s="29"/>
      <c r="AB78" s="29"/>
      <c r="AC78" s="29"/>
      <c r="AD78" s="29"/>
      <c r="AE78" s="29"/>
      <c r="AF78" s="29"/>
      <c r="AG78" s="29"/>
      <c r="AH78" s="29"/>
      <c r="AI78" s="29"/>
      <c r="AJ78" s="30"/>
      <c r="AK78" s="30"/>
      <c r="AL78" s="30"/>
      <c r="AM78" s="30"/>
      <c r="AN78" s="30"/>
      <c r="AO78" s="30"/>
      <c r="AP78" s="30"/>
      <c r="AQ78" s="30"/>
      <c r="AR78" s="30"/>
      <c r="AS78" s="30"/>
      <c r="AT78" s="30"/>
      <c r="AU78" s="30"/>
      <c r="AV78" s="30"/>
      <c r="AW78" s="30"/>
      <c r="AX78" s="30"/>
      <c r="AY78" s="30"/>
      <c r="AZ78" s="30"/>
    </row>
    <row r="79" spans="1:52" ht="14.25">
      <c r="A79" s="29"/>
      <c r="B79" s="29"/>
      <c r="C79" s="29"/>
      <c r="D79" s="29"/>
      <c r="E79" s="29"/>
      <c r="F79" s="29"/>
      <c r="G79" s="29"/>
      <c r="H79" s="29"/>
      <c r="I79" s="29"/>
      <c r="J79" s="30"/>
      <c r="K79" s="30"/>
      <c r="L79" s="30"/>
      <c r="M79" s="30"/>
      <c r="N79" s="30"/>
      <c r="O79" s="30"/>
      <c r="P79" s="30"/>
      <c r="Q79" s="30"/>
      <c r="R79" s="30"/>
      <c r="S79" s="30"/>
      <c r="T79" s="30"/>
      <c r="U79" s="30"/>
      <c r="V79" s="30"/>
      <c r="W79" s="30"/>
      <c r="X79" s="30"/>
      <c r="Y79" s="30"/>
      <c r="Z79" s="30"/>
      <c r="AA79" s="29"/>
      <c r="AB79" s="29"/>
      <c r="AC79" s="29"/>
      <c r="AD79" s="29"/>
      <c r="AE79" s="29"/>
      <c r="AF79" s="29"/>
      <c r="AG79" s="29"/>
      <c r="AH79" s="29"/>
      <c r="AI79" s="29"/>
      <c r="AJ79" s="30"/>
      <c r="AK79" s="30"/>
      <c r="AL79" s="30"/>
      <c r="AM79" s="30"/>
      <c r="AN79" s="30"/>
      <c r="AO79" s="30"/>
      <c r="AP79" s="30"/>
      <c r="AQ79" s="30"/>
      <c r="AR79" s="30"/>
      <c r="AS79" s="30"/>
      <c r="AT79" s="30"/>
      <c r="AU79" s="30"/>
      <c r="AV79" s="30"/>
      <c r="AW79" s="30"/>
      <c r="AX79" s="30"/>
      <c r="AY79" s="30"/>
      <c r="AZ79" s="30"/>
    </row>
    <row r="80" spans="1:52" ht="14.25">
      <c r="A80" s="29"/>
      <c r="B80" s="29"/>
      <c r="C80" s="29"/>
      <c r="D80" s="29"/>
      <c r="E80" s="29"/>
      <c r="F80" s="29"/>
      <c r="G80" s="29"/>
      <c r="H80" s="29"/>
      <c r="I80" s="29"/>
      <c r="J80" s="30"/>
      <c r="K80" s="30"/>
      <c r="L80" s="30"/>
      <c r="M80" s="30"/>
      <c r="N80" s="30"/>
      <c r="O80" s="30"/>
      <c r="P80" s="30"/>
      <c r="Q80" s="30"/>
      <c r="R80" s="30"/>
      <c r="S80" s="30"/>
      <c r="T80" s="30"/>
      <c r="U80" s="30"/>
      <c r="V80" s="30"/>
      <c r="W80" s="30"/>
      <c r="X80" s="30"/>
      <c r="Y80" s="30"/>
      <c r="Z80" s="30"/>
      <c r="AA80" s="29"/>
      <c r="AB80" s="29"/>
      <c r="AC80" s="29"/>
      <c r="AD80" s="29"/>
      <c r="AE80" s="29"/>
      <c r="AF80" s="29"/>
      <c r="AG80" s="29"/>
      <c r="AH80" s="29"/>
      <c r="AI80" s="29"/>
      <c r="AJ80" s="30"/>
      <c r="AK80" s="30"/>
      <c r="AL80" s="30"/>
      <c r="AM80" s="30"/>
      <c r="AN80" s="30"/>
      <c r="AO80" s="30"/>
      <c r="AP80" s="30"/>
      <c r="AQ80" s="30"/>
      <c r="AR80" s="30"/>
      <c r="AS80" s="30"/>
      <c r="AT80" s="30"/>
      <c r="AU80" s="30"/>
      <c r="AV80" s="30"/>
      <c r="AW80" s="30"/>
      <c r="AX80" s="30"/>
      <c r="AY80" s="30"/>
      <c r="AZ80" s="30"/>
    </row>
    <row r="81" spans="1:52" ht="14.25">
      <c r="A81" s="29"/>
      <c r="B81" s="29"/>
      <c r="C81" s="29"/>
      <c r="D81" s="29"/>
      <c r="E81" s="29"/>
      <c r="F81" s="29"/>
      <c r="G81" s="29"/>
      <c r="H81" s="29"/>
      <c r="I81" s="29"/>
      <c r="J81" s="30"/>
      <c r="K81" s="30"/>
      <c r="L81" s="30"/>
      <c r="M81" s="30"/>
      <c r="N81" s="30"/>
      <c r="O81" s="30"/>
      <c r="P81" s="30"/>
      <c r="Q81" s="30"/>
      <c r="R81" s="30"/>
      <c r="S81" s="30"/>
      <c r="T81" s="30"/>
      <c r="U81" s="30"/>
      <c r="V81" s="30"/>
      <c r="W81" s="30"/>
      <c r="X81" s="30"/>
      <c r="Y81" s="30"/>
      <c r="Z81" s="30"/>
      <c r="AA81" s="29"/>
      <c r="AB81" s="29"/>
      <c r="AC81" s="29"/>
      <c r="AD81" s="29"/>
      <c r="AE81" s="29"/>
      <c r="AF81" s="29"/>
      <c r="AG81" s="29"/>
      <c r="AH81" s="29"/>
      <c r="AI81" s="29"/>
      <c r="AJ81" s="30"/>
      <c r="AK81" s="30"/>
      <c r="AL81" s="30"/>
      <c r="AM81" s="30"/>
      <c r="AN81" s="30"/>
      <c r="AO81" s="30"/>
      <c r="AP81" s="30"/>
      <c r="AQ81" s="30"/>
      <c r="AR81" s="30"/>
      <c r="AS81" s="30"/>
      <c r="AT81" s="30"/>
      <c r="AU81" s="30"/>
      <c r="AV81" s="30"/>
      <c r="AW81" s="30"/>
      <c r="AX81" s="30"/>
      <c r="AY81" s="30"/>
      <c r="AZ81" s="30"/>
    </row>
    <row r="82" spans="1:52" ht="14.25">
      <c r="A82" s="29"/>
      <c r="B82" s="29"/>
      <c r="C82" s="29"/>
      <c r="D82" s="29"/>
      <c r="E82" s="29"/>
      <c r="F82" s="29"/>
      <c r="G82" s="29"/>
      <c r="H82" s="29"/>
      <c r="I82" s="29"/>
      <c r="J82" s="30"/>
      <c r="K82" s="30"/>
      <c r="L82" s="30"/>
      <c r="M82" s="30"/>
      <c r="N82" s="30"/>
      <c r="O82" s="30"/>
      <c r="P82" s="30"/>
      <c r="Q82" s="30"/>
      <c r="R82" s="30"/>
      <c r="S82" s="30"/>
      <c r="T82" s="30"/>
      <c r="U82" s="30"/>
      <c r="V82" s="30"/>
      <c r="W82" s="30"/>
      <c r="X82" s="30"/>
      <c r="Y82" s="30"/>
      <c r="Z82" s="30"/>
      <c r="AA82" s="29"/>
      <c r="AB82" s="29"/>
      <c r="AC82" s="29"/>
      <c r="AD82" s="29"/>
      <c r="AE82" s="29"/>
      <c r="AF82" s="29"/>
      <c r="AG82" s="29"/>
      <c r="AH82" s="29"/>
      <c r="AI82" s="29"/>
      <c r="AJ82" s="30"/>
      <c r="AK82" s="30"/>
      <c r="AL82" s="30"/>
      <c r="AM82" s="30"/>
      <c r="AN82" s="30"/>
      <c r="AO82" s="30"/>
      <c r="AP82" s="30"/>
      <c r="AQ82" s="30"/>
      <c r="AR82" s="30"/>
      <c r="AS82" s="30"/>
      <c r="AT82" s="30"/>
      <c r="AU82" s="30"/>
      <c r="AV82" s="30"/>
      <c r="AW82" s="30"/>
      <c r="AX82" s="30"/>
      <c r="AY82" s="30"/>
      <c r="AZ82" s="30"/>
    </row>
    <row r="83" spans="1:52" ht="14.25">
      <c r="A83" s="29"/>
      <c r="B83" s="29"/>
      <c r="C83" s="29"/>
      <c r="D83" s="29"/>
      <c r="E83" s="29"/>
      <c r="F83" s="29"/>
      <c r="G83" s="29"/>
      <c r="H83" s="29"/>
      <c r="I83" s="29"/>
      <c r="J83" s="30"/>
      <c r="K83" s="30"/>
      <c r="L83" s="30"/>
      <c r="M83" s="30"/>
      <c r="N83" s="30"/>
      <c r="O83" s="30"/>
      <c r="P83" s="30"/>
      <c r="Q83" s="30"/>
      <c r="R83" s="30"/>
      <c r="S83" s="30"/>
      <c r="T83" s="30"/>
      <c r="U83" s="30"/>
      <c r="V83" s="30"/>
      <c r="W83" s="30"/>
      <c r="X83" s="30"/>
      <c r="Y83" s="30"/>
      <c r="Z83" s="30"/>
      <c r="AA83" s="29"/>
      <c r="AB83" s="29"/>
      <c r="AC83" s="29"/>
      <c r="AD83" s="29"/>
      <c r="AE83" s="29"/>
      <c r="AF83" s="29"/>
      <c r="AG83" s="29"/>
      <c r="AH83" s="29"/>
      <c r="AI83" s="29"/>
      <c r="AJ83" s="30"/>
      <c r="AK83" s="30"/>
      <c r="AL83" s="30"/>
      <c r="AM83" s="30"/>
      <c r="AN83" s="30"/>
      <c r="AO83" s="30"/>
      <c r="AP83" s="30"/>
      <c r="AQ83" s="30"/>
      <c r="AR83" s="30"/>
      <c r="AS83" s="30"/>
      <c r="AT83" s="30"/>
      <c r="AU83" s="30"/>
      <c r="AV83" s="30"/>
      <c r="AW83" s="30"/>
      <c r="AX83" s="30"/>
      <c r="AY83" s="30"/>
      <c r="AZ83" s="30"/>
    </row>
    <row r="84" spans="1:52" ht="14.25">
      <c r="A84" s="29"/>
      <c r="B84" s="29"/>
      <c r="C84" s="29"/>
      <c r="D84" s="29"/>
      <c r="E84" s="29"/>
      <c r="F84" s="29"/>
      <c r="G84" s="29"/>
      <c r="H84" s="29"/>
      <c r="I84" s="29"/>
      <c r="J84" s="30"/>
      <c r="K84" s="30"/>
      <c r="L84" s="30"/>
      <c r="M84" s="30"/>
      <c r="N84" s="30"/>
      <c r="O84" s="30"/>
      <c r="P84" s="30"/>
      <c r="Q84" s="30"/>
      <c r="R84" s="30"/>
      <c r="S84" s="30"/>
      <c r="T84" s="30"/>
      <c r="U84" s="30"/>
      <c r="V84" s="30"/>
      <c r="W84" s="30"/>
      <c r="X84" s="30"/>
      <c r="Y84" s="30"/>
      <c r="Z84" s="30"/>
      <c r="AA84" s="29"/>
      <c r="AB84" s="29"/>
      <c r="AC84" s="29"/>
      <c r="AD84" s="29"/>
      <c r="AE84" s="29"/>
      <c r="AF84" s="29"/>
      <c r="AG84" s="29"/>
      <c r="AH84" s="29"/>
      <c r="AI84" s="29"/>
      <c r="AJ84" s="30"/>
      <c r="AK84" s="30"/>
      <c r="AL84" s="30"/>
      <c r="AM84" s="30"/>
      <c r="AN84" s="30"/>
      <c r="AO84" s="30"/>
      <c r="AP84" s="30"/>
      <c r="AQ84" s="30"/>
      <c r="AR84" s="30"/>
      <c r="AS84" s="30"/>
      <c r="AT84" s="30"/>
      <c r="AU84" s="30"/>
      <c r="AV84" s="30"/>
      <c r="AW84" s="30"/>
      <c r="AX84" s="30"/>
      <c r="AY84" s="30"/>
      <c r="AZ84" s="30"/>
    </row>
    <row r="85" spans="1:52" ht="14.25">
      <c r="A85" s="29"/>
      <c r="B85" s="29"/>
      <c r="C85" s="29"/>
      <c r="D85" s="29"/>
      <c r="E85" s="29"/>
      <c r="F85" s="29"/>
      <c r="G85" s="29"/>
      <c r="H85" s="29"/>
      <c r="I85" s="29"/>
      <c r="J85" s="30"/>
      <c r="K85" s="30"/>
      <c r="L85" s="30"/>
      <c r="M85" s="30"/>
      <c r="N85" s="30"/>
      <c r="O85" s="30"/>
      <c r="P85" s="30"/>
      <c r="Q85" s="30"/>
      <c r="R85" s="30"/>
      <c r="S85" s="30"/>
      <c r="T85" s="30"/>
      <c r="U85" s="30"/>
      <c r="V85" s="30"/>
      <c r="W85" s="30"/>
      <c r="X85" s="30"/>
      <c r="Y85" s="30"/>
      <c r="Z85" s="30"/>
      <c r="AA85" s="29"/>
      <c r="AB85" s="29"/>
      <c r="AC85" s="29"/>
      <c r="AD85" s="29"/>
      <c r="AE85" s="29"/>
      <c r="AF85" s="29"/>
      <c r="AG85" s="29"/>
      <c r="AH85" s="29"/>
      <c r="AI85" s="29"/>
      <c r="AJ85" s="30"/>
      <c r="AK85" s="30"/>
      <c r="AL85" s="30"/>
      <c r="AM85" s="30"/>
      <c r="AN85" s="30"/>
      <c r="AO85" s="30"/>
      <c r="AP85" s="30"/>
      <c r="AQ85" s="30"/>
      <c r="AR85" s="30"/>
      <c r="AS85" s="30"/>
      <c r="AT85" s="30"/>
      <c r="AU85" s="30"/>
      <c r="AV85" s="30"/>
      <c r="AW85" s="30"/>
      <c r="AX85" s="30"/>
      <c r="AY85" s="30"/>
      <c r="AZ85" s="30"/>
    </row>
    <row r="86" spans="1:52" ht="14.25">
      <c r="A86" s="29"/>
      <c r="B86" s="29"/>
      <c r="C86" s="29"/>
      <c r="D86" s="29"/>
      <c r="E86" s="29"/>
      <c r="F86" s="29"/>
      <c r="G86" s="29"/>
      <c r="H86" s="29"/>
      <c r="I86" s="29"/>
      <c r="J86" s="30"/>
      <c r="K86" s="30"/>
      <c r="L86" s="30"/>
      <c r="M86" s="30"/>
      <c r="N86" s="30"/>
      <c r="O86" s="30"/>
      <c r="P86" s="30"/>
      <c r="Q86" s="30"/>
      <c r="R86" s="30"/>
      <c r="S86" s="30"/>
      <c r="T86" s="30"/>
      <c r="U86" s="30"/>
      <c r="V86" s="30"/>
      <c r="W86" s="30"/>
      <c r="X86" s="30"/>
      <c r="Y86" s="30"/>
      <c r="Z86" s="30"/>
      <c r="AA86" s="29"/>
      <c r="AB86" s="29"/>
      <c r="AC86" s="29"/>
      <c r="AD86" s="29"/>
      <c r="AE86" s="29"/>
      <c r="AF86" s="29"/>
      <c r="AG86" s="29"/>
      <c r="AH86" s="29"/>
      <c r="AI86" s="29"/>
      <c r="AJ86" s="30"/>
      <c r="AK86" s="30"/>
      <c r="AL86" s="30"/>
      <c r="AM86" s="30"/>
      <c r="AN86" s="30"/>
      <c r="AO86" s="30"/>
      <c r="AP86" s="30"/>
      <c r="AQ86" s="30"/>
      <c r="AR86" s="30"/>
      <c r="AS86" s="30"/>
      <c r="AT86" s="30"/>
      <c r="AU86" s="30"/>
      <c r="AV86" s="30"/>
      <c r="AW86" s="30"/>
      <c r="AX86" s="30"/>
      <c r="AY86" s="30"/>
      <c r="AZ86" s="30"/>
    </row>
    <row r="87" spans="1:52" ht="14.25">
      <c r="A87" s="29"/>
      <c r="B87" s="29"/>
      <c r="C87" s="29"/>
      <c r="D87" s="29"/>
      <c r="E87" s="29"/>
      <c r="F87" s="29"/>
      <c r="G87" s="29"/>
      <c r="H87" s="29"/>
      <c r="I87" s="29"/>
      <c r="J87" s="30"/>
      <c r="K87" s="30"/>
      <c r="L87" s="30"/>
      <c r="M87" s="30"/>
      <c r="N87" s="30"/>
      <c r="O87" s="30"/>
      <c r="P87" s="30"/>
      <c r="Q87" s="30"/>
      <c r="R87" s="30"/>
      <c r="S87" s="30"/>
      <c r="T87" s="30"/>
      <c r="U87" s="30"/>
      <c r="V87" s="30"/>
      <c r="W87" s="30"/>
      <c r="X87" s="30"/>
      <c r="Y87" s="30"/>
      <c r="Z87" s="30"/>
      <c r="AA87" s="29"/>
      <c r="AB87" s="29"/>
      <c r="AC87" s="29"/>
      <c r="AD87" s="29"/>
      <c r="AE87" s="29"/>
      <c r="AF87" s="29"/>
      <c r="AG87" s="29"/>
      <c r="AH87" s="29"/>
      <c r="AI87" s="29"/>
      <c r="AJ87" s="30"/>
      <c r="AK87" s="30"/>
      <c r="AL87" s="30"/>
      <c r="AM87" s="30"/>
      <c r="AN87" s="30"/>
      <c r="AO87" s="30"/>
      <c r="AP87" s="30"/>
      <c r="AQ87" s="30"/>
      <c r="AR87" s="30"/>
      <c r="AS87" s="30"/>
      <c r="AT87" s="30"/>
      <c r="AU87" s="30"/>
      <c r="AV87" s="30"/>
      <c r="AW87" s="30"/>
      <c r="AX87" s="30"/>
      <c r="AY87" s="30"/>
      <c r="AZ87" s="30"/>
    </row>
    <row r="88" spans="1:52" ht="14.25">
      <c r="A88" s="29"/>
      <c r="B88" s="29"/>
      <c r="C88" s="29"/>
      <c r="D88" s="29"/>
      <c r="E88" s="29"/>
      <c r="F88" s="29"/>
      <c r="G88" s="29"/>
      <c r="H88" s="29"/>
      <c r="I88" s="29"/>
      <c r="J88" s="30"/>
      <c r="K88" s="30"/>
      <c r="L88" s="30"/>
      <c r="M88" s="30"/>
      <c r="N88" s="30"/>
      <c r="O88" s="30"/>
      <c r="P88" s="30"/>
      <c r="Q88" s="30"/>
      <c r="R88" s="30"/>
      <c r="S88" s="30"/>
      <c r="T88" s="30"/>
      <c r="U88" s="30"/>
      <c r="V88" s="30"/>
      <c r="W88" s="30"/>
      <c r="X88" s="30"/>
      <c r="Y88" s="30"/>
      <c r="Z88" s="30"/>
      <c r="AA88" s="29"/>
      <c r="AB88" s="29"/>
      <c r="AC88" s="29"/>
      <c r="AD88" s="29"/>
      <c r="AE88" s="29"/>
      <c r="AF88" s="29"/>
      <c r="AG88" s="29"/>
      <c r="AH88" s="29"/>
      <c r="AI88" s="29"/>
      <c r="AJ88" s="30"/>
      <c r="AK88" s="30"/>
      <c r="AL88" s="30"/>
      <c r="AM88" s="30"/>
      <c r="AN88" s="30"/>
      <c r="AO88" s="30"/>
      <c r="AP88" s="30"/>
      <c r="AQ88" s="30"/>
      <c r="AR88" s="30"/>
      <c r="AS88" s="30"/>
      <c r="AT88" s="30"/>
      <c r="AU88" s="30"/>
      <c r="AV88" s="30"/>
      <c r="AW88" s="30"/>
      <c r="AX88" s="30"/>
      <c r="AY88" s="30"/>
      <c r="AZ88" s="30"/>
    </row>
    <row r="89" spans="1:52" ht="14.25">
      <c r="A89" s="29"/>
      <c r="B89" s="29"/>
      <c r="C89" s="29"/>
      <c r="D89" s="29"/>
      <c r="E89" s="29"/>
      <c r="F89" s="29"/>
      <c r="G89" s="29"/>
      <c r="H89" s="29"/>
      <c r="I89" s="29"/>
      <c r="J89" s="30"/>
      <c r="K89" s="30"/>
      <c r="L89" s="30"/>
      <c r="M89" s="30"/>
      <c r="N89" s="30"/>
      <c r="O89" s="30"/>
      <c r="P89" s="30"/>
      <c r="Q89" s="30"/>
      <c r="R89" s="30"/>
      <c r="S89" s="30"/>
      <c r="T89" s="30"/>
      <c r="U89" s="30"/>
      <c r="V89" s="30"/>
      <c r="W89" s="30"/>
      <c r="X89" s="30"/>
      <c r="Y89" s="30"/>
      <c r="Z89" s="30"/>
      <c r="AA89" s="29"/>
      <c r="AB89" s="29"/>
      <c r="AC89" s="29"/>
      <c r="AD89" s="29"/>
      <c r="AE89" s="29"/>
      <c r="AF89" s="29"/>
      <c r="AG89" s="29"/>
      <c r="AH89" s="29"/>
      <c r="AI89" s="29"/>
      <c r="AJ89" s="30"/>
      <c r="AK89" s="30"/>
      <c r="AL89" s="30"/>
      <c r="AM89" s="30"/>
      <c r="AN89" s="30"/>
      <c r="AO89" s="30"/>
      <c r="AP89" s="30"/>
      <c r="AQ89" s="30"/>
      <c r="AR89" s="30"/>
      <c r="AS89" s="30"/>
      <c r="AT89" s="30"/>
      <c r="AU89" s="30"/>
      <c r="AV89" s="30"/>
      <c r="AW89" s="30"/>
      <c r="AX89" s="30"/>
      <c r="AY89" s="30"/>
      <c r="AZ89" s="30"/>
    </row>
    <row r="90" spans="1:52" ht="14.25">
      <c r="A90" s="29"/>
      <c r="B90" s="29"/>
      <c r="C90" s="29"/>
      <c r="D90" s="29"/>
      <c r="E90" s="29"/>
      <c r="F90" s="29"/>
      <c r="G90" s="29"/>
      <c r="H90" s="29"/>
      <c r="I90" s="29"/>
      <c r="J90" s="30"/>
      <c r="K90" s="30"/>
      <c r="L90" s="30"/>
      <c r="M90" s="30"/>
      <c r="N90" s="30"/>
      <c r="O90" s="30"/>
      <c r="P90" s="30"/>
      <c r="Q90" s="30"/>
      <c r="R90" s="30"/>
      <c r="S90" s="30"/>
      <c r="T90" s="30"/>
      <c r="U90" s="30"/>
      <c r="V90" s="30"/>
      <c r="W90" s="30"/>
      <c r="X90" s="30"/>
      <c r="Y90" s="30"/>
      <c r="Z90" s="30"/>
      <c r="AA90" s="29"/>
      <c r="AB90" s="29"/>
      <c r="AC90" s="29"/>
      <c r="AD90" s="29"/>
      <c r="AE90" s="29"/>
      <c r="AF90" s="29"/>
      <c r="AG90" s="29"/>
      <c r="AH90" s="29"/>
      <c r="AI90" s="29"/>
      <c r="AJ90" s="30"/>
      <c r="AK90" s="30"/>
      <c r="AL90" s="30"/>
      <c r="AM90" s="30"/>
      <c r="AN90" s="30"/>
      <c r="AO90" s="30"/>
      <c r="AP90" s="30"/>
      <c r="AQ90" s="30"/>
      <c r="AR90" s="30"/>
      <c r="AS90" s="30"/>
      <c r="AT90" s="30"/>
      <c r="AU90" s="30"/>
      <c r="AV90" s="30"/>
      <c r="AW90" s="30"/>
      <c r="AX90" s="30"/>
      <c r="AY90" s="30"/>
      <c r="AZ90" s="30"/>
    </row>
    <row r="91" spans="1:52" ht="14.25">
      <c r="A91" s="29"/>
      <c r="B91" s="29"/>
      <c r="C91" s="29"/>
      <c r="D91" s="29"/>
      <c r="E91" s="29"/>
      <c r="F91" s="29"/>
      <c r="G91" s="29"/>
      <c r="H91" s="29"/>
      <c r="I91" s="29"/>
      <c r="J91" s="30"/>
      <c r="K91" s="30"/>
      <c r="L91" s="30"/>
      <c r="M91" s="30"/>
      <c r="N91" s="30"/>
      <c r="O91" s="30"/>
      <c r="P91" s="30"/>
      <c r="Q91" s="30"/>
      <c r="R91" s="30"/>
      <c r="S91" s="30"/>
      <c r="T91" s="30"/>
      <c r="U91" s="30"/>
      <c r="V91" s="30"/>
      <c r="W91" s="30"/>
      <c r="X91" s="30"/>
      <c r="Y91" s="30"/>
      <c r="Z91" s="30"/>
      <c r="AA91" s="29"/>
      <c r="AB91" s="29"/>
      <c r="AC91" s="29"/>
      <c r="AD91" s="29"/>
      <c r="AE91" s="29"/>
      <c r="AF91" s="29"/>
      <c r="AG91" s="29"/>
      <c r="AH91" s="29"/>
      <c r="AI91" s="29"/>
      <c r="AJ91" s="30"/>
      <c r="AK91" s="30"/>
      <c r="AL91" s="30"/>
      <c r="AM91" s="30"/>
      <c r="AN91" s="30"/>
      <c r="AO91" s="30"/>
      <c r="AP91" s="30"/>
      <c r="AQ91" s="30"/>
      <c r="AR91" s="30"/>
      <c r="AS91" s="30"/>
      <c r="AT91" s="30"/>
      <c r="AU91" s="30"/>
      <c r="AV91" s="30"/>
      <c r="AW91" s="30"/>
      <c r="AX91" s="30"/>
      <c r="AY91" s="30"/>
      <c r="AZ91" s="30"/>
    </row>
    <row r="92" spans="1:52" ht="14.25">
      <c r="A92" s="29"/>
      <c r="B92" s="29"/>
      <c r="C92" s="29"/>
      <c r="D92" s="29"/>
      <c r="E92" s="29"/>
      <c r="F92" s="29"/>
      <c r="G92" s="29"/>
      <c r="H92" s="29"/>
      <c r="I92" s="29"/>
      <c r="J92" s="30"/>
      <c r="K92" s="30"/>
      <c r="L92" s="30"/>
      <c r="M92" s="30"/>
      <c r="N92" s="30"/>
      <c r="O92" s="30"/>
      <c r="P92" s="30"/>
      <c r="Q92" s="30"/>
      <c r="R92" s="30"/>
      <c r="S92" s="30"/>
      <c r="T92" s="30"/>
      <c r="U92" s="30"/>
      <c r="V92" s="30"/>
      <c r="W92" s="30"/>
      <c r="X92" s="30"/>
      <c r="Y92" s="30"/>
      <c r="Z92" s="30"/>
      <c r="AA92" s="29"/>
      <c r="AB92" s="29"/>
      <c r="AC92" s="29"/>
      <c r="AD92" s="29"/>
      <c r="AE92" s="29"/>
      <c r="AF92" s="29"/>
      <c r="AG92" s="29"/>
      <c r="AH92" s="29"/>
      <c r="AI92" s="29"/>
      <c r="AJ92" s="30"/>
      <c r="AK92" s="30"/>
      <c r="AL92" s="30"/>
      <c r="AM92" s="30"/>
      <c r="AN92" s="30"/>
      <c r="AO92" s="30"/>
      <c r="AP92" s="30"/>
      <c r="AQ92" s="30"/>
      <c r="AR92" s="30"/>
      <c r="AS92" s="30"/>
      <c r="AT92" s="30"/>
      <c r="AU92" s="30"/>
      <c r="AV92" s="30"/>
      <c r="AW92" s="30"/>
      <c r="AX92" s="30"/>
      <c r="AY92" s="30"/>
      <c r="AZ92" s="30"/>
    </row>
    <row r="93" spans="1:52" ht="14.25">
      <c r="A93" s="29"/>
      <c r="B93" s="29"/>
      <c r="C93" s="29"/>
      <c r="D93" s="29"/>
      <c r="E93" s="29"/>
      <c r="F93" s="29"/>
      <c r="G93" s="29"/>
      <c r="H93" s="29"/>
      <c r="I93" s="29"/>
      <c r="J93" s="30"/>
      <c r="K93" s="30"/>
      <c r="L93" s="30"/>
      <c r="M93" s="30"/>
      <c r="N93" s="30"/>
      <c r="O93" s="30"/>
      <c r="P93" s="30"/>
      <c r="Q93" s="30"/>
      <c r="R93" s="30"/>
      <c r="S93" s="30"/>
      <c r="T93" s="30"/>
      <c r="U93" s="30"/>
      <c r="V93" s="30"/>
      <c r="W93" s="30"/>
      <c r="X93" s="30"/>
      <c r="Y93" s="30"/>
      <c r="Z93" s="30"/>
      <c r="AA93" s="29"/>
      <c r="AB93" s="29"/>
      <c r="AC93" s="29"/>
      <c r="AD93" s="29"/>
      <c r="AE93" s="29"/>
      <c r="AF93" s="29"/>
      <c r="AG93" s="29"/>
      <c r="AH93" s="29"/>
      <c r="AI93" s="29"/>
      <c r="AJ93" s="30"/>
      <c r="AK93" s="30"/>
      <c r="AL93" s="30"/>
      <c r="AM93" s="30"/>
      <c r="AN93" s="30"/>
      <c r="AO93" s="30"/>
      <c r="AP93" s="30"/>
      <c r="AQ93" s="30"/>
      <c r="AR93" s="30"/>
      <c r="AS93" s="30"/>
      <c r="AT93" s="30"/>
      <c r="AU93" s="30"/>
      <c r="AV93" s="30"/>
      <c r="AW93" s="30"/>
      <c r="AX93" s="30"/>
      <c r="AY93" s="30"/>
      <c r="AZ93" s="30"/>
    </row>
    <row r="94" spans="1:52" ht="14.25">
      <c r="A94" s="29"/>
      <c r="B94" s="29"/>
      <c r="C94" s="29"/>
      <c r="D94" s="29"/>
      <c r="E94" s="29"/>
      <c r="F94" s="29"/>
      <c r="G94" s="29"/>
      <c r="H94" s="29"/>
      <c r="I94" s="29"/>
      <c r="J94" s="30"/>
      <c r="K94" s="30"/>
      <c r="L94" s="30"/>
      <c r="M94" s="30"/>
      <c r="N94" s="30"/>
      <c r="O94" s="30"/>
      <c r="P94" s="30"/>
      <c r="Q94" s="30"/>
      <c r="R94" s="30"/>
      <c r="S94" s="30"/>
      <c r="T94" s="30"/>
      <c r="U94" s="30"/>
      <c r="V94" s="30"/>
      <c r="W94" s="30"/>
      <c r="X94" s="30"/>
      <c r="Y94" s="30"/>
      <c r="Z94" s="30"/>
      <c r="AA94" s="29"/>
      <c r="AB94" s="29"/>
      <c r="AC94" s="29"/>
      <c r="AD94" s="29"/>
      <c r="AE94" s="29"/>
      <c r="AF94" s="29"/>
      <c r="AG94" s="29"/>
      <c r="AH94" s="29"/>
      <c r="AI94" s="29"/>
      <c r="AJ94" s="30"/>
      <c r="AK94" s="30"/>
      <c r="AL94" s="30"/>
      <c r="AM94" s="30"/>
      <c r="AN94" s="30"/>
      <c r="AO94" s="30"/>
      <c r="AP94" s="30"/>
      <c r="AQ94" s="30"/>
      <c r="AR94" s="30"/>
      <c r="AS94" s="30"/>
      <c r="AT94" s="30"/>
      <c r="AU94" s="30"/>
      <c r="AV94" s="30"/>
      <c r="AW94" s="30"/>
      <c r="AX94" s="30"/>
      <c r="AY94" s="30"/>
      <c r="AZ94" s="30"/>
    </row>
    <row r="95" spans="1:52" ht="14.25">
      <c r="A95" s="29"/>
      <c r="B95" s="29"/>
      <c r="C95" s="29"/>
      <c r="D95" s="29"/>
      <c r="E95" s="29"/>
      <c r="F95" s="29"/>
      <c r="G95" s="29"/>
      <c r="H95" s="29"/>
      <c r="I95" s="29"/>
      <c r="J95" s="30"/>
      <c r="K95" s="30"/>
      <c r="L95" s="30"/>
      <c r="M95" s="30"/>
      <c r="N95" s="30"/>
      <c r="O95" s="30"/>
      <c r="P95" s="30"/>
      <c r="Q95" s="30"/>
      <c r="R95" s="30"/>
      <c r="S95" s="30"/>
      <c r="T95" s="30"/>
      <c r="U95" s="30"/>
      <c r="V95" s="30"/>
      <c r="W95" s="30"/>
      <c r="X95" s="30"/>
      <c r="Y95" s="30"/>
      <c r="Z95" s="30"/>
      <c r="AA95" s="29"/>
      <c r="AB95" s="29"/>
      <c r="AC95" s="29"/>
      <c r="AD95" s="29"/>
      <c r="AE95" s="29"/>
      <c r="AF95" s="29"/>
      <c r="AG95" s="29"/>
      <c r="AH95" s="29"/>
      <c r="AI95" s="29"/>
      <c r="AJ95" s="30"/>
      <c r="AK95" s="30"/>
      <c r="AL95" s="30"/>
      <c r="AM95" s="30"/>
      <c r="AN95" s="30"/>
      <c r="AO95" s="30"/>
      <c r="AP95" s="30"/>
      <c r="AQ95" s="30"/>
      <c r="AR95" s="30"/>
      <c r="AS95" s="30"/>
      <c r="AT95" s="30"/>
      <c r="AU95" s="30"/>
      <c r="AV95" s="30"/>
      <c r="AW95" s="30"/>
      <c r="AX95" s="30"/>
      <c r="AY95" s="30"/>
      <c r="AZ95" s="30"/>
    </row>
    <row r="96" spans="1:52" ht="14.25">
      <c r="A96" s="29"/>
      <c r="B96" s="29"/>
      <c r="C96" s="29"/>
      <c r="D96" s="29"/>
      <c r="E96" s="29"/>
      <c r="F96" s="29"/>
      <c r="G96" s="29"/>
      <c r="H96" s="29"/>
      <c r="I96" s="29"/>
      <c r="J96" s="30"/>
      <c r="K96" s="30"/>
      <c r="L96" s="30"/>
      <c r="M96" s="30"/>
      <c r="N96" s="30"/>
      <c r="O96" s="30"/>
      <c r="P96" s="30"/>
      <c r="Q96" s="30"/>
      <c r="R96" s="30"/>
      <c r="S96" s="30"/>
      <c r="T96" s="30"/>
      <c r="U96" s="30"/>
      <c r="V96" s="30"/>
      <c r="W96" s="30"/>
      <c r="X96" s="30"/>
      <c r="Y96" s="30"/>
      <c r="Z96" s="30"/>
      <c r="AA96" s="29"/>
      <c r="AB96" s="29"/>
      <c r="AC96" s="29"/>
      <c r="AD96" s="29"/>
      <c r="AE96" s="29"/>
      <c r="AF96" s="29"/>
      <c r="AG96" s="29"/>
      <c r="AH96" s="29"/>
      <c r="AI96" s="29"/>
      <c r="AJ96" s="30"/>
      <c r="AK96" s="30"/>
      <c r="AL96" s="30"/>
      <c r="AM96" s="30"/>
      <c r="AN96" s="30"/>
      <c r="AO96" s="30"/>
      <c r="AP96" s="30"/>
      <c r="AQ96" s="30"/>
      <c r="AR96" s="30"/>
      <c r="AS96" s="30"/>
      <c r="AT96" s="30"/>
      <c r="AU96" s="30"/>
      <c r="AV96" s="30"/>
      <c r="AW96" s="30"/>
      <c r="AX96" s="30"/>
      <c r="AY96" s="30"/>
      <c r="AZ96" s="30"/>
    </row>
    <row r="97" spans="1:52" ht="14.25">
      <c r="A97" s="29"/>
      <c r="B97" s="29"/>
      <c r="C97" s="29"/>
      <c r="D97" s="29"/>
      <c r="E97" s="29"/>
      <c r="F97" s="29"/>
      <c r="G97" s="29"/>
      <c r="H97" s="29"/>
      <c r="I97" s="29"/>
      <c r="J97" s="30"/>
      <c r="K97" s="30"/>
      <c r="L97" s="30"/>
      <c r="M97" s="30"/>
      <c r="N97" s="30"/>
      <c r="O97" s="30"/>
      <c r="P97" s="30"/>
      <c r="Q97" s="30"/>
      <c r="R97" s="30"/>
      <c r="S97" s="30"/>
      <c r="T97" s="30"/>
      <c r="U97" s="30"/>
      <c r="V97" s="30"/>
      <c r="W97" s="30"/>
      <c r="X97" s="30"/>
      <c r="Y97" s="30"/>
      <c r="Z97" s="30"/>
      <c r="AA97" s="29"/>
      <c r="AB97" s="29"/>
      <c r="AC97" s="29"/>
      <c r="AD97" s="29"/>
      <c r="AE97" s="29"/>
      <c r="AF97" s="29"/>
      <c r="AG97" s="29"/>
      <c r="AH97" s="29"/>
      <c r="AI97" s="29"/>
      <c r="AJ97" s="30"/>
      <c r="AK97" s="30"/>
      <c r="AL97" s="30"/>
      <c r="AM97" s="30"/>
      <c r="AN97" s="30"/>
      <c r="AO97" s="30"/>
      <c r="AP97" s="30"/>
      <c r="AQ97" s="30"/>
      <c r="AR97" s="30"/>
      <c r="AS97" s="30"/>
      <c r="AT97" s="30"/>
      <c r="AU97" s="30"/>
      <c r="AV97" s="30"/>
      <c r="AW97" s="30"/>
      <c r="AX97" s="30"/>
      <c r="AY97" s="30"/>
      <c r="AZ97" s="30"/>
    </row>
    <row r="98" spans="1:52" ht="14.25">
      <c r="A98" s="29"/>
      <c r="B98" s="29"/>
      <c r="C98" s="29"/>
      <c r="D98" s="29"/>
      <c r="E98" s="29"/>
      <c r="F98" s="29"/>
      <c r="G98" s="29"/>
      <c r="H98" s="29"/>
      <c r="I98" s="29"/>
      <c r="J98" s="30"/>
      <c r="K98" s="30"/>
      <c r="L98" s="30"/>
      <c r="M98" s="30"/>
      <c r="N98" s="30"/>
      <c r="O98" s="30"/>
      <c r="P98" s="30"/>
      <c r="Q98" s="30"/>
      <c r="R98" s="30"/>
      <c r="S98" s="30"/>
      <c r="T98" s="30"/>
      <c r="U98" s="30"/>
      <c r="V98" s="30"/>
      <c r="W98" s="30"/>
      <c r="X98" s="30"/>
      <c r="Y98" s="30"/>
      <c r="Z98" s="30"/>
      <c r="AA98" s="29"/>
      <c r="AB98" s="29"/>
      <c r="AC98" s="29"/>
      <c r="AD98" s="29"/>
      <c r="AE98" s="29"/>
      <c r="AF98" s="29"/>
      <c r="AG98" s="29"/>
      <c r="AH98" s="29"/>
      <c r="AI98" s="29"/>
      <c r="AJ98" s="30"/>
      <c r="AK98" s="30"/>
      <c r="AL98" s="30"/>
      <c r="AM98" s="30"/>
      <c r="AN98" s="30"/>
      <c r="AO98" s="30"/>
      <c r="AP98" s="30"/>
      <c r="AQ98" s="30"/>
      <c r="AR98" s="30"/>
      <c r="AS98" s="30"/>
      <c r="AT98" s="30"/>
      <c r="AU98" s="30"/>
      <c r="AV98" s="30"/>
      <c r="AW98" s="30"/>
      <c r="AX98" s="30"/>
      <c r="AY98" s="30"/>
      <c r="AZ98" s="30"/>
    </row>
    <row r="99" spans="1:52" ht="14.25">
      <c r="A99" s="29"/>
      <c r="B99" s="29"/>
      <c r="C99" s="29"/>
      <c r="D99" s="29"/>
      <c r="E99" s="29"/>
      <c r="F99" s="29"/>
      <c r="G99" s="29"/>
      <c r="H99" s="29"/>
      <c r="I99" s="29"/>
      <c r="J99" s="30"/>
      <c r="K99" s="30"/>
      <c r="L99" s="30"/>
      <c r="M99" s="30"/>
      <c r="N99" s="30"/>
      <c r="O99" s="30"/>
      <c r="P99" s="30"/>
      <c r="Q99" s="30"/>
      <c r="R99" s="30"/>
      <c r="S99" s="30"/>
      <c r="T99" s="30"/>
      <c r="U99" s="30"/>
      <c r="V99" s="30"/>
      <c r="W99" s="30"/>
      <c r="X99" s="30"/>
      <c r="Y99" s="30"/>
      <c r="Z99" s="30"/>
      <c r="AA99" s="29"/>
      <c r="AB99" s="29"/>
      <c r="AC99" s="29"/>
      <c r="AD99" s="29"/>
      <c r="AE99" s="29"/>
      <c r="AF99" s="29"/>
      <c r="AG99" s="29"/>
      <c r="AH99" s="29"/>
      <c r="AI99" s="29"/>
      <c r="AJ99" s="30"/>
      <c r="AK99" s="30"/>
      <c r="AL99" s="30"/>
      <c r="AM99" s="30"/>
      <c r="AN99" s="30"/>
      <c r="AO99" s="30"/>
      <c r="AP99" s="30"/>
      <c r="AQ99" s="30"/>
      <c r="AR99" s="30"/>
      <c r="AS99" s="30"/>
      <c r="AT99" s="30"/>
      <c r="AU99" s="30"/>
      <c r="AV99" s="30"/>
      <c r="AW99" s="30"/>
      <c r="AX99" s="30"/>
      <c r="AY99" s="30"/>
      <c r="AZ99" s="30"/>
    </row>
    <row r="100" spans="1:52" ht="14.25">
      <c r="A100" s="29"/>
      <c r="B100" s="29"/>
      <c r="C100" s="29"/>
      <c r="D100" s="29"/>
      <c r="E100" s="29"/>
      <c r="F100" s="29"/>
      <c r="G100" s="29"/>
      <c r="H100" s="29"/>
      <c r="I100" s="29"/>
      <c r="J100" s="30"/>
      <c r="K100" s="30"/>
      <c r="L100" s="30"/>
      <c r="M100" s="30"/>
      <c r="N100" s="30"/>
      <c r="O100" s="30"/>
      <c r="P100" s="30"/>
      <c r="Q100" s="30"/>
      <c r="R100" s="30"/>
      <c r="S100" s="30"/>
      <c r="T100" s="30"/>
      <c r="U100" s="30"/>
      <c r="V100" s="30"/>
      <c r="W100" s="30"/>
      <c r="X100" s="30"/>
      <c r="Y100" s="30"/>
      <c r="Z100" s="30"/>
      <c r="AA100" s="29"/>
      <c r="AB100" s="29"/>
      <c r="AC100" s="29"/>
      <c r="AD100" s="29"/>
      <c r="AE100" s="29"/>
      <c r="AF100" s="29"/>
      <c r="AG100" s="29"/>
      <c r="AH100" s="29"/>
      <c r="AI100" s="29"/>
      <c r="AJ100" s="30"/>
      <c r="AK100" s="30"/>
      <c r="AL100" s="30"/>
      <c r="AM100" s="30"/>
      <c r="AN100" s="30"/>
      <c r="AO100" s="30"/>
      <c r="AP100" s="30"/>
      <c r="AQ100" s="30"/>
      <c r="AR100" s="30"/>
      <c r="AS100" s="30"/>
      <c r="AT100" s="30"/>
      <c r="AU100" s="30"/>
      <c r="AV100" s="30"/>
      <c r="AW100" s="30"/>
      <c r="AX100" s="30"/>
      <c r="AY100" s="30"/>
      <c r="AZ100" s="30"/>
    </row>
    <row r="101" spans="1:52" ht="14.25">
      <c r="A101" s="29"/>
      <c r="B101" s="29"/>
      <c r="C101" s="29"/>
      <c r="D101" s="29"/>
      <c r="E101" s="29"/>
      <c r="F101" s="29"/>
      <c r="G101" s="29"/>
      <c r="H101" s="29"/>
      <c r="I101" s="29"/>
      <c r="J101" s="30"/>
      <c r="K101" s="30"/>
      <c r="L101" s="30"/>
      <c r="M101" s="30"/>
      <c r="N101" s="30"/>
      <c r="O101" s="30"/>
      <c r="P101" s="30"/>
      <c r="Q101" s="30"/>
      <c r="R101" s="30"/>
      <c r="S101" s="30"/>
      <c r="T101" s="30"/>
      <c r="U101" s="30"/>
      <c r="V101" s="30"/>
      <c r="W101" s="30"/>
      <c r="X101" s="30"/>
      <c r="Y101" s="30"/>
      <c r="Z101" s="30"/>
      <c r="AA101" s="29"/>
      <c r="AB101" s="29"/>
      <c r="AC101" s="29"/>
      <c r="AD101" s="29"/>
      <c r="AE101" s="29"/>
      <c r="AF101" s="29"/>
      <c r="AG101" s="29"/>
      <c r="AH101" s="29"/>
      <c r="AI101" s="29"/>
      <c r="AJ101" s="30"/>
      <c r="AK101" s="30"/>
      <c r="AL101" s="30"/>
      <c r="AM101" s="30"/>
      <c r="AN101" s="30"/>
      <c r="AO101" s="30"/>
      <c r="AP101" s="30"/>
      <c r="AQ101" s="30"/>
      <c r="AR101" s="30"/>
      <c r="AS101" s="30"/>
      <c r="AT101" s="30"/>
      <c r="AU101" s="30"/>
      <c r="AV101" s="30"/>
      <c r="AW101" s="30"/>
      <c r="AX101" s="30"/>
      <c r="AY101" s="30"/>
      <c r="AZ101" s="30"/>
    </row>
    <row r="102" spans="1:52" ht="14.25">
      <c r="A102" s="29"/>
      <c r="B102" s="29"/>
      <c r="C102" s="29"/>
      <c r="D102" s="29"/>
      <c r="E102" s="29"/>
      <c r="F102" s="29"/>
      <c r="G102" s="29"/>
      <c r="H102" s="29"/>
      <c r="I102" s="29"/>
      <c r="J102" s="30"/>
      <c r="K102" s="30"/>
      <c r="L102" s="30"/>
      <c r="M102" s="30"/>
      <c r="N102" s="30"/>
      <c r="O102" s="30"/>
      <c r="P102" s="30"/>
      <c r="Q102" s="30"/>
      <c r="R102" s="30"/>
      <c r="S102" s="30"/>
      <c r="T102" s="30"/>
      <c r="U102" s="30"/>
      <c r="V102" s="30"/>
      <c r="W102" s="30"/>
      <c r="X102" s="30"/>
      <c r="Y102" s="30"/>
      <c r="Z102" s="30"/>
      <c r="AA102" s="29"/>
      <c r="AB102" s="29"/>
      <c r="AC102" s="29"/>
      <c r="AD102" s="29"/>
      <c r="AE102" s="29"/>
      <c r="AF102" s="29"/>
      <c r="AG102" s="29"/>
      <c r="AH102" s="29"/>
      <c r="AI102" s="29"/>
      <c r="AJ102" s="30"/>
      <c r="AK102" s="30"/>
      <c r="AL102" s="30"/>
      <c r="AM102" s="30"/>
      <c r="AN102" s="30"/>
      <c r="AO102" s="30"/>
      <c r="AP102" s="30"/>
      <c r="AQ102" s="30"/>
      <c r="AR102" s="30"/>
      <c r="AS102" s="30"/>
      <c r="AT102" s="30"/>
      <c r="AU102" s="30"/>
      <c r="AV102" s="30"/>
      <c r="AW102" s="30"/>
      <c r="AX102" s="30"/>
      <c r="AY102" s="30"/>
      <c r="AZ102" s="30"/>
    </row>
    <row r="103" spans="1:52" ht="14.25">
      <c r="A103" s="29"/>
      <c r="B103" s="29"/>
      <c r="C103" s="29"/>
      <c r="D103" s="29"/>
      <c r="E103" s="29"/>
      <c r="F103" s="29"/>
      <c r="G103" s="29"/>
      <c r="H103" s="29"/>
      <c r="I103" s="29"/>
      <c r="J103" s="30"/>
      <c r="K103" s="30"/>
      <c r="L103" s="30"/>
      <c r="M103" s="30"/>
      <c r="N103" s="30"/>
      <c r="O103" s="30"/>
      <c r="P103" s="30"/>
      <c r="Q103" s="30"/>
      <c r="R103" s="30"/>
      <c r="S103" s="30"/>
      <c r="T103" s="30"/>
      <c r="U103" s="30"/>
      <c r="V103" s="30"/>
      <c r="W103" s="30"/>
      <c r="X103" s="30"/>
      <c r="Y103" s="30"/>
      <c r="Z103" s="30"/>
      <c r="AA103" s="29"/>
      <c r="AB103" s="29"/>
      <c r="AC103" s="29"/>
      <c r="AD103" s="29"/>
      <c r="AE103" s="29"/>
      <c r="AF103" s="29"/>
      <c r="AG103" s="29"/>
      <c r="AH103" s="29"/>
      <c r="AI103" s="29"/>
      <c r="AJ103" s="30"/>
      <c r="AK103" s="30"/>
      <c r="AL103" s="30"/>
      <c r="AM103" s="30"/>
      <c r="AN103" s="30"/>
      <c r="AO103" s="30"/>
      <c r="AP103" s="30"/>
      <c r="AQ103" s="30"/>
      <c r="AR103" s="30"/>
      <c r="AS103" s="30"/>
      <c r="AT103" s="30"/>
      <c r="AU103" s="30"/>
      <c r="AV103" s="30"/>
      <c r="AW103" s="30"/>
      <c r="AX103" s="30"/>
      <c r="AY103" s="30"/>
      <c r="AZ103" s="30"/>
    </row>
    <row r="104" spans="1:52" ht="14.25">
      <c r="A104" s="29"/>
      <c r="B104" s="29"/>
      <c r="C104" s="29"/>
      <c r="D104" s="29"/>
      <c r="E104" s="29"/>
      <c r="F104" s="29"/>
      <c r="G104" s="29"/>
      <c r="H104" s="29"/>
      <c r="I104" s="29"/>
      <c r="J104" s="30"/>
      <c r="K104" s="30"/>
      <c r="L104" s="30"/>
      <c r="M104" s="30"/>
      <c r="N104" s="30"/>
      <c r="O104" s="30"/>
      <c r="P104" s="30"/>
      <c r="Q104" s="30"/>
      <c r="R104" s="30"/>
      <c r="S104" s="30"/>
      <c r="T104" s="30"/>
      <c r="U104" s="30"/>
      <c r="V104" s="30"/>
      <c r="W104" s="30"/>
      <c r="X104" s="30"/>
      <c r="Y104" s="30"/>
      <c r="Z104" s="30"/>
      <c r="AA104" s="29"/>
      <c r="AB104" s="29"/>
      <c r="AC104" s="29"/>
      <c r="AD104" s="29"/>
      <c r="AE104" s="29"/>
      <c r="AF104" s="29"/>
      <c r="AG104" s="29"/>
      <c r="AH104" s="29"/>
      <c r="AI104" s="29"/>
      <c r="AJ104" s="30"/>
      <c r="AK104" s="30"/>
      <c r="AL104" s="30"/>
      <c r="AM104" s="30"/>
      <c r="AN104" s="30"/>
      <c r="AO104" s="30"/>
      <c r="AP104" s="30"/>
      <c r="AQ104" s="30"/>
      <c r="AR104" s="30"/>
      <c r="AS104" s="30"/>
      <c r="AT104" s="30"/>
      <c r="AU104" s="30"/>
      <c r="AV104" s="30"/>
      <c r="AW104" s="30"/>
      <c r="AX104" s="30"/>
      <c r="AY104" s="30"/>
      <c r="AZ104" s="30"/>
    </row>
    <row r="105" spans="1:52" ht="14.25">
      <c r="A105" s="29"/>
      <c r="B105" s="29"/>
      <c r="C105" s="29"/>
      <c r="D105" s="29"/>
      <c r="E105" s="29"/>
      <c r="F105" s="29"/>
      <c r="G105" s="29"/>
      <c r="H105" s="29"/>
      <c r="I105" s="29"/>
      <c r="J105" s="30"/>
      <c r="K105" s="30"/>
      <c r="L105" s="30"/>
      <c r="M105" s="30"/>
      <c r="N105" s="30"/>
      <c r="O105" s="30"/>
      <c r="P105" s="30"/>
      <c r="Q105" s="30"/>
      <c r="R105" s="30"/>
      <c r="S105" s="30"/>
      <c r="T105" s="30"/>
      <c r="U105" s="30"/>
      <c r="V105" s="30"/>
      <c r="W105" s="30"/>
      <c r="X105" s="30"/>
      <c r="Y105" s="30"/>
      <c r="Z105" s="30"/>
      <c r="AA105" s="29"/>
      <c r="AB105" s="29"/>
      <c r="AC105" s="29"/>
      <c r="AD105" s="29"/>
      <c r="AE105" s="29"/>
      <c r="AF105" s="29"/>
      <c r="AG105" s="29"/>
      <c r="AH105" s="29"/>
      <c r="AI105" s="29"/>
      <c r="AJ105" s="30"/>
      <c r="AK105" s="30"/>
      <c r="AL105" s="30"/>
      <c r="AM105" s="30"/>
      <c r="AN105" s="30"/>
      <c r="AO105" s="30"/>
      <c r="AP105" s="30"/>
      <c r="AQ105" s="30"/>
      <c r="AR105" s="30"/>
      <c r="AS105" s="30"/>
      <c r="AT105" s="30"/>
      <c r="AU105" s="30"/>
      <c r="AV105" s="30"/>
      <c r="AW105" s="30"/>
      <c r="AX105" s="30"/>
      <c r="AY105" s="30"/>
      <c r="AZ105" s="30"/>
    </row>
    <row r="106" spans="1:52" ht="14.25">
      <c r="A106" s="29"/>
      <c r="B106" s="29"/>
      <c r="C106" s="29"/>
      <c r="D106" s="29"/>
      <c r="E106" s="29"/>
      <c r="F106" s="29"/>
      <c r="G106" s="29"/>
      <c r="H106" s="29"/>
      <c r="I106" s="29"/>
      <c r="J106" s="30"/>
      <c r="K106" s="30"/>
      <c r="L106" s="30"/>
      <c r="M106" s="30"/>
      <c r="N106" s="30"/>
      <c r="O106" s="30"/>
      <c r="P106" s="30"/>
      <c r="Q106" s="30"/>
      <c r="R106" s="30"/>
      <c r="S106" s="30"/>
      <c r="T106" s="30"/>
      <c r="U106" s="30"/>
      <c r="V106" s="30"/>
      <c r="W106" s="30"/>
      <c r="X106" s="30"/>
      <c r="Y106" s="30"/>
      <c r="Z106" s="30"/>
      <c r="AA106" s="29"/>
      <c r="AB106" s="29"/>
      <c r="AC106" s="29"/>
      <c r="AD106" s="29"/>
      <c r="AE106" s="29"/>
      <c r="AF106" s="29"/>
      <c r="AG106" s="29"/>
      <c r="AH106" s="29"/>
      <c r="AI106" s="29"/>
      <c r="AJ106" s="30"/>
      <c r="AK106" s="30"/>
      <c r="AL106" s="30"/>
      <c r="AM106" s="30"/>
      <c r="AN106" s="30"/>
      <c r="AO106" s="30"/>
      <c r="AP106" s="30"/>
      <c r="AQ106" s="30"/>
      <c r="AR106" s="30"/>
      <c r="AS106" s="30"/>
      <c r="AT106" s="30"/>
      <c r="AU106" s="30"/>
      <c r="AV106" s="30"/>
      <c r="AW106" s="30"/>
      <c r="AX106" s="30"/>
      <c r="AY106" s="30"/>
      <c r="AZ106" s="30"/>
    </row>
    <row r="107" spans="1:52" ht="14.25">
      <c r="A107" s="29"/>
      <c r="B107" s="29"/>
      <c r="C107" s="29"/>
      <c r="D107" s="29"/>
      <c r="E107" s="29"/>
      <c r="F107" s="29"/>
      <c r="G107" s="29"/>
      <c r="H107" s="29"/>
      <c r="I107" s="29"/>
      <c r="J107" s="30"/>
      <c r="K107" s="30"/>
      <c r="L107" s="30"/>
      <c r="M107" s="30"/>
      <c r="N107" s="30"/>
      <c r="O107" s="30"/>
      <c r="P107" s="30"/>
      <c r="Q107" s="30"/>
      <c r="R107" s="30"/>
      <c r="S107" s="30"/>
      <c r="T107" s="30"/>
      <c r="U107" s="30"/>
      <c r="V107" s="30"/>
      <c r="W107" s="30"/>
      <c r="X107" s="30"/>
      <c r="Y107" s="30"/>
      <c r="Z107" s="30"/>
      <c r="AA107" s="29"/>
      <c r="AB107" s="29"/>
      <c r="AC107" s="29"/>
      <c r="AD107" s="29"/>
      <c r="AE107" s="29"/>
      <c r="AF107" s="29"/>
      <c r="AG107" s="29"/>
      <c r="AH107" s="29"/>
      <c r="AI107" s="29"/>
      <c r="AJ107" s="30"/>
      <c r="AK107" s="30"/>
      <c r="AL107" s="30"/>
      <c r="AM107" s="30"/>
      <c r="AN107" s="30"/>
      <c r="AO107" s="30"/>
      <c r="AP107" s="30"/>
      <c r="AQ107" s="30"/>
      <c r="AR107" s="30"/>
      <c r="AS107" s="30"/>
      <c r="AT107" s="30"/>
      <c r="AU107" s="30"/>
      <c r="AV107" s="30"/>
      <c r="AW107" s="30"/>
      <c r="AX107" s="30"/>
      <c r="AY107" s="30"/>
      <c r="AZ107" s="30"/>
    </row>
    <row r="108" spans="1:52" ht="14.25">
      <c r="A108" s="29"/>
      <c r="B108" s="29"/>
      <c r="C108" s="29"/>
      <c r="D108" s="29"/>
      <c r="E108" s="29"/>
      <c r="F108" s="29"/>
      <c r="G108" s="29"/>
      <c r="H108" s="29"/>
      <c r="I108" s="29"/>
      <c r="J108" s="30"/>
      <c r="K108" s="30"/>
      <c r="L108" s="30"/>
      <c r="M108" s="30"/>
      <c r="N108" s="30"/>
      <c r="O108" s="30"/>
      <c r="P108" s="30"/>
      <c r="Q108" s="30"/>
      <c r="R108" s="30"/>
      <c r="S108" s="30"/>
      <c r="T108" s="30"/>
      <c r="U108" s="30"/>
      <c r="V108" s="30"/>
      <c r="W108" s="30"/>
      <c r="X108" s="30"/>
      <c r="Y108" s="30"/>
      <c r="Z108" s="30"/>
      <c r="AA108" s="29"/>
      <c r="AB108" s="29"/>
      <c r="AC108" s="29"/>
      <c r="AD108" s="29"/>
      <c r="AE108" s="29"/>
      <c r="AF108" s="29"/>
      <c r="AG108" s="29"/>
      <c r="AH108" s="29"/>
      <c r="AI108" s="29"/>
      <c r="AJ108" s="30"/>
      <c r="AK108" s="30"/>
      <c r="AL108" s="30"/>
      <c r="AM108" s="30"/>
      <c r="AN108" s="30"/>
      <c r="AO108" s="30"/>
      <c r="AP108" s="30"/>
      <c r="AQ108" s="30"/>
      <c r="AR108" s="30"/>
      <c r="AS108" s="30"/>
      <c r="AT108" s="30"/>
      <c r="AU108" s="30"/>
      <c r="AV108" s="30"/>
      <c r="AW108" s="30"/>
      <c r="AX108" s="30"/>
      <c r="AY108" s="30"/>
      <c r="AZ108" s="30"/>
    </row>
    <row r="109" spans="1:52" ht="14.25">
      <c r="A109" s="29"/>
      <c r="B109" s="29"/>
      <c r="C109" s="29"/>
      <c r="D109" s="29"/>
      <c r="E109" s="29"/>
      <c r="F109" s="29"/>
      <c r="G109" s="29"/>
      <c r="H109" s="29"/>
      <c r="I109" s="29"/>
      <c r="J109" s="30"/>
      <c r="K109" s="30"/>
      <c r="L109" s="30"/>
      <c r="M109" s="30"/>
      <c r="N109" s="30"/>
      <c r="O109" s="30"/>
      <c r="P109" s="30"/>
      <c r="Q109" s="30"/>
      <c r="R109" s="30"/>
      <c r="S109" s="30"/>
      <c r="T109" s="30"/>
      <c r="U109" s="30"/>
      <c r="V109" s="30"/>
      <c r="W109" s="30"/>
      <c r="X109" s="30"/>
      <c r="Y109" s="30"/>
      <c r="Z109" s="30"/>
      <c r="AA109" s="29"/>
      <c r="AB109" s="29"/>
      <c r="AC109" s="29"/>
      <c r="AD109" s="29"/>
      <c r="AE109" s="29"/>
      <c r="AF109" s="29"/>
      <c r="AG109" s="29"/>
      <c r="AH109" s="29"/>
      <c r="AI109" s="29"/>
      <c r="AJ109" s="30"/>
      <c r="AK109" s="30"/>
      <c r="AL109" s="30"/>
      <c r="AM109" s="30"/>
      <c r="AN109" s="30"/>
      <c r="AO109" s="30"/>
      <c r="AP109" s="30"/>
      <c r="AQ109" s="30"/>
      <c r="AR109" s="30"/>
      <c r="AS109" s="30"/>
      <c r="AT109" s="30"/>
      <c r="AU109" s="30"/>
      <c r="AV109" s="30"/>
      <c r="AW109" s="30"/>
      <c r="AX109" s="30"/>
      <c r="AY109" s="30"/>
      <c r="AZ109" s="30"/>
    </row>
    <row r="110" spans="1:52" ht="14.25">
      <c r="A110" s="29"/>
      <c r="B110" s="29"/>
      <c r="C110" s="29"/>
      <c r="D110" s="29"/>
      <c r="E110" s="29"/>
      <c r="F110" s="29"/>
      <c r="G110" s="29"/>
      <c r="H110" s="29"/>
      <c r="I110" s="29"/>
      <c r="J110" s="30"/>
      <c r="K110" s="30"/>
      <c r="L110" s="30"/>
      <c r="M110" s="30"/>
      <c r="N110" s="30"/>
      <c r="O110" s="30"/>
      <c r="P110" s="30"/>
      <c r="Q110" s="30"/>
      <c r="R110" s="30"/>
      <c r="S110" s="30"/>
      <c r="T110" s="30"/>
      <c r="U110" s="30"/>
      <c r="V110" s="30"/>
      <c r="W110" s="30"/>
      <c r="X110" s="30"/>
      <c r="Y110" s="30"/>
      <c r="Z110" s="30"/>
      <c r="AA110" s="29"/>
      <c r="AB110" s="29"/>
      <c r="AC110" s="29"/>
      <c r="AD110" s="29"/>
      <c r="AE110" s="29"/>
      <c r="AF110" s="29"/>
      <c r="AG110" s="29"/>
      <c r="AH110" s="29"/>
      <c r="AI110" s="29"/>
      <c r="AJ110" s="30"/>
      <c r="AK110" s="30"/>
      <c r="AL110" s="30"/>
      <c r="AM110" s="30"/>
      <c r="AN110" s="30"/>
      <c r="AO110" s="30"/>
      <c r="AP110" s="30"/>
      <c r="AQ110" s="30"/>
      <c r="AR110" s="30"/>
      <c r="AS110" s="30"/>
      <c r="AT110" s="30"/>
      <c r="AU110" s="30"/>
      <c r="AV110" s="30"/>
      <c r="AW110" s="30"/>
      <c r="AX110" s="30"/>
      <c r="AY110" s="30"/>
      <c r="AZ110" s="30"/>
    </row>
    <row r="111" spans="1:52" ht="14.25">
      <c r="A111" s="29"/>
      <c r="B111" s="29"/>
      <c r="C111" s="29"/>
      <c r="D111" s="29"/>
      <c r="E111" s="29"/>
      <c r="F111" s="29"/>
      <c r="G111" s="29"/>
      <c r="H111" s="29"/>
      <c r="I111" s="29"/>
      <c r="J111" s="30"/>
      <c r="K111" s="30"/>
      <c r="L111" s="30"/>
      <c r="M111" s="30"/>
      <c r="N111" s="30"/>
      <c r="O111" s="30"/>
      <c r="P111" s="30"/>
      <c r="Q111" s="30"/>
      <c r="R111" s="30"/>
      <c r="S111" s="30"/>
      <c r="T111" s="30"/>
      <c r="U111" s="30"/>
      <c r="V111" s="30"/>
      <c r="W111" s="30"/>
      <c r="X111" s="30"/>
      <c r="Y111" s="30"/>
      <c r="Z111" s="30"/>
      <c r="AA111" s="29"/>
      <c r="AB111" s="29"/>
      <c r="AC111" s="29"/>
      <c r="AD111" s="29"/>
      <c r="AE111" s="29"/>
      <c r="AF111" s="29"/>
      <c r="AG111" s="29"/>
      <c r="AH111" s="29"/>
      <c r="AI111" s="29"/>
      <c r="AJ111" s="30"/>
      <c r="AK111" s="30"/>
      <c r="AL111" s="30"/>
      <c r="AM111" s="30"/>
      <c r="AN111" s="30"/>
      <c r="AO111" s="30"/>
      <c r="AP111" s="30"/>
      <c r="AQ111" s="30"/>
      <c r="AR111" s="30"/>
      <c r="AS111" s="30"/>
      <c r="AT111" s="30"/>
      <c r="AU111" s="30"/>
      <c r="AV111" s="30"/>
      <c r="AW111" s="30"/>
      <c r="AX111" s="30"/>
      <c r="AY111" s="30"/>
      <c r="AZ111" s="30"/>
    </row>
    <row r="112" spans="1:52" ht="14.25">
      <c r="A112" s="29"/>
      <c r="B112" s="29"/>
      <c r="C112" s="29"/>
      <c r="D112" s="29"/>
      <c r="E112" s="29"/>
      <c r="F112" s="29"/>
      <c r="G112" s="29"/>
      <c r="H112" s="29"/>
      <c r="I112" s="29"/>
      <c r="J112" s="30"/>
      <c r="K112" s="30"/>
      <c r="L112" s="30"/>
      <c r="M112" s="30"/>
      <c r="N112" s="30"/>
      <c r="O112" s="30"/>
      <c r="P112" s="30"/>
      <c r="Q112" s="30"/>
      <c r="R112" s="30"/>
      <c r="S112" s="30"/>
      <c r="T112" s="30"/>
      <c r="U112" s="30"/>
      <c r="V112" s="30"/>
      <c r="W112" s="30"/>
      <c r="X112" s="30"/>
      <c r="Y112" s="30"/>
      <c r="Z112" s="30"/>
      <c r="AA112" s="29"/>
      <c r="AB112" s="29"/>
      <c r="AC112" s="29"/>
      <c r="AD112" s="29"/>
      <c r="AE112" s="29"/>
      <c r="AF112" s="29"/>
      <c r="AG112" s="29"/>
      <c r="AH112" s="29"/>
      <c r="AI112" s="29"/>
      <c r="AJ112" s="30"/>
      <c r="AK112" s="30"/>
      <c r="AL112" s="30"/>
      <c r="AM112" s="30"/>
      <c r="AN112" s="30"/>
      <c r="AO112" s="30"/>
      <c r="AP112" s="30"/>
      <c r="AQ112" s="30"/>
      <c r="AR112" s="30"/>
      <c r="AS112" s="30"/>
      <c r="AT112" s="30"/>
      <c r="AU112" s="30"/>
      <c r="AV112" s="30"/>
      <c r="AW112" s="30"/>
      <c r="AX112" s="30"/>
      <c r="AY112" s="30"/>
      <c r="AZ112" s="30"/>
    </row>
    <row r="113" spans="1:52" ht="14.25">
      <c r="A113" s="29"/>
      <c r="B113" s="29"/>
      <c r="C113" s="29"/>
      <c r="D113" s="29"/>
      <c r="E113" s="29"/>
      <c r="F113" s="29"/>
      <c r="G113" s="29"/>
      <c r="H113" s="29"/>
      <c r="I113" s="29"/>
      <c r="J113" s="30"/>
      <c r="K113" s="30"/>
      <c r="L113" s="30"/>
      <c r="M113" s="30"/>
      <c r="N113" s="30"/>
      <c r="O113" s="30"/>
      <c r="P113" s="30"/>
      <c r="Q113" s="30"/>
      <c r="R113" s="30"/>
      <c r="S113" s="30"/>
      <c r="T113" s="30"/>
      <c r="U113" s="30"/>
      <c r="V113" s="30"/>
      <c r="W113" s="30"/>
      <c r="X113" s="30"/>
      <c r="Y113" s="30"/>
      <c r="Z113" s="30"/>
      <c r="AA113" s="29"/>
      <c r="AB113" s="29"/>
      <c r="AC113" s="29"/>
      <c r="AD113" s="29"/>
      <c r="AE113" s="29"/>
      <c r="AF113" s="29"/>
      <c r="AG113" s="29"/>
      <c r="AH113" s="29"/>
      <c r="AI113" s="29"/>
      <c r="AJ113" s="30"/>
      <c r="AK113" s="30"/>
      <c r="AL113" s="30"/>
      <c r="AM113" s="30"/>
      <c r="AN113" s="30"/>
      <c r="AO113" s="30"/>
      <c r="AP113" s="30"/>
      <c r="AQ113" s="30"/>
      <c r="AR113" s="30"/>
      <c r="AS113" s="30"/>
      <c r="AT113" s="30"/>
      <c r="AU113" s="30"/>
      <c r="AV113" s="30"/>
      <c r="AW113" s="30"/>
      <c r="AX113" s="30"/>
      <c r="AY113" s="30"/>
      <c r="AZ113" s="30"/>
    </row>
    <row r="114" spans="1:52" ht="14.25">
      <c r="A114" s="29"/>
      <c r="B114" s="29"/>
      <c r="C114" s="29"/>
      <c r="D114" s="29"/>
      <c r="E114" s="29"/>
      <c r="F114" s="29"/>
      <c r="G114" s="29"/>
      <c r="H114" s="29"/>
      <c r="I114" s="29"/>
      <c r="J114" s="30"/>
      <c r="K114" s="30"/>
      <c r="L114" s="30"/>
      <c r="M114" s="30"/>
      <c r="N114" s="30"/>
      <c r="O114" s="30"/>
      <c r="P114" s="30"/>
      <c r="Q114" s="30"/>
      <c r="R114" s="30"/>
      <c r="S114" s="30"/>
      <c r="T114" s="30"/>
      <c r="U114" s="30"/>
      <c r="V114" s="30"/>
      <c r="W114" s="30"/>
      <c r="X114" s="30"/>
      <c r="Y114" s="30"/>
      <c r="Z114" s="30"/>
      <c r="AA114" s="29"/>
      <c r="AB114" s="29"/>
      <c r="AC114" s="29"/>
      <c r="AD114" s="29"/>
      <c r="AE114" s="29"/>
      <c r="AF114" s="29"/>
      <c r="AG114" s="29"/>
      <c r="AH114" s="29"/>
      <c r="AI114" s="29"/>
      <c r="AJ114" s="30"/>
      <c r="AK114" s="30"/>
      <c r="AL114" s="30"/>
      <c r="AM114" s="30"/>
      <c r="AN114" s="30"/>
      <c r="AO114" s="30"/>
      <c r="AP114" s="30"/>
      <c r="AQ114" s="30"/>
      <c r="AR114" s="30"/>
      <c r="AS114" s="30"/>
      <c r="AT114" s="30"/>
      <c r="AU114" s="30"/>
      <c r="AV114" s="30"/>
      <c r="AW114" s="30"/>
      <c r="AX114" s="30"/>
      <c r="AY114" s="30"/>
      <c r="AZ114" s="30"/>
    </row>
    <row r="115" spans="1:52" ht="14.25">
      <c r="A115" s="29"/>
      <c r="B115" s="29"/>
      <c r="C115" s="29"/>
      <c r="D115" s="29"/>
      <c r="E115" s="29"/>
      <c r="F115" s="29"/>
      <c r="G115" s="29"/>
      <c r="H115" s="29"/>
      <c r="I115" s="29"/>
      <c r="J115" s="30"/>
      <c r="K115" s="30"/>
      <c r="L115" s="30"/>
      <c r="M115" s="30"/>
      <c r="N115" s="30"/>
      <c r="O115" s="30"/>
      <c r="P115" s="30"/>
      <c r="Q115" s="30"/>
      <c r="R115" s="30"/>
      <c r="S115" s="30"/>
      <c r="T115" s="30"/>
      <c r="U115" s="30"/>
      <c r="V115" s="30"/>
      <c r="W115" s="30"/>
      <c r="X115" s="30"/>
      <c r="Y115" s="30"/>
      <c r="Z115" s="30"/>
      <c r="AA115" s="29"/>
      <c r="AB115" s="29"/>
      <c r="AC115" s="29"/>
      <c r="AD115" s="29"/>
      <c r="AE115" s="29"/>
      <c r="AF115" s="29"/>
      <c r="AG115" s="29"/>
      <c r="AH115" s="29"/>
      <c r="AI115" s="29"/>
      <c r="AJ115" s="30"/>
      <c r="AK115" s="30"/>
      <c r="AL115" s="30"/>
      <c r="AM115" s="30"/>
      <c r="AN115" s="30"/>
      <c r="AO115" s="30"/>
      <c r="AP115" s="30"/>
      <c r="AQ115" s="30"/>
      <c r="AR115" s="30"/>
      <c r="AS115" s="30"/>
      <c r="AT115" s="30"/>
      <c r="AU115" s="30"/>
      <c r="AV115" s="30"/>
      <c r="AW115" s="30"/>
      <c r="AX115" s="30"/>
      <c r="AY115" s="30"/>
      <c r="AZ115" s="30"/>
    </row>
    <row r="116" spans="1:52" ht="14.25">
      <c r="A116" s="29"/>
      <c r="B116" s="29"/>
      <c r="C116" s="29"/>
      <c r="D116" s="29"/>
      <c r="E116" s="29"/>
      <c r="F116" s="29"/>
      <c r="G116" s="29"/>
      <c r="H116" s="29"/>
      <c r="I116" s="29"/>
      <c r="J116" s="30"/>
      <c r="K116" s="30"/>
      <c r="L116" s="30"/>
      <c r="M116" s="30"/>
      <c r="N116" s="30"/>
      <c r="O116" s="30"/>
      <c r="P116" s="30"/>
      <c r="Q116" s="30"/>
      <c r="R116" s="30"/>
      <c r="S116" s="30"/>
      <c r="T116" s="30"/>
      <c r="U116" s="30"/>
      <c r="V116" s="30"/>
      <c r="W116" s="30"/>
      <c r="X116" s="30"/>
      <c r="Y116" s="30"/>
      <c r="Z116" s="30"/>
      <c r="AA116" s="29"/>
      <c r="AB116" s="29"/>
      <c r="AC116" s="29"/>
      <c r="AD116" s="29"/>
      <c r="AE116" s="29"/>
      <c r="AF116" s="29"/>
      <c r="AG116" s="29"/>
      <c r="AH116" s="29"/>
      <c r="AI116" s="29"/>
      <c r="AJ116" s="30"/>
      <c r="AK116" s="30"/>
      <c r="AL116" s="30"/>
      <c r="AM116" s="30"/>
      <c r="AN116" s="30"/>
      <c r="AO116" s="30"/>
      <c r="AP116" s="30"/>
      <c r="AQ116" s="30"/>
      <c r="AR116" s="30"/>
      <c r="AS116" s="30"/>
      <c r="AT116" s="30"/>
      <c r="AU116" s="30"/>
      <c r="AV116" s="30"/>
      <c r="AW116" s="30"/>
      <c r="AX116" s="30"/>
      <c r="AY116" s="30"/>
      <c r="AZ116" s="30"/>
    </row>
    <row r="117" spans="1:52" ht="14.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row>
    <row r="118" spans="1:52" ht="14.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row>
    <row r="119" spans="1:52" ht="14.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row>
    <row r="120" spans="1:52" ht="14.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row>
    <row r="121" spans="1:52" ht="14.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row>
    <row r="122" spans="1:52" ht="14.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row>
    <row r="123" spans="1:52" ht="14.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row>
    <row r="124" spans="1:52" ht="14.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row>
    <row r="125" spans="1:52" ht="14.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row>
    <row r="126" spans="1:52" ht="14.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row>
    <row r="127" spans="1:52" ht="14.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row>
  </sheetData>
  <sheetProtection algorithmName="SHA-512" hashValue="xrIEZTZkr5oTivBuuzowa+1YRzl79KLzodWbfVK/Dfmpmn3IUowVJdCaUkfJe5VHSlTfibiNAyqrnav4LYElhw==" saltValue="j6U+0K4tPdhZKw9gxSPLWg==" spinCount="100000" sheet="1" selectLockedCells="1"/>
  <mergeCells count="152">
    <mergeCell ref="BE2:BF2"/>
    <mergeCell ref="L39:P40"/>
    <mergeCell ref="L41:P42"/>
    <mergeCell ref="L43:P44"/>
    <mergeCell ref="L45:P46"/>
    <mergeCell ref="L47:P48"/>
    <mergeCell ref="L49:P50"/>
    <mergeCell ref="A1:Z1"/>
    <mergeCell ref="AA1:AZ1"/>
    <mergeCell ref="A2:Z2"/>
    <mergeCell ref="AA2:AZ2"/>
    <mergeCell ref="A3:Z3"/>
    <mergeCell ref="AA3:AZ3"/>
    <mergeCell ref="A5:Z5"/>
    <mergeCell ref="AA5:AZ5"/>
    <mergeCell ref="A6:Z6"/>
    <mergeCell ref="AA6:AZ6"/>
    <mergeCell ref="AA4:AT4"/>
    <mergeCell ref="R4:T4"/>
    <mergeCell ref="A7:Z7"/>
    <mergeCell ref="AA7:AZ7"/>
    <mergeCell ref="A8:Z8"/>
    <mergeCell ref="AA8:AZ8"/>
    <mergeCell ref="A9:Z9"/>
    <mergeCell ref="AA9:AZ9"/>
    <mergeCell ref="A10:Z10"/>
    <mergeCell ref="AA10:AZ10"/>
    <mergeCell ref="K11:M11"/>
    <mergeCell ref="AA11:AL11"/>
    <mergeCell ref="AM11:AO11"/>
    <mergeCell ref="AP11:AZ11"/>
    <mergeCell ref="N11:Z11"/>
    <mergeCell ref="A18:Z18"/>
    <mergeCell ref="AA18:AZ18"/>
    <mergeCell ref="K12:M12"/>
    <mergeCell ref="AA12:AL12"/>
    <mergeCell ref="AM12:AO12"/>
    <mergeCell ref="AP12:AZ12"/>
    <mergeCell ref="K13:M13"/>
    <mergeCell ref="AA13:AL13"/>
    <mergeCell ref="AM13:AO13"/>
    <mergeCell ref="AP13:AZ13"/>
    <mergeCell ref="N12:Z12"/>
    <mergeCell ref="N13:Z13"/>
    <mergeCell ref="N14:Z14"/>
    <mergeCell ref="H19:J19"/>
    <mergeCell ref="Q19:R19"/>
    <mergeCell ref="W19:Y19"/>
    <mergeCell ref="AH19:AJ19"/>
    <mergeCell ref="A15:Z15"/>
    <mergeCell ref="AA15:AZ15"/>
    <mergeCell ref="K14:M14"/>
    <mergeCell ref="AA14:AL14"/>
    <mergeCell ref="AQ19:AR19"/>
    <mergeCell ref="AW19:AY19"/>
    <mergeCell ref="AM14:AO14"/>
    <mergeCell ref="A16:Z16"/>
    <mergeCell ref="AA16:AZ16"/>
    <mergeCell ref="A17:Z17"/>
    <mergeCell ref="AA17:AZ17"/>
    <mergeCell ref="B19:G19"/>
    <mergeCell ref="AB19:AG19"/>
    <mergeCell ref="AP14:AY14"/>
    <mergeCell ref="R21:Y21"/>
    <mergeCell ref="AH21:AP21"/>
    <mergeCell ref="AR21:AY21"/>
    <mergeCell ref="O21:P21"/>
    <mergeCell ref="H21:N21"/>
    <mergeCell ref="B22:G27"/>
    <mergeCell ref="H20:Y20"/>
    <mergeCell ref="AH20:AY20"/>
    <mergeCell ref="B20:G20"/>
    <mergeCell ref="B21:G21"/>
    <mergeCell ref="AB20:AG20"/>
    <mergeCell ref="AB21:AG21"/>
    <mergeCell ref="A28:Z28"/>
    <mergeCell ref="AA28:AZ28"/>
    <mergeCell ref="I22:Y22"/>
    <mergeCell ref="I24:Y24"/>
    <mergeCell ref="AI24:AY24"/>
    <mergeCell ref="A29:Z29"/>
    <mergeCell ref="AA29:AZ29"/>
    <mergeCell ref="I26:Y26"/>
    <mergeCell ref="AI26:AY26"/>
    <mergeCell ref="I27:Y27"/>
    <mergeCell ref="AI27:AY27"/>
    <mergeCell ref="AI22:AY22"/>
    <mergeCell ref="I23:Y23"/>
    <mergeCell ref="AI23:AY23"/>
    <mergeCell ref="I25:Y25"/>
    <mergeCell ref="AI25:AY25"/>
    <mergeCell ref="AB22:AG27"/>
    <mergeCell ref="N38:Y38"/>
    <mergeCell ref="AN38:AY38"/>
    <mergeCell ref="R36:X37"/>
    <mergeCell ref="M35:Q36"/>
    <mergeCell ref="A33:T33"/>
    <mergeCell ref="W33:Y33"/>
    <mergeCell ref="A34:R34"/>
    <mergeCell ref="AM35:AQ36"/>
    <mergeCell ref="AR36:AX37"/>
    <mergeCell ref="AA34:AN34"/>
    <mergeCell ref="AA33:AT33"/>
    <mergeCell ref="AW33:AY33"/>
    <mergeCell ref="W39:X40"/>
    <mergeCell ref="W41:X42"/>
    <mergeCell ref="R39:T40"/>
    <mergeCell ref="R41:T42"/>
    <mergeCell ref="AL39:AP40"/>
    <mergeCell ref="AR39:AT40"/>
    <mergeCell ref="AW39:AX40"/>
    <mergeCell ref="AL41:AP42"/>
    <mergeCell ref="AR41:AT42"/>
    <mergeCell ref="AW41:AX42"/>
    <mergeCell ref="W43:X44"/>
    <mergeCell ref="W45:X46"/>
    <mergeCell ref="R43:T44"/>
    <mergeCell ref="R45:T46"/>
    <mergeCell ref="W47:X48"/>
    <mergeCell ref="AL43:AP44"/>
    <mergeCell ref="AR43:AT44"/>
    <mergeCell ref="AW43:AX44"/>
    <mergeCell ref="AL45:AP46"/>
    <mergeCell ref="AR45:AT46"/>
    <mergeCell ref="AW45:AX46"/>
    <mergeCell ref="AH49:AJ52"/>
    <mergeCell ref="AB49:AD52"/>
    <mergeCell ref="AE49:AG52"/>
    <mergeCell ref="AL47:AP48"/>
    <mergeCell ref="AR47:AT48"/>
    <mergeCell ref="AW47:AX48"/>
    <mergeCell ref="AL49:AP50"/>
    <mergeCell ref="AR49:AT50"/>
    <mergeCell ref="AW49:AX50"/>
    <mergeCell ref="AL51:AP52"/>
    <mergeCell ref="AR51:AT52"/>
    <mergeCell ref="AW51:AX52"/>
    <mergeCell ref="AB47:AD48"/>
    <mergeCell ref="AE47:AG48"/>
    <mergeCell ref="AH47:AJ48"/>
    <mergeCell ref="W49:X50"/>
    <mergeCell ref="R47:T48"/>
    <mergeCell ref="R49:T50"/>
    <mergeCell ref="L51:P52"/>
    <mergeCell ref="R51:T52"/>
    <mergeCell ref="W51:X52"/>
    <mergeCell ref="B49:D52"/>
    <mergeCell ref="E49:G52"/>
    <mergeCell ref="H49:J52"/>
    <mergeCell ref="B47:D48"/>
    <mergeCell ref="E47:G48"/>
    <mergeCell ref="H47:J48"/>
  </mergeCells>
  <phoneticPr fontId="29"/>
  <conditionalFormatting sqref="H20:Y20">
    <cfRule type="cellIs" dxfId="309" priority="25" stopIfTrue="1" operator="equal">
      <formula>""</formula>
    </cfRule>
  </conditionalFormatting>
  <conditionalFormatting sqref="O21">
    <cfRule type="cellIs" dxfId="308" priority="24" stopIfTrue="1" operator="equal">
      <formula>""</formula>
    </cfRule>
  </conditionalFormatting>
  <conditionalFormatting sqref="V4">
    <cfRule type="cellIs" dxfId="307" priority="5" stopIfTrue="1" operator="equal">
      <formula>""</formula>
    </cfRule>
  </conditionalFormatting>
  <conditionalFormatting sqref="X4">
    <cfRule type="cellIs" dxfId="306" priority="4" stopIfTrue="1" operator="equal">
      <formula>""</formula>
    </cfRule>
  </conditionalFormatting>
  <conditionalFormatting sqref="R4:T4 V4 X4">
    <cfRule type="containsBlanks" dxfId="305" priority="26">
      <formula>LEN(TRIM(R4))=0</formula>
    </cfRule>
  </conditionalFormatting>
  <dataValidations count="3">
    <dataValidation type="list" allowBlank="1" showInputMessage="1" showErrorMessage="1" sqref="R4:T4" xr:uid="{95C778F1-6890-4012-93AA-6424716DEAF7}">
      <formula1>$BB$2:$BB$3</formula1>
    </dataValidation>
    <dataValidation type="list" allowBlank="1" showInputMessage="1" showErrorMessage="1" sqref="V4" xr:uid="{69DF9354-4457-4601-A71F-A9234C03257E}">
      <formula1>$BC$2:$BC$13</formula1>
    </dataValidation>
    <dataValidation type="list" allowBlank="1" showInputMessage="1" showErrorMessage="1" sqref="X4" xr:uid="{8DD1D08E-13F5-4B8B-A0AC-D729BBCCD1FF}">
      <formula1>$BC$2:$BC$32</formula1>
    </dataValidation>
  </dataValidations>
  <printOptions horizontalCentered="1"/>
  <pageMargins left="0.39370078740157483" right="0.39370078740157483" top="0.39370078740157483" bottom="0.39370078740157483" header="0" footer="0"/>
  <pageSetup paperSize="9" scale="91" orientation="portrait" r:id="rId1"/>
  <headerFooter>
    <oddFooter>&amp;R&amp;D &amp;T</oddFooter>
  </headerFooter>
  <colBreaks count="1" manualBreakCount="1">
    <brk id="26" max="53" man="1"/>
  </colBreaks>
  <ignoredErrors>
    <ignoredError sqref="O21 H20"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FF00"/>
  </sheetPr>
  <dimension ref="A1:BC50"/>
  <sheetViews>
    <sheetView showZeros="0" view="pageBreakPreview" zoomScale="90" zoomScaleNormal="80" zoomScaleSheetLayoutView="90" workbookViewId="0">
      <selection activeCell="H24" sqref="H24:M24"/>
    </sheetView>
  </sheetViews>
  <sheetFormatPr defaultRowHeight="13.5"/>
  <cols>
    <col min="1" max="8" width="3.625" style="1" customWidth="1"/>
    <col min="9" max="9" width="5.625" style="1" customWidth="1"/>
    <col min="10" max="11" width="3.625" style="1" customWidth="1"/>
    <col min="12" max="12" width="5.625" style="1" customWidth="1"/>
    <col min="13" max="14" width="3.625" style="1" customWidth="1"/>
    <col min="15" max="15" width="5.625" style="1" customWidth="1"/>
    <col min="16" max="17" width="3.625" style="1" customWidth="1"/>
    <col min="18" max="18" width="5.625" style="1" customWidth="1"/>
    <col min="19" max="21" width="3.625" style="1" customWidth="1"/>
    <col min="22" max="22" width="5.625" style="1" customWidth="1"/>
    <col min="23" max="23" width="3.625" style="1" customWidth="1"/>
    <col min="24" max="24" width="5.625" style="1" customWidth="1"/>
    <col min="25" max="52" width="3.625" style="1" customWidth="1"/>
    <col min="53" max="16384" width="9" style="1"/>
  </cols>
  <sheetData>
    <row r="1" spans="1:55" ht="28.5" customHeight="1">
      <c r="A1" s="2697"/>
      <c r="B1" s="2698"/>
      <c r="C1" s="2698"/>
      <c r="D1" s="2698"/>
      <c r="E1" s="2698"/>
      <c r="F1" s="2698"/>
      <c r="G1" s="2698"/>
      <c r="H1" s="2698"/>
      <c r="I1" s="2698"/>
      <c r="J1" s="2698"/>
      <c r="K1" s="2698"/>
      <c r="L1" s="2698"/>
      <c r="M1" s="2698"/>
      <c r="N1" s="2698"/>
      <c r="O1" s="2698"/>
      <c r="P1" s="2698"/>
      <c r="Q1" s="2698"/>
      <c r="R1" s="2698"/>
      <c r="S1" s="2698"/>
      <c r="T1" s="2698"/>
      <c r="U1" s="2698"/>
      <c r="V1" s="2698"/>
      <c r="W1" s="2698"/>
      <c r="X1" s="2698"/>
      <c r="Y1" s="2698"/>
      <c r="Z1" s="2699"/>
      <c r="AA1" s="2697"/>
      <c r="AB1" s="2698"/>
      <c r="AC1" s="2698"/>
      <c r="AD1" s="2698"/>
      <c r="AE1" s="2698"/>
      <c r="AF1" s="2698"/>
      <c r="AG1" s="2698"/>
      <c r="AH1" s="2698"/>
      <c r="AI1" s="2698"/>
      <c r="AJ1" s="2698"/>
      <c r="AK1" s="2698"/>
      <c r="AL1" s="2698"/>
      <c r="AM1" s="2698"/>
      <c r="AN1" s="2698"/>
      <c r="AO1" s="2698"/>
      <c r="AP1" s="2698"/>
      <c r="AQ1" s="2698"/>
      <c r="AR1" s="2698"/>
      <c r="AS1" s="2698"/>
      <c r="AT1" s="2698"/>
      <c r="AU1" s="2698"/>
      <c r="AV1" s="2698"/>
      <c r="AW1" s="2698"/>
      <c r="AX1" s="2698"/>
      <c r="AY1" s="2698"/>
      <c r="AZ1" s="2699"/>
    </row>
    <row r="2" spans="1:55" ht="23.25">
      <c r="A2" s="2700" t="s">
        <v>282</v>
      </c>
      <c r="B2" s="2701"/>
      <c r="C2" s="2701"/>
      <c r="D2" s="2701"/>
      <c r="E2" s="2701"/>
      <c r="F2" s="2701"/>
      <c r="G2" s="2701"/>
      <c r="H2" s="2701"/>
      <c r="I2" s="2701"/>
      <c r="J2" s="2701"/>
      <c r="K2" s="2701"/>
      <c r="L2" s="2701"/>
      <c r="M2" s="2701"/>
      <c r="N2" s="2701"/>
      <c r="O2" s="2701"/>
      <c r="P2" s="2701"/>
      <c r="Q2" s="2701"/>
      <c r="R2" s="2701"/>
      <c r="S2" s="2701"/>
      <c r="T2" s="2701"/>
      <c r="U2" s="2701"/>
      <c r="V2" s="2701"/>
      <c r="W2" s="2701"/>
      <c r="X2" s="2701"/>
      <c r="Y2" s="2701"/>
      <c r="Z2" s="2702"/>
      <c r="AA2" s="2700" t="s">
        <v>282</v>
      </c>
      <c r="AB2" s="2701"/>
      <c r="AC2" s="2701"/>
      <c r="AD2" s="2701"/>
      <c r="AE2" s="2701"/>
      <c r="AF2" s="2701"/>
      <c r="AG2" s="2701"/>
      <c r="AH2" s="2701"/>
      <c r="AI2" s="2701"/>
      <c r="AJ2" s="2701"/>
      <c r="AK2" s="2701"/>
      <c r="AL2" s="2701"/>
      <c r="AM2" s="2701"/>
      <c r="AN2" s="2701"/>
      <c r="AO2" s="2701"/>
      <c r="AP2" s="2701"/>
      <c r="AQ2" s="2701"/>
      <c r="AR2" s="2701"/>
      <c r="AS2" s="2701"/>
      <c r="AT2" s="2701"/>
      <c r="AU2" s="2701"/>
      <c r="AV2" s="2701"/>
      <c r="AW2" s="2701"/>
      <c r="AX2" s="2701"/>
      <c r="AY2" s="2701"/>
      <c r="AZ2" s="2702"/>
    </row>
    <row r="3" spans="1:55" ht="28.5" customHeight="1">
      <c r="A3" s="2689"/>
      <c r="B3" s="2690"/>
      <c r="C3" s="2690"/>
      <c r="D3" s="2690"/>
      <c r="E3" s="2690"/>
      <c r="F3" s="2690"/>
      <c r="G3" s="2690"/>
      <c r="H3" s="2690"/>
      <c r="I3" s="2690"/>
      <c r="J3" s="2690"/>
      <c r="K3" s="2690"/>
      <c r="L3" s="2690"/>
      <c r="M3" s="2690"/>
      <c r="N3" s="2690"/>
      <c r="O3" s="2690"/>
      <c r="P3" s="2690"/>
      <c r="Q3" s="2690"/>
      <c r="R3" s="2690"/>
      <c r="S3" s="2690"/>
      <c r="T3" s="2690"/>
      <c r="U3" s="2690"/>
      <c r="V3" s="2690"/>
      <c r="W3" s="2690"/>
      <c r="X3" s="2690"/>
      <c r="Y3" s="2690"/>
      <c r="Z3" s="2703"/>
      <c r="AA3" s="2689"/>
      <c r="AB3" s="2690"/>
      <c r="AC3" s="2690"/>
      <c r="AD3" s="2690"/>
      <c r="AE3" s="2690"/>
      <c r="AF3" s="2690"/>
      <c r="AG3" s="2690"/>
      <c r="AH3" s="2690"/>
      <c r="AI3" s="2690"/>
      <c r="AJ3" s="2690"/>
      <c r="AK3" s="2690"/>
      <c r="AL3" s="2690"/>
      <c r="AM3" s="2690"/>
      <c r="AN3" s="2690"/>
      <c r="AO3" s="2690"/>
      <c r="AP3" s="2690"/>
      <c r="AQ3" s="2690"/>
      <c r="AR3" s="2690"/>
      <c r="AS3" s="2690"/>
      <c r="AT3" s="2690"/>
      <c r="AU3" s="2690"/>
      <c r="AV3" s="2690"/>
      <c r="AW3" s="2690"/>
      <c r="AX3" s="2690"/>
      <c r="AY3" s="2690"/>
      <c r="AZ3" s="2703"/>
    </row>
    <row r="4" spans="1:55" ht="28.5" customHeight="1">
      <c r="A4" s="557"/>
      <c r="B4" s="558"/>
      <c r="C4" s="558"/>
      <c r="D4" s="558"/>
      <c r="E4" s="558"/>
      <c r="F4" s="558"/>
      <c r="G4" s="558"/>
      <c r="H4" s="558"/>
      <c r="I4" s="558"/>
      <c r="J4" s="558"/>
      <c r="K4" s="558"/>
      <c r="L4" s="558"/>
      <c r="M4" s="558"/>
      <c r="N4" s="558"/>
      <c r="O4" s="558"/>
      <c r="P4" s="558"/>
      <c r="Q4" s="558"/>
      <c r="R4" s="2693"/>
      <c r="S4" s="2694"/>
      <c r="T4" s="2694"/>
      <c r="U4" s="559" t="s">
        <v>16</v>
      </c>
      <c r="V4" s="637"/>
      <c r="W4" s="559" t="s">
        <v>15</v>
      </c>
      <c r="X4" s="637"/>
      <c r="Y4" s="559" t="s">
        <v>159</v>
      </c>
      <c r="Z4" s="560"/>
      <c r="AA4" s="2695" t="s">
        <v>3088</v>
      </c>
      <c r="AB4" s="2696"/>
      <c r="AC4" s="2696"/>
      <c r="AD4" s="2696"/>
      <c r="AE4" s="2696"/>
      <c r="AF4" s="2696"/>
      <c r="AG4" s="2696"/>
      <c r="AH4" s="2696"/>
      <c r="AI4" s="2696"/>
      <c r="AJ4" s="2696"/>
      <c r="AK4" s="2696"/>
      <c r="AL4" s="2696"/>
      <c r="AM4" s="2696"/>
      <c r="AN4" s="2696"/>
      <c r="AO4" s="2696"/>
      <c r="AP4" s="2696"/>
      <c r="AQ4" s="2696"/>
      <c r="AR4" s="2696"/>
      <c r="AS4" s="2696"/>
      <c r="AT4" s="2696"/>
      <c r="AU4" s="559" t="s">
        <v>16</v>
      </c>
      <c r="AV4" s="577" t="s">
        <v>2864</v>
      </c>
      <c r="AW4" s="559" t="s">
        <v>15</v>
      </c>
      <c r="AX4" s="577" t="s">
        <v>2874</v>
      </c>
      <c r="AY4" s="559" t="s">
        <v>159</v>
      </c>
      <c r="AZ4" s="560"/>
      <c r="BB4" s="63" t="s">
        <v>1830</v>
      </c>
      <c r="BC4" s="63">
        <v>1</v>
      </c>
    </row>
    <row r="5" spans="1:55" ht="14.25" customHeight="1">
      <c r="A5" s="2704"/>
      <c r="B5" s="2705"/>
      <c r="C5" s="2705"/>
      <c r="D5" s="2705"/>
      <c r="E5" s="2705"/>
      <c r="F5" s="2705"/>
      <c r="G5" s="2705"/>
      <c r="H5" s="2705"/>
      <c r="I5" s="2705"/>
      <c r="J5" s="2705"/>
      <c r="K5" s="2705"/>
      <c r="L5" s="2705"/>
      <c r="M5" s="2705"/>
      <c r="N5" s="2705"/>
      <c r="O5" s="2705"/>
      <c r="P5" s="2705"/>
      <c r="Q5" s="2705"/>
      <c r="R5" s="2705"/>
      <c r="S5" s="2705"/>
      <c r="T5" s="2705"/>
      <c r="U5" s="2705"/>
      <c r="V5" s="2705"/>
      <c r="W5" s="2705"/>
      <c r="X5" s="2705"/>
      <c r="Y5" s="2705"/>
      <c r="Z5" s="2706"/>
      <c r="AA5" s="2704"/>
      <c r="AB5" s="2705"/>
      <c r="AC5" s="2705"/>
      <c r="AD5" s="2705"/>
      <c r="AE5" s="2705"/>
      <c r="AF5" s="2705"/>
      <c r="AG5" s="2705"/>
      <c r="AH5" s="2705"/>
      <c r="AI5" s="2705"/>
      <c r="AJ5" s="2705"/>
      <c r="AK5" s="2705"/>
      <c r="AL5" s="2705"/>
      <c r="AM5" s="2705"/>
      <c r="AN5" s="2705"/>
      <c r="AO5" s="2705"/>
      <c r="AP5" s="2705"/>
      <c r="AQ5" s="2705"/>
      <c r="AR5" s="2705"/>
      <c r="AS5" s="2705"/>
      <c r="AT5" s="2705"/>
      <c r="AU5" s="2705"/>
      <c r="AV5" s="2705"/>
      <c r="AW5" s="2705"/>
      <c r="AX5" s="2705"/>
      <c r="AY5" s="2705"/>
      <c r="AZ5" s="2706"/>
      <c r="BB5" s="63" t="s">
        <v>2959</v>
      </c>
      <c r="BC5" s="63">
        <v>2</v>
      </c>
    </row>
    <row r="6" spans="1:55" ht="14.25" customHeight="1">
      <c r="A6" s="2689"/>
      <c r="B6" s="2690"/>
      <c r="C6" s="2690"/>
      <c r="D6" s="2690"/>
      <c r="E6" s="2690"/>
      <c r="F6" s="2690"/>
      <c r="G6" s="2690"/>
      <c r="H6" s="2690"/>
      <c r="I6" s="2690"/>
      <c r="J6" s="2690"/>
      <c r="K6" s="2690"/>
      <c r="L6" s="2690"/>
      <c r="M6" s="2690"/>
      <c r="N6" s="2690"/>
      <c r="O6" s="2690"/>
      <c r="P6" s="2690"/>
      <c r="Q6" s="2690"/>
      <c r="R6" s="2690"/>
      <c r="S6" s="2690"/>
      <c r="T6" s="2690"/>
      <c r="U6" s="2690"/>
      <c r="V6" s="2690"/>
      <c r="W6" s="2690"/>
      <c r="X6" s="2690"/>
      <c r="Y6" s="2690"/>
      <c r="Z6" s="2703"/>
      <c r="AA6" s="2689"/>
      <c r="AB6" s="2690"/>
      <c r="AC6" s="2690"/>
      <c r="AD6" s="2690"/>
      <c r="AE6" s="2690"/>
      <c r="AF6" s="2690"/>
      <c r="AG6" s="2690"/>
      <c r="AH6" s="2690"/>
      <c r="AI6" s="2690"/>
      <c r="AJ6" s="2690"/>
      <c r="AK6" s="2690"/>
      <c r="AL6" s="2690"/>
      <c r="AM6" s="2690"/>
      <c r="AN6" s="2690"/>
      <c r="AO6" s="2690"/>
      <c r="AP6" s="2690"/>
      <c r="AQ6" s="2690"/>
      <c r="AR6" s="2690"/>
      <c r="AS6" s="2690"/>
      <c r="AT6" s="2690"/>
      <c r="AU6" s="2690"/>
      <c r="AV6" s="2690"/>
      <c r="AW6" s="2690"/>
      <c r="AX6" s="2690"/>
      <c r="AY6" s="2690"/>
      <c r="AZ6" s="2703"/>
      <c r="BB6" s="63"/>
      <c r="BC6" s="63">
        <v>3</v>
      </c>
    </row>
    <row r="7" spans="1:55" ht="14.25" customHeight="1">
      <c r="A7" s="2704" t="s">
        <v>257</v>
      </c>
      <c r="B7" s="2705"/>
      <c r="C7" s="2705"/>
      <c r="D7" s="2705"/>
      <c r="E7" s="2705"/>
      <c r="F7" s="2705"/>
      <c r="G7" s="2705"/>
      <c r="H7" s="2705"/>
      <c r="I7" s="2705"/>
      <c r="J7" s="2705"/>
      <c r="K7" s="2705"/>
      <c r="L7" s="2705"/>
      <c r="M7" s="2705"/>
      <c r="N7" s="2705"/>
      <c r="O7" s="2705"/>
      <c r="P7" s="2705"/>
      <c r="Q7" s="2705"/>
      <c r="R7" s="2705"/>
      <c r="S7" s="2705"/>
      <c r="T7" s="2705"/>
      <c r="U7" s="2705"/>
      <c r="V7" s="2705"/>
      <c r="W7" s="2705"/>
      <c r="X7" s="2705"/>
      <c r="Y7" s="2705"/>
      <c r="Z7" s="2706"/>
      <c r="AA7" s="2704" t="s">
        <v>257</v>
      </c>
      <c r="AB7" s="2705"/>
      <c r="AC7" s="2705"/>
      <c r="AD7" s="2705"/>
      <c r="AE7" s="2705"/>
      <c r="AF7" s="2705"/>
      <c r="AG7" s="2705"/>
      <c r="AH7" s="2705"/>
      <c r="AI7" s="2705"/>
      <c r="AJ7" s="2705"/>
      <c r="AK7" s="2705"/>
      <c r="AL7" s="2705"/>
      <c r="AM7" s="2705"/>
      <c r="AN7" s="2705"/>
      <c r="AO7" s="2705"/>
      <c r="AP7" s="2705"/>
      <c r="AQ7" s="2705"/>
      <c r="AR7" s="2705"/>
      <c r="AS7" s="2705"/>
      <c r="AT7" s="2705"/>
      <c r="AU7" s="2705"/>
      <c r="AV7" s="2705"/>
      <c r="AW7" s="2705"/>
      <c r="AX7" s="2705"/>
      <c r="AY7" s="2705"/>
      <c r="AZ7" s="2706"/>
      <c r="BB7" s="63"/>
      <c r="BC7" s="63">
        <v>4</v>
      </c>
    </row>
    <row r="8" spans="1:55" ht="14.25" customHeight="1">
      <c r="A8" s="2638" t="s">
        <v>258</v>
      </c>
      <c r="B8" s="2639"/>
      <c r="C8" s="2639"/>
      <c r="D8" s="2639"/>
      <c r="E8" s="2639"/>
      <c r="F8" s="2639"/>
      <c r="G8" s="2639"/>
      <c r="H8" s="2639"/>
      <c r="I8" s="2639"/>
      <c r="J8" s="2639"/>
      <c r="K8" s="2639"/>
      <c r="L8" s="2639"/>
      <c r="M8" s="2639"/>
      <c r="N8" s="2639"/>
      <c r="O8" s="2639"/>
      <c r="P8" s="2639"/>
      <c r="Q8" s="2639"/>
      <c r="R8" s="2639"/>
      <c r="S8" s="2639"/>
      <c r="T8" s="2639"/>
      <c r="U8" s="2639"/>
      <c r="V8" s="2639"/>
      <c r="W8" s="2639"/>
      <c r="X8" s="2639"/>
      <c r="Y8" s="2639"/>
      <c r="Z8" s="2669"/>
      <c r="AA8" s="2638" t="s">
        <v>258</v>
      </c>
      <c r="AB8" s="2639"/>
      <c r="AC8" s="2639"/>
      <c r="AD8" s="2639"/>
      <c r="AE8" s="2639"/>
      <c r="AF8" s="2639"/>
      <c r="AG8" s="2639"/>
      <c r="AH8" s="2639"/>
      <c r="AI8" s="2639"/>
      <c r="AJ8" s="2639"/>
      <c r="AK8" s="2639"/>
      <c r="AL8" s="2639"/>
      <c r="AM8" s="2639"/>
      <c r="AN8" s="2639"/>
      <c r="AO8" s="2639"/>
      <c r="AP8" s="2639"/>
      <c r="AQ8" s="2639"/>
      <c r="AR8" s="2639"/>
      <c r="AS8" s="2639"/>
      <c r="AT8" s="2639"/>
      <c r="AU8" s="2639"/>
      <c r="AV8" s="2639"/>
      <c r="AW8" s="2639"/>
      <c r="AX8" s="2639"/>
      <c r="AY8" s="2639"/>
      <c r="AZ8" s="2669"/>
      <c r="BB8" s="63"/>
      <c r="BC8" s="63">
        <v>5</v>
      </c>
    </row>
    <row r="9" spans="1:55" ht="14.25" customHeight="1">
      <c r="A9" s="2638" t="s">
        <v>259</v>
      </c>
      <c r="B9" s="2639"/>
      <c r="C9" s="2639"/>
      <c r="D9" s="2639"/>
      <c r="E9" s="2639"/>
      <c r="F9" s="2639"/>
      <c r="G9" s="2639"/>
      <c r="H9" s="2639"/>
      <c r="I9" s="2639"/>
      <c r="J9" s="2639"/>
      <c r="K9" s="2639"/>
      <c r="L9" s="2639"/>
      <c r="M9" s="2639"/>
      <c r="N9" s="2639"/>
      <c r="O9" s="2639"/>
      <c r="P9" s="2639"/>
      <c r="Q9" s="2639"/>
      <c r="R9" s="2639"/>
      <c r="S9" s="2639"/>
      <c r="T9" s="2639"/>
      <c r="U9" s="2639"/>
      <c r="V9" s="2639"/>
      <c r="W9" s="2639"/>
      <c r="X9" s="2639"/>
      <c r="Y9" s="2639"/>
      <c r="Z9" s="2669"/>
      <c r="AA9" s="2638" t="s">
        <v>259</v>
      </c>
      <c r="AB9" s="2639"/>
      <c r="AC9" s="2639"/>
      <c r="AD9" s="2639"/>
      <c r="AE9" s="2639"/>
      <c r="AF9" s="2639"/>
      <c r="AG9" s="2639"/>
      <c r="AH9" s="2639"/>
      <c r="AI9" s="2639"/>
      <c r="AJ9" s="2639"/>
      <c r="AK9" s="2639"/>
      <c r="AL9" s="2639"/>
      <c r="AM9" s="2639"/>
      <c r="AN9" s="2639"/>
      <c r="AO9" s="2639"/>
      <c r="AP9" s="2639"/>
      <c r="AQ9" s="2639"/>
      <c r="AR9" s="2639"/>
      <c r="AS9" s="2639"/>
      <c r="AT9" s="2639"/>
      <c r="AU9" s="2639"/>
      <c r="AV9" s="2639"/>
      <c r="AW9" s="2639"/>
      <c r="AX9" s="2639"/>
      <c r="AY9" s="2639"/>
      <c r="AZ9" s="2669"/>
      <c r="BB9" s="63"/>
      <c r="BC9" s="63">
        <v>6</v>
      </c>
    </row>
    <row r="10" spans="1:55" ht="14.25" customHeight="1">
      <c r="A10" s="2638" t="s">
        <v>260</v>
      </c>
      <c r="B10" s="2639"/>
      <c r="C10" s="2639"/>
      <c r="D10" s="2639"/>
      <c r="E10" s="2639"/>
      <c r="F10" s="2639"/>
      <c r="G10" s="2639"/>
      <c r="H10" s="2639"/>
      <c r="I10" s="2639"/>
      <c r="J10" s="2639"/>
      <c r="K10" s="2639"/>
      <c r="L10" s="2639"/>
      <c r="M10" s="2639"/>
      <c r="N10" s="2639"/>
      <c r="O10" s="2639"/>
      <c r="P10" s="2639"/>
      <c r="Q10" s="2639"/>
      <c r="R10" s="2639"/>
      <c r="S10" s="2639"/>
      <c r="T10" s="2639"/>
      <c r="U10" s="2639"/>
      <c r="V10" s="2639"/>
      <c r="W10" s="2639"/>
      <c r="X10" s="2639"/>
      <c r="Y10" s="2639"/>
      <c r="Z10" s="2669"/>
      <c r="AA10" s="2638" t="s">
        <v>260</v>
      </c>
      <c r="AB10" s="2639"/>
      <c r="AC10" s="2639"/>
      <c r="AD10" s="2639"/>
      <c r="AE10" s="2639"/>
      <c r="AF10" s="2639"/>
      <c r="AG10" s="2639"/>
      <c r="AH10" s="2639"/>
      <c r="AI10" s="2639"/>
      <c r="AJ10" s="2639"/>
      <c r="AK10" s="2639"/>
      <c r="AL10" s="2639"/>
      <c r="AM10" s="2639"/>
      <c r="AN10" s="2639"/>
      <c r="AO10" s="2639"/>
      <c r="AP10" s="2639"/>
      <c r="AQ10" s="2639"/>
      <c r="AR10" s="2639"/>
      <c r="AS10" s="2639"/>
      <c r="AT10" s="2639"/>
      <c r="AU10" s="2639"/>
      <c r="AV10" s="2639"/>
      <c r="AW10" s="2639"/>
      <c r="AX10" s="2639"/>
      <c r="AY10" s="2639"/>
      <c r="AZ10" s="2669"/>
      <c r="BB10" s="63"/>
      <c r="BC10" s="63">
        <v>7</v>
      </c>
    </row>
    <row r="11" spans="1:55" ht="14.25" customHeight="1">
      <c r="A11" s="2704"/>
      <c r="B11" s="2705"/>
      <c r="C11" s="2705"/>
      <c r="D11" s="2705"/>
      <c r="E11" s="2705"/>
      <c r="F11" s="2705"/>
      <c r="G11" s="2705"/>
      <c r="H11" s="2705"/>
      <c r="I11" s="2705"/>
      <c r="J11" s="2705"/>
      <c r="K11" s="2705"/>
      <c r="L11" s="2705"/>
      <c r="M11" s="2705"/>
      <c r="N11" s="2705"/>
      <c r="O11" s="2705"/>
      <c r="P11" s="2705"/>
      <c r="Q11" s="2705"/>
      <c r="R11" s="2705"/>
      <c r="S11" s="2705"/>
      <c r="T11" s="2705"/>
      <c r="U11" s="2705"/>
      <c r="V11" s="2705"/>
      <c r="W11" s="2705"/>
      <c r="X11" s="2705"/>
      <c r="Y11" s="2705"/>
      <c r="Z11" s="2706"/>
      <c r="AA11" s="2704"/>
      <c r="AB11" s="2705"/>
      <c r="AC11" s="2705"/>
      <c r="AD11" s="2705"/>
      <c r="AE11" s="2705"/>
      <c r="AF11" s="2705"/>
      <c r="AG11" s="2705"/>
      <c r="AH11" s="2705"/>
      <c r="AI11" s="2705"/>
      <c r="AJ11" s="2705"/>
      <c r="AK11" s="2705"/>
      <c r="AL11" s="2705"/>
      <c r="AM11" s="2705"/>
      <c r="AN11" s="2705"/>
      <c r="AO11" s="2705"/>
      <c r="AP11" s="2705"/>
      <c r="AQ11" s="2705"/>
      <c r="AR11" s="2705"/>
      <c r="AS11" s="2705"/>
      <c r="AT11" s="2705"/>
      <c r="AU11" s="2705"/>
      <c r="AV11" s="2705"/>
      <c r="AW11" s="2705"/>
      <c r="AX11" s="2705"/>
      <c r="AY11" s="2705"/>
      <c r="AZ11" s="2706"/>
      <c r="BB11" s="63"/>
      <c r="BC11" s="63">
        <v>8</v>
      </c>
    </row>
    <row r="12" spans="1:55" ht="14.25" customHeight="1">
      <c r="A12" s="2704"/>
      <c r="B12" s="2705"/>
      <c r="C12" s="2705"/>
      <c r="D12" s="2705"/>
      <c r="E12" s="2705"/>
      <c r="F12" s="2705"/>
      <c r="G12" s="2705"/>
      <c r="H12" s="2705"/>
      <c r="I12" s="2705"/>
      <c r="J12" s="2705"/>
      <c r="K12" s="2705"/>
      <c r="L12" s="2705"/>
      <c r="M12" s="2705"/>
      <c r="N12" s="2705"/>
      <c r="O12" s="2705"/>
      <c r="P12" s="2705"/>
      <c r="Q12" s="2705"/>
      <c r="R12" s="2705"/>
      <c r="S12" s="2705"/>
      <c r="T12" s="2705"/>
      <c r="U12" s="2705"/>
      <c r="V12" s="2705"/>
      <c r="W12" s="2705"/>
      <c r="X12" s="2705"/>
      <c r="Y12" s="2705"/>
      <c r="Z12" s="2706"/>
      <c r="AA12" s="2704"/>
      <c r="AB12" s="2705"/>
      <c r="AC12" s="2705"/>
      <c r="AD12" s="2705"/>
      <c r="AE12" s="2705"/>
      <c r="AF12" s="2705"/>
      <c r="AG12" s="2705"/>
      <c r="AH12" s="2705"/>
      <c r="AI12" s="2705"/>
      <c r="AJ12" s="2705"/>
      <c r="AK12" s="2705"/>
      <c r="AL12" s="2705"/>
      <c r="AM12" s="2705"/>
      <c r="AN12" s="2705"/>
      <c r="AO12" s="2705"/>
      <c r="AP12" s="2705"/>
      <c r="AQ12" s="2705"/>
      <c r="AR12" s="2705"/>
      <c r="AS12" s="2705"/>
      <c r="AT12" s="2705"/>
      <c r="AU12" s="2705"/>
      <c r="AV12" s="2705"/>
      <c r="AW12" s="2705"/>
      <c r="AX12" s="2705"/>
      <c r="AY12" s="2705"/>
      <c r="AZ12" s="2706"/>
      <c r="BB12" s="63"/>
      <c r="BC12" s="63">
        <v>9</v>
      </c>
    </row>
    <row r="13" spans="1:55" ht="28.5" customHeight="1">
      <c r="A13" s="2689"/>
      <c r="B13" s="2690"/>
      <c r="C13" s="2690"/>
      <c r="D13" s="2690"/>
      <c r="E13" s="2690"/>
      <c r="F13" s="2690"/>
      <c r="G13" s="2690"/>
      <c r="H13" s="2690"/>
      <c r="I13" s="2690"/>
      <c r="J13" s="2690"/>
      <c r="K13" s="2690"/>
      <c r="L13" s="2690"/>
      <c r="M13" s="2690" t="s">
        <v>160</v>
      </c>
      <c r="N13" s="2690"/>
      <c r="O13" s="2690"/>
      <c r="P13" s="2707" t="str">
        <f>CONCATENATE('01 使用承認申請書'!D4)</f>
        <v/>
      </c>
      <c r="Q13" s="2708"/>
      <c r="R13" s="2708"/>
      <c r="S13" s="2708"/>
      <c r="T13" s="2708"/>
      <c r="U13" s="2708"/>
      <c r="V13" s="2708"/>
      <c r="W13" s="2708"/>
      <c r="X13" s="2708"/>
      <c r="Y13" s="2708"/>
      <c r="Z13" s="2709"/>
      <c r="AA13" s="2689"/>
      <c r="AB13" s="2690"/>
      <c r="AC13" s="2690"/>
      <c r="AD13" s="2690"/>
      <c r="AE13" s="2690"/>
      <c r="AF13" s="2690"/>
      <c r="AG13" s="2690"/>
      <c r="AH13" s="2690"/>
      <c r="AI13" s="2690"/>
      <c r="AJ13" s="2690"/>
      <c r="AK13" s="2690"/>
      <c r="AL13" s="2690"/>
      <c r="AM13" s="2690" t="s">
        <v>160</v>
      </c>
      <c r="AN13" s="2690"/>
      <c r="AO13" s="2690"/>
      <c r="AP13" s="2691" t="s">
        <v>261</v>
      </c>
      <c r="AQ13" s="2710"/>
      <c r="AR13" s="2710"/>
      <c r="AS13" s="2710"/>
      <c r="AT13" s="2710"/>
      <c r="AU13" s="2710"/>
      <c r="AV13" s="2710"/>
      <c r="AW13" s="2710"/>
      <c r="AX13" s="2710"/>
      <c r="AY13" s="2710"/>
      <c r="AZ13" s="2711"/>
      <c r="BB13" s="63"/>
      <c r="BC13" s="63">
        <v>10</v>
      </c>
    </row>
    <row r="14" spans="1:55" ht="28.5" customHeight="1">
      <c r="A14" s="2689"/>
      <c r="B14" s="2690"/>
      <c r="C14" s="2690"/>
      <c r="D14" s="2690"/>
      <c r="E14" s="2690"/>
      <c r="F14" s="2690"/>
      <c r="G14" s="2690"/>
      <c r="H14" s="2690"/>
      <c r="I14" s="2690"/>
      <c r="J14" s="2690"/>
      <c r="K14" s="2690"/>
      <c r="L14" s="2690"/>
      <c r="M14" s="2690" t="s">
        <v>3004</v>
      </c>
      <c r="N14" s="2690"/>
      <c r="O14" s="2690"/>
      <c r="P14" s="2691" t="str">
        <f>CONCATENATE('01 使用承認申請書'!S6)</f>
        <v/>
      </c>
      <c r="Q14" s="2691"/>
      <c r="R14" s="2691"/>
      <c r="S14" s="2691"/>
      <c r="T14" s="2691"/>
      <c r="U14" s="2691"/>
      <c r="V14" s="2691"/>
      <c r="W14" s="2691"/>
      <c r="X14" s="2691"/>
      <c r="Y14" s="2691"/>
      <c r="Z14" s="2692"/>
      <c r="AA14" s="2689"/>
      <c r="AB14" s="2690"/>
      <c r="AC14" s="2690"/>
      <c r="AD14" s="2690"/>
      <c r="AE14" s="2690"/>
      <c r="AF14" s="2690"/>
      <c r="AG14" s="2690"/>
      <c r="AH14" s="2690"/>
      <c r="AI14" s="2690"/>
      <c r="AJ14" s="2690"/>
      <c r="AK14" s="2690"/>
      <c r="AL14" s="2690"/>
      <c r="AM14" s="2690" t="s">
        <v>262</v>
      </c>
      <c r="AN14" s="2690"/>
      <c r="AO14" s="2690"/>
      <c r="AP14" s="2691" t="s">
        <v>283</v>
      </c>
      <c r="AQ14" s="2691"/>
      <c r="AR14" s="2691"/>
      <c r="AS14" s="2691"/>
      <c r="AT14" s="2691"/>
      <c r="AU14" s="2691"/>
      <c r="AV14" s="2691"/>
      <c r="AW14" s="2691"/>
      <c r="AX14" s="2691"/>
      <c r="AY14" s="2691"/>
      <c r="AZ14" s="2692"/>
      <c r="BB14" s="63"/>
      <c r="BC14" s="63">
        <v>11</v>
      </c>
    </row>
    <row r="15" spans="1:55" ht="28.5" customHeight="1">
      <c r="A15" s="2689"/>
      <c r="B15" s="2690"/>
      <c r="C15" s="2690"/>
      <c r="D15" s="2690"/>
      <c r="E15" s="2690"/>
      <c r="F15" s="2690"/>
      <c r="G15" s="2690"/>
      <c r="H15" s="2690"/>
      <c r="I15" s="2690"/>
      <c r="J15" s="2690"/>
      <c r="K15" s="2690"/>
      <c r="L15" s="2690"/>
      <c r="M15" s="2720" t="s">
        <v>3005</v>
      </c>
      <c r="N15" s="2720"/>
      <c r="O15" s="2720"/>
      <c r="P15" s="2721" t="str">
        <f>'01 使用承認申請書'!$E$8&amp;'01 使用承認申請書'!$R$8</f>
        <v/>
      </c>
      <c r="Q15" s="2721"/>
      <c r="R15" s="2721"/>
      <c r="S15" s="2721"/>
      <c r="T15" s="2721"/>
      <c r="U15" s="2721"/>
      <c r="V15" s="2721"/>
      <c r="W15" s="2721"/>
      <c r="X15" s="2721"/>
      <c r="Y15" s="2721"/>
      <c r="Z15" s="2722"/>
      <c r="AA15" s="2689"/>
      <c r="AB15" s="2690"/>
      <c r="AC15" s="2690"/>
      <c r="AD15" s="2690"/>
      <c r="AE15" s="2690"/>
      <c r="AF15" s="2690"/>
      <c r="AG15" s="2690"/>
      <c r="AH15" s="2690"/>
      <c r="AI15" s="2690"/>
      <c r="AJ15" s="2690"/>
      <c r="AK15" s="2690"/>
      <c r="AL15" s="2690"/>
      <c r="AM15" s="2690" t="s">
        <v>3007</v>
      </c>
      <c r="AN15" s="2690"/>
      <c r="AO15" s="2690"/>
      <c r="AP15" s="2718" t="s">
        <v>3009</v>
      </c>
      <c r="AQ15" s="2718"/>
      <c r="AR15" s="2718"/>
      <c r="AS15" s="2718"/>
      <c r="AT15" s="2718"/>
      <c r="AU15" s="2718"/>
      <c r="AV15" s="2718"/>
      <c r="AW15" s="2718"/>
      <c r="AX15" s="2718"/>
      <c r="AY15" s="2718"/>
      <c r="AZ15" s="2719"/>
      <c r="BB15" s="63"/>
      <c r="BC15" s="63">
        <v>12</v>
      </c>
    </row>
    <row r="16" spans="1:55" ht="28.5" customHeight="1">
      <c r="A16" s="2689"/>
      <c r="B16" s="2690"/>
      <c r="C16" s="2690"/>
      <c r="D16" s="2690"/>
      <c r="E16" s="2690"/>
      <c r="F16" s="2690"/>
      <c r="G16" s="2690"/>
      <c r="H16" s="2690"/>
      <c r="I16" s="2690"/>
      <c r="J16" s="2690"/>
      <c r="K16" s="2690"/>
      <c r="L16" s="2690"/>
      <c r="M16" s="2690" t="s">
        <v>3006</v>
      </c>
      <c r="N16" s="2690"/>
      <c r="O16" s="2690"/>
      <c r="P16" s="2718" t="str">
        <f>CONCATENATE('01 使用承認申請書'!$D$9)</f>
        <v/>
      </c>
      <c r="Q16" s="2718"/>
      <c r="R16" s="2718"/>
      <c r="S16" s="2718"/>
      <c r="T16" s="2718"/>
      <c r="U16" s="2718"/>
      <c r="V16" s="2718"/>
      <c r="W16" s="2718"/>
      <c r="X16" s="2718"/>
      <c r="Y16" s="2718"/>
      <c r="Z16" s="2719"/>
      <c r="AA16" s="2689"/>
      <c r="AB16" s="2690"/>
      <c r="AC16" s="2690"/>
      <c r="AD16" s="2690"/>
      <c r="AE16" s="2690"/>
      <c r="AF16" s="2690"/>
      <c r="AG16" s="2690"/>
      <c r="AH16" s="2690"/>
      <c r="AI16" s="2690"/>
      <c r="AJ16" s="2690"/>
      <c r="AK16" s="2690"/>
      <c r="AL16" s="2690"/>
      <c r="AM16" s="2690" t="s">
        <v>3008</v>
      </c>
      <c r="AN16" s="2690"/>
      <c r="AO16" s="2690"/>
      <c r="AP16" s="2718" t="str">
        <f>CONCATENATE('01 使用承認申請書'!AD10)</f>
        <v>011-591-0394</v>
      </c>
      <c r="AQ16" s="2718"/>
      <c r="AR16" s="2718"/>
      <c r="AS16" s="2718"/>
      <c r="AT16" s="2718"/>
      <c r="AU16" s="2718"/>
      <c r="AV16" s="2718"/>
      <c r="AW16" s="2718"/>
      <c r="AX16" s="2718"/>
      <c r="AY16" s="2718"/>
      <c r="AZ16" s="2719"/>
      <c r="BB16" s="63"/>
      <c r="BC16" s="63">
        <v>13</v>
      </c>
    </row>
    <row r="17" spans="1:55" ht="60" customHeight="1">
      <c r="A17" s="2712" t="s">
        <v>1903</v>
      </c>
      <c r="B17" s="2713"/>
      <c r="C17" s="2713"/>
      <c r="D17" s="2713"/>
      <c r="E17" s="2713"/>
      <c r="F17" s="2713"/>
      <c r="G17" s="2713"/>
      <c r="H17" s="2713"/>
      <c r="I17" s="2713"/>
      <c r="J17" s="2713"/>
      <c r="K17" s="2713"/>
      <c r="L17" s="2713"/>
      <c r="M17" s="2713"/>
      <c r="N17" s="2713"/>
      <c r="O17" s="2713"/>
      <c r="P17" s="2713"/>
      <c r="Q17" s="2713"/>
      <c r="R17" s="2713"/>
      <c r="S17" s="2713"/>
      <c r="T17" s="2713"/>
      <c r="U17" s="2713"/>
      <c r="V17" s="2713"/>
      <c r="W17" s="2713"/>
      <c r="X17" s="2713"/>
      <c r="Y17" s="2713"/>
      <c r="Z17" s="2714"/>
      <c r="AA17" s="2712" t="s">
        <v>1903</v>
      </c>
      <c r="AB17" s="2713"/>
      <c r="AC17" s="2713"/>
      <c r="AD17" s="2713"/>
      <c r="AE17" s="2713"/>
      <c r="AF17" s="2713"/>
      <c r="AG17" s="2713"/>
      <c r="AH17" s="2713"/>
      <c r="AI17" s="2713"/>
      <c r="AJ17" s="2713"/>
      <c r="AK17" s="2713"/>
      <c r="AL17" s="2713"/>
      <c r="AM17" s="2713"/>
      <c r="AN17" s="2713"/>
      <c r="AO17" s="2713"/>
      <c r="AP17" s="2713"/>
      <c r="AQ17" s="2713"/>
      <c r="AR17" s="2713"/>
      <c r="AS17" s="2713"/>
      <c r="AT17" s="2713"/>
      <c r="AU17" s="2713"/>
      <c r="AV17" s="2713"/>
      <c r="AW17" s="2713"/>
      <c r="AX17" s="2713"/>
      <c r="AY17" s="2713"/>
      <c r="AZ17" s="2714"/>
      <c r="BB17" s="63"/>
      <c r="BC17" s="63">
        <v>14</v>
      </c>
    </row>
    <row r="18" spans="1:55" ht="14.25" customHeight="1">
      <c r="A18" s="2715"/>
      <c r="B18" s="2716"/>
      <c r="C18" s="2716"/>
      <c r="D18" s="2716"/>
      <c r="E18" s="2716"/>
      <c r="F18" s="2716"/>
      <c r="G18" s="2716"/>
      <c r="H18" s="2716"/>
      <c r="I18" s="2716"/>
      <c r="J18" s="2716"/>
      <c r="K18" s="2716"/>
      <c r="L18" s="2716"/>
      <c r="M18" s="2716"/>
      <c r="N18" s="2716"/>
      <c r="O18" s="2716"/>
      <c r="P18" s="2716"/>
      <c r="Q18" s="2716"/>
      <c r="R18" s="2716"/>
      <c r="S18" s="2716"/>
      <c r="T18" s="2716"/>
      <c r="U18" s="2716"/>
      <c r="V18" s="2716"/>
      <c r="W18" s="2716"/>
      <c r="X18" s="2716"/>
      <c r="Y18" s="2716"/>
      <c r="Z18" s="2717"/>
      <c r="AA18" s="2715"/>
      <c r="AB18" s="2716"/>
      <c r="AC18" s="2716"/>
      <c r="AD18" s="2716"/>
      <c r="AE18" s="2716"/>
      <c r="AF18" s="2716"/>
      <c r="AG18" s="2716"/>
      <c r="AH18" s="2716"/>
      <c r="AI18" s="2716"/>
      <c r="AJ18" s="2716"/>
      <c r="AK18" s="2716"/>
      <c r="AL18" s="2716"/>
      <c r="AM18" s="2716"/>
      <c r="AN18" s="2716"/>
      <c r="AO18" s="2716"/>
      <c r="AP18" s="2716"/>
      <c r="AQ18" s="2716"/>
      <c r="AR18" s="2716"/>
      <c r="AS18" s="2716"/>
      <c r="AT18" s="2716"/>
      <c r="AU18" s="2716"/>
      <c r="AV18" s="2716"/>
      <c r="AW18" s="2716"/>
      <c r="AX18" s="2716"/>
      <c r="AY18" s="2716"/>
      <c r="AZ18" s="2717"/>
      <c r="BB18" s="63"/>
      <c r="BC18" s="63">
        <v>15</v>
      </c>
    </row>
    <row r="19" spans="1:55" ht="14.25" customHeight="1">
      <c r="A19" s="2715"/>
      <c r="B19" s="2716"/>
      <c r="C19" s="2716"/>
      <c r="D19" s="2716"/>
      <c r="E19" s="2716"/>
      <c r="F19" s="2716"/>
      <c r="G19" s="2716"/>
      <c r="H19" s="2716"/>
      <c r="I19" s="2716"/>
      <c r="J19" s="2716"/>
      <c r="K19" s="2716"/>
      <c r="L19" s="2716"/>
      <c r="M19" s="2716"/>
      <c r="N19" s="2716"/>
      <c r="O19" s="2716"/>
      <c r="P19" s="2716"/>
      <c r="Q19" s="2716"/>
      <c r="R19" s="2716"/>
      <c r="S19" s="2716"/>
      <c r="T19" s="2716"/>
      <c r="U19" s="2716"/>
      <c r="V19" s="2716"/>
      <c r="W19" s="2716"/>
      <c r="X19" s="2716"/>
      <c r="Y19" s="2716"/>
      <c r="Z19" s="2717"/>
      <c r="AA19" s="2715"/>
      <c r="AB19" s="2716"/>
      <c r="AC19" s="2716"/>
      <c r="AD19" s="2716"/>
      <c r="AE19" s="2716"/>
      <c r="AF19" s="2716"/>
      <c r="AG19" s="2716"/>
      <c r="AH19" s="2716"/>
      <c r="AI19" s="2716"/>
      <c r="AJ19" s="2716"/>
      <c r="AK19" s="2716"/>
      <c r="AL19" s="2716"/>
      <c r="AM19" s="2716"/>
      <c r="AN19" s="2716"/>
      <c r="AO19" s="2716"/>
      <c r="AP19" s="2716"/>
      <c r="AQ19" s="2716"/>
      <c r="AR19" s="2716"/>
      <c r="AS19" s="2716"/>
      <c r="AT19" s="2716"/>
      <c r="AU19" s="2716"/>
      <c r="AV19" s="2716"/>
      <c r="AW19" s="2716"/>
      <c r="AX19" s="2716"/>
      <c r="AY19" s="2716"/>
      <c r="AZ19" s="2717"/>
      <c r="BB19" s="63"/>
      <c r="BC19" s="63">
        <v>16</v>
      </c>
    </row>
    <row r="20" spans="1:55" ht="14.25" customHeight="1">
      <c r="A20" s="2704"/>
      <c r="B20" s="2705"/>
      <c r="C20" s="2705"/>
      <c r="D20" s="2705"/>
      <c r="E20" s="2705"/>
      <c r="F20" s="2705"/>
      <c r="G20" s="2705"/>
      <c r="H20" s="2705"/>
      <c r="I20" s="2705"/>
      <c r="J20" s="2705"/>
      <c r="K20" s="2705"/>
      <c r="L20" s="2705"/>
      <c r="M20" s="2705"/>
      <c r="N20" s="2705"/>
      <c r="O20" s="2705"/>
      <c r="P20" s="2705"/>
      <c r="Q20" s="2705"/>
      <c r="R20" s="2705"/>
      <c r="S20" s="2705"/>
      <c r="T20" s="2705"/>
      <c r="U20" s="2705"/>
      <c r="V20" s="2705"/>
      <c r="W20" s="2705"/>
      <c r="X20" s="2705"/>
      <c r="Y20" s="2705"/>
      <c r="Z20" s="2706"/>
      <c r="AA20" s="2704"/>
      <c r="AB20" s="2705"/>
      <c r="AC20" s="2705"/>
      <c r="AD20" s="2705"/>
      <c r="AE20" s="2705"/>
      <c r="AF20" s="2705"/>
      <c r="AG20" s="2705"/>
      <c r="AH20" s="2705"/>
      <c r="AI20" s="2705"/>
      <c r="AJ20" s="2705"/>
      <c r="AK20" s="2705"/>
      <c r="AL20" s="2705"/>
      <c r="AM20" s="2705"/>
      <c r="AN20" s="2705"/>
      <c r="AO20" s="2705"/>
      <c r="AP20" s="2705"/>
      <c r="AQ20" s="2705"/>
      <c r="AR20" s="2705"/>
      <c r="AS20" s="2705"/>
      <c r="AT20" s="2705"/>
      <c r="AU20" s="2705"/>
      <c r="AV20" s="2705"/>
      <c r="AW20" s="2705"/>
      <c r="AX20" s="2705"/>
      <c r="AY20" s="2705"/>
      <c r="AZ20" s="2706"/>
      <c r="BB20" s="63"/>
      <c r="BC20" s="63">
        <v>17</v>
      </c>
    </row>
    <row r="21" spans="1:55" ht="14.25" customHeight="1">
      <c r="A21" s="2704"/>
      <c r="B21" s="2705"/>
      <c r="C21" s="2705"/>
      <c r="D21" s="2705"/>
      <c r="E21" s="2705"/>
      <c r="F21" s="2705"/>
      <c r="G21" s="2705"/>
      <c r="H21" s="2705"/>
      <c r="I21" s="2705"/>
      <c r="J21" s="2705"/>
      <c r="K21" s="2705"/>
      <c r="L21" s="2705"/>
      <c r="M21" s="2705"/>
      <c r="N21" s="2705"/>
      <c r="O21" s="2705"/>
      <c r="P21" s="2705"/>
      <c r="Q21" s="2705"/>
      <c r="R21" s="2705"/>
      <c r="S21" s="2705"/>
      <c r="T21" s="2705"/>
      <c r="U21" s="2705"/>
      <c r="V21" s="2705"/>
      <c r="W21" s="2705"/>
      <c r="X21" s="2705"/>
      <c r="Y21" s="2705"/>
      <c r="Z21" s="2706"/>
      <c r="AA21" s="2704"/>
      <c r="AB21" s="2705"/>
      <c r="AC21" s="2705"/>
      <c r="AD21" s="2705"/>
      <c r="AE21" s="2705"/>
      <c r="AF21" s="2705"/>
      <c r="AG21" s="2705"/>
      <c r="AH21" s="2705"/>
      <c r="AI21" s="2705"/>
      <c r="AJ21" s="2705"/>
      <c r="AK21" s="2705"/>
      <c r="AL21" s="2705"/>
      <c r="AM21" s="2705"/>
      <c r="AN21" s="2705"/>
      <c r="AO21" s="2705"/>
      <c r="AP21" s="2705"/>
      <c r="AQ21" s="2705"/>
      <c r="AR21" s="2705"/>
      <c r="AS21" s="2705"/>
      <c r="AT21" s="2705"/>
      <c r="AU21" s="2705"/>
      <c r="AV21" s="2705"/>
      <c r="AW21" s="2705"/>
      <c r="AX21" s="2705"/>
      <c r="AY21" s="2705"/>
      <c r="AZ21" s="2706"/>
      <c r="BB21" s="63"/>
      <c r="BC21" s="63">
        <v>18</v>
      </c>
    </row>
    <row r="22" spans="1:55" ht="20.100000000000001" customHeight="1">
      <c r="A22" s="557"/>
      <c r="B22" s="2726" t="s">
        <v>1906</v>
      </c>
      <c r="C22" s="2727"/>
      <c r="D22" s="2727"/>
      <c r="E22" s="2727"/>
      <c r="F22" s="2727"/>
      <c r="G22" s="2728"/>
      <c r="H22" s="2723" t="s">
        <v>1905</v>
      </c>
      <c r="I22" s="2723"/>
      <c r="J22" s="2723"/>
      <c r="K22" s="2723"/>
      <c r="L22" s="2723"/>
      <c r="M22" s="2724">
        <f>'01 使用承認申請書'!B12</f>
        <v>0</v>
      </c>
      <c r="N22" s="2724"/>
      <c r="O22" s="561" t="s">
        <v>16</v>
      </c>
      <c r="P22" s="2724" t="str">
        <f>CONCATENATE('01 使用承認申請書'!C14)</f>
        <v/>
      </c>
      <c r="Q22" s="2724"/>
      <c r="R22" s="561" t="s">
        <v>15</v>
      </c>
      <c r="S22" s="2724" t="str">
        <f>CONCATENATE('01 使用承認申請書'!F14)</f>
        <v/>
      </c>
      <c r="T22" s="2724"/>
      <c r="U22" s="561" t="s">
        <v>159</v>
      </c>
      <c r="V22" s="2723"/>
      <c r="W22" s="2723"/>
      <c r="X22" s="2723"/>
      <c r="Y22" s="2725"/>
      <c r="Z22" s="562"/>
      <c r="AA22" s="557"/>
      <c r="AB22" s="2726" t="s">
        <v>1906</v>
      </c>
      <c r="AC22" s="2727"/>
      <c r="AD22" s="2727"/>
      <c r="AE22" s="2727"/>
      <c r="AF22" s="2727"/>
      <c r="AG22" s="2728"/>
      <c r="AH22" s="2723" t="s">
        <v>1905</v>
      </c>
      <c r="AI22" s="2723"/>
      <c r="AJ22" s="2723"/>
      <c r="AK22" s="2723"/>
      <c r="AL22" s="2723"/>
      <c r="AM22" s="2724" t="str">
        <f>'01 使用承認申請書'!AB12</f>
        <v>令和４</v>
      </c>
      <c r="AN22" s="2724"/>
      <c r="AO22" s="561" t="s">
        <v>16</v>
      </c>
      <c r="AP22" s="2724" t="str">
        <f>CONCATENATE('01 使用承認申請書'!AC14)</f>
        <v>10</v>
      </c>
      <c r="AQ22" s="2724"/>
      <c r="AR22" s="561" t="s">
        <v>15</v>
      </c>
      <c r="AS22" s="2724" t="str">
        <f>CONCATENATE('01 使用承認申請書'!AF14)</f>
        <v>12</v>
      </c>
      <c r="AT22" s="2724"/>
      <c r="AU22" s="561" t="s">
        <v>159</v>
      </c>
      <c r="AV22" s="2723"/>
      <c r="AW22" s="2723"/>
      <c r="AX22" s="2723"/>
      <c r="AY22" s="2725"/>
      <c r="AZ22" s="562"/>
      <c r="BB22" s="63"/>
      <c r="BC22" s="63">
        <v>19</v>
      </c>
    </row>
    <row r="23" spans="1:55" ht="34.5" customHeight="1">
      <c r="A23" s="557"/>
      <c r="B23" s="563"/>
      <c r="C23" s="2740">
        <f>COUNTA(H24:Y29)</f>
        <v>0</v>
      </c>
      <c r="D23" s="2740"/>
      <c r="E23" s="2740"/>
      <c r="F23" s="564"/>
      <c r="G23" s="565"/>
      <c r="H23" s="2747" t="s">
        <v>3223</v>
      </c>
      <c r="I23" s="2748"/>
      <c r="J23" s="2748"/>
      <c r="K23" s="2748"/>
      <c r="L23" s="2748"/>
      <c r="M23" s="2748"/>
      <c r="N23" s="2748"/>
      <c r="O23" s="2748"/>
      <c r="P23" s="2748"/>
      <c r="Q23" s="2748"/>
      <c r="R23" s="2748"/>
      <c r="S23" s="2748"/>
      <c r="T23" s="2748"/>
      <c r="U23" s="2748"/>
      <c r="V23" s="2748"/>
      <c r="W23" s="2748"/>
      <c r="X23" s="2748"/>
      <c r="Y23" s="2749"/>
      <c r="Z23" s="562"/>
      <c r="AA23" s="557"/>
      <c r="AB23" s="563"/>
      <c r="AC23" s="2740">
        <f>COUNTA(AH24:AY29)</f>
        <v>6</v>
      </c>
      <c r="AD23" s="2740"/>
      <c r="AE23" s="2740"/>
      <c r="AF23" s="564"/>
      <c r="AG23" s="565"/>
      <c r="AH23" s="2747" t="s">
        <v>1904</v>
      </c>
      <c r="AI23" s="2748"/>
      <c r="AJ23" s="2748"/>
      <c r="AK23" s="2748"/>
      <c r="AL23" s="2748"/>
      <c r="AM23" s="2748"/>
      <c r="AN23" s="2748"/>
      <c r="AO23" s="2748"/>
      <c r="AP23" s="2748"/>
      <c r="AQ23" s="2748"/>
      <c r="AR23" s="2748"/>
      <c r="AS23" s="2748"/>
      <c r="AT23" s="2748"/>
      <c r="AU23" s="2748"/>
      <c r="AV23" s="2748"/>
      <c r="AW23" s="2748"/>
      <c r="AX23" s="2748"/>
      <c r="AY23" s="2749"/>
      <c r="AZ23" s="562"/>
      <c r="BB23" s="63"/>
      <c r="BC23" s="63">
        <v>20</v>
      </c>
    </row>
    <row r="24" spans="1:55" ht="28.5" customHeight="1" thickBot="1">
      <c r="A24" s="557"/>
      <c r="B24" s="563"/>
      <c r="C24" s="2741"/>
      <c r="D24" s="2741"/>
      <c r="E24" s="2741"/>
      <c r="F24" s="566" t="s">
        <v>379</v>
      </c>
      <c r="G24" s="567"/>
      <c r="H24" s="2737"/>
      <c r="I24" s="2738"/>
      <c r="J24" s="2738"/>
      <c r="K24" s="2738"/>
      <c r="L24" s="2738"/>
      <c r="M24" s="2739"/>
      <c r="N24" s="2737"/>
      <c r="O24" s="2738"/>
      <c r="P24" s="2738"/>
      <c r="Q24" s="2738"/>
      <c r="R24" s="2738"/>
      <c r="S24" s="2739"/>
      <c r="T24" s="2737"/>
      <c r="U24" s="2738"/>
      <c r="V24" s="2738"/>
      <c r="W24" s="2738"/>
      <c r="X24" s="2738"/>
      <c r="Y24" s="2739"/>
      <c r="Z24" s="562"/>
      <c r="AA24" s="557"/>
      <c r="AB24" s="563"/>
      <c r="AC24" s="2741"/>
      <c r="AD24" s="2741"/>
      <c r="AE24" s="2741"/>
      <c r="AF24" s="566" t="s">
        <v>379</v>
      </c>
      <c r="AG24" s="567"/>
      <c r="AH24" s="2074" t="s">
        <v>283</v>
      </c>
      <c r="AI24" s="2022"/>
      <c r="AJ24" s="2022"/>
      <c r="AK24" s="2022"/>
      <c r="AL24" s="2022"/>
      <c r="AM24" s="2023"/>
      <c r="AN24" s="2074" t="s">
        <v>283</v>
      </c>
      <c r="AO24" s="2022"/>
      <c r="AP24" s="2022"/>
      <c r="AQ24" s="2022"/>
      <c r="AR24" s="2022"/>
      <c r="AS24" s="2023"/>
      <c r="AT24" s="2074" t="s">
        <v>283</v>
      </c>
      <c r="AU24" s="2022"/>
      <c r="AV24" s="2022"/>
      <c r="AW24" s="2022"/>
      <c r="AX24" s="2022"/>
      <c r="AY24" s="2023"/>
      <c r="AZ24" s="562"/>
      <c r="BB24" s="63"/>
      <c r="BC24" s="63">
        <v>21</v>
      </c>
    </row>
    <row r="25" spans="1:55" ht="28.5" customHeight="1">
      <c r="A25" s="557"/>
      <c r="B25" s="2744" t="s">
        <v>1907</v>
      </c>
      <c r="C25" s="2745"/>
      <c r="D25" s="2745"/>
      <c r="E25" s="2745"/>
      <c r="F25" s="2745"/>
      <c r="G25" s="2745"/>
      <c r="H25" s="2737"/>
      <c r="I25" s="2738"/>
      <c r="J25" s="2738"/>
      <c r="K25" s="2738"/>
      <c r="L25" s="2738"/>
      <c r="M25" s="2739"/>
      <c r="N25" s="2737"/>
      <c r="O25" s="2738"/>
      <c r="P25" s="2738"/>
      <c r="Q25" s="2738"/>
      <c r="R25" s="2738"/>
      <c r="S25" s="2739"/>
      <c r="T25" s="2737"/>
      <c r="U25" s="2738"/>
      <c r="V25" s="2738"/>
      <c r="W25" s="2738"/>
      <c r="X25" s="2738"/>
      <c r="Y25" s="2739"/>
      <c r="Z25" s="562"/>
      <c r="AA25" s="557"/>
      <c r="AB25" s="2744" t="s">
        <v>1907</v>
      </c>
      <c r="AC25" s="2745"/>
      <c r="AD25" s="2745"/>
      <c r="AE25" s="2745"/>
      <c r="AF25" s="2745"/>
      <c r="AG25" s="2745"/>
      <c r="AH25" s="2074" t="s">
        <v>2845</v>
      </c>
      <c r="AI25" s="2022"/>
      <c r="AJ25" s="2022"/>
      <c r="AK25" s="2022"/>
      <c r="AL25" s="2022"/>
      <c r="AM25" s="2023"/>
      <c r="AN25" s="2074" t="s">
        <v>2845</v>
      </c>
      <c r="AO25" s="2022"/>
      <c r="AP25" s="2022"/>
      <c r="AQ25" s="2022"/>
      <c r="AR25" s="2022"/>
      <c r="AS25" s="2023"/>
      <c r="AT25" s="2074" t="s">
        <v>2845</v>
      </c>
      <c r="AU25" s="2022"/>
      <c r="AV25" s="2022"/>
      <c r="AW25" s="2022"/>
      <c r="AX25" s="2022"/>
      <c r="AY25" s="2023"/>
      <c r="AZ25" s="562"/>
      <c r="BB25" s="63"/>
      <c r="BC25" s="63">
        <v>22</v>
      </c>
    </row>
    <row r="26" spans="1:55" ht="28.5" customHeight="1">
      <c r="A26" s="557"/>
      <c r="B26" s="539"/>
      <c r="C26" s="2742"/>
      <c r="D26" s="2742"/>
      <c r="E26" s="2742"/>
      <c r="F26" s="345"/>
      <c r="G26" s="345"/>
      <c r="H26" s="2737"/>
      <c r="I26" s="2738"/>
      <c r="J26" s="2738"/>
      <c r="K26" s="2738"/>
      <c r="L26" s="2738"/>
      <c r="M26" s="2739"/>
      <c r="N26" s="2737"/>
      <c r="O26" s="2738"/>
      <c r="P26" s="2738"/>
      <c r="Q26" s="2738"/>
      <c r="R26" s="2738"/>
      <c r="S26" s="2739"/>
      <c r="T26" s="2737"/>
      <c r="U26" s="2738"/>
      <c r="V26" s="2738"/>
      <c r="W26" s="2738"/>
      <c r="X26" s="2738"/>
      <c r="Y26" s="2739"/>
      <c r="Z26" s="562"/>
      <c r="AA26" s="557"/>
      <c r="AB26" s="539"/>
      <c r="AC26" s="2752">
        <v>5</v>
      </c>
      <c r="AD26" s="2752"/>
      <c r="AE26" s="2752"/>
      <c r="AF26" s="345"/>
      <c r="AG26" s="345"/>
      <c r="AH26" s="2733"/>
      <c r="AI26" s="2733"/>
      <c r="AJ26" s="2733"/>
      <c r="AK26" s="2733"/>
      <c r="AL26" s="2733"/>
      <c r="AM26" s="2733"/>
      <c r="AN26" s="2733"/>
      <c r="AO26" s="2733"/>
      <c r="AP26" s="2733"/>
      <c r="AQ26" s="2733"/>
      <c r="AR26" s="2733"/>
      <c r="AS26" s="2733"/>
      <c r="AT26" s="2737"/>
      <c r="AU26" s="2738"/>
      <c r="AV26" s="2738"/>
      <c r="AW26" s="2738"/>
      <c r="AX26" s="2738"/>
      <c r="AY26" s="2739"/>
      <c r="AZ26" s="562"/>
      <c r="BB26" s="63"/>
      <c r="BC26" s="63">
        <v>23</v>
      </c>
    </row>
    <row r="27" spans="1:55" s="46" customFormat="1" ht="28.5" customHeight="1" thickBot="1">
      <c r="A27" s="557"/>
      <c r="B27" s="568"/>
      <c r="C27" s="2743"/>
      <c r="D27" s="2743"/>
      <c r="E27" s="2743"/>
      <c r="F27" s="566" t="s">
        <v>1908</v>
      </c>
      <c r="G27" s="564"/>
      <c r="H27" s="2737"/>
      <c r="I27" s="2738"/>
      <c r="J27" s="2738"/>
      <c r="K27" s="2738"/>
      <c r="L27" s="2738"/>
      <c r="M27" s="2739"/>
      <c r="N27" s="2737"/>
      <c r="O27" s="2738"/>
      <c r="P27" s="2738"/>
      <c r="Q27" s="2738"/>
      <c r="R27" s="2738"/>
      <c r="S27" s="2739"/>
      <c r="T27" s="2737"/>
      <c r="U27" s="2738"/>
      <c r="V27" s="2738"/>
      <c r="W27" s="2738"/>
      <c r="X27" s="2738"/>
      <c r="Y27" s="2739"/>
      <c r="Z27" s="562"/>
      <c r="AA27" s="557"/>
      <c r="AB27" s="568"/>
      <c r="AC27" s="2753"/>
      <c r="AD27" s="2753"/>
      <c r="AE27" s="2753"/>
      <c r="AF27" s="566" t="s">
        <v>1908</v>
      </c>
      <c r="AG27" s="564"/>
      <c r="AH27" s="2733"/>
      <c r="AI27" s="2733"/>
      <c r="AJ27" s="2733"/>
      <c r="AK27" s="2733"/>
      <c r="AL27" s="2733"/>
      <c r="AM27" s="2733"/>
      <c r="AN27" s="2733"/>
      <c r="AO27" s="2733"/>
      <c r="AP27" s="2733"/>
      <c r="AQ27" s="2733"/>
      <c r="AR27" s="2733"/>
      <c r="AS27" s="2733"/>
      <c r="AT27" s="2737"/>
      <c r="AU27" s="2738"/>
      <c r="AV27" s="2738"/>
      <c r="AW27" s="2738"/>
      <c r="AX27" s="2738"/>
      <c r="AY27" s="2739"/>
      <c r="AZ27" s="562"/>
      <c r="BB27" s="63"/>
      <c r="BC27" s="63">
        <v>24</v>
      </c>
    </row>
    <row r="28" spans="1:55" s="46" customFormat="1" ht="28.5" customHeight="1">
      <c r="A28" s="557"/>
      <c r="B28" s="2744" t="s">
        <v>1911</v>
      </c>
      <c r="C28" s="2745"/>
      <c r="D28" s="2745"/>
      <c r="E28" s="2745"/>
      <c r="F28" s="2745"/>
      <c r="G28" s="2745"/>
      <c r="H28" s="2733"/>
      <c r="I28" s="2733"/>
      <c r="J28" s="2733"/>
      <c r="K28" s="2733"/>
      <c r="L28" s="2733"/>
      <c r="M28" s="2733"/>
      <c r="N28" s="2733"/>
      <c r="O28" s="2733"/>
      <c r="P28" s="2733"/>
      <c r="Q28" s="2733"/>
      <c r="R28" s="2733"/>
      <c r="S28" s="2733"/>
      <c r="T28" s="2733"/>
      <c r="U28" s="2733"/>
      <c r="V28" s="2733"/>
      <c r="W28" s="2733"/>
      <c r="X28" s="2733"/>
      <c r="Y28" s="2733"/>
      <c r="Z28" s="562"/>
      <c r="AA28" s="557"/>
      <c r="AB28" s="2744" t="s">
        <v>1911</v>
      </c>
      <c r="AC28" s="2745"/>
      <c r="AD28" s="2745"/>
      <c r="AE28" s="2745"/>
      <c r="AF28" s="2745"/>
      <c r="AG28" s="2745"/>
      <c r="AH28" s="2733"/>
      <c r="AI28" s="2733"/>
      <c r="AJ28" s="2733"/>
      <c r="AK28" s="2733"/>
      <c r="AL28" s="2733"/>
      <c r="AM28" s="2733"/>
      <c r="AN28" s="2733"/>
      <c r="AO28" s="2733"/>
      <c r="AP28" s="2733"/>
      <c r="AQ28" s="2733"/>
      <c r="AR28" s="2733"/>
      <c r="AS28" s="2733"/>
      <c r="AT28" s="2733"/>
      <c r="AU28" s="2733"/>
      <c r="AV28" s="2733"/>
      <c r="AW28" s="2733"/>
      <c r="AX28" s="2733"/>
      <c r="AY28" s="2733"/>
      <c r="AZ28" s="562"/>
      <c r="BB28" s="63"/>
      <c r="BC28" s="63">
        <v>25</v>
      </c>
    </row>
    <row r="29" spans="1:55" s="46" customFormat="1" ht="28.5" customHeight="1">
      <c r="A29" s="557"/>
      <c r="B29" s="2750" t="str">
        <f>IF((C26-4)&lt;=0,"無料",(C26-4)*420)</f>
        <v>無料</v>
      </c>
      <c r="C29" s="2751"/>
      <c r="D29" s="2751"/>
      <c r="E29" s="2751"/>
      <c r="F29" s="569" t="s">
        <v>1912</v>
      </c>
      <c r="G29" s="570"/>
      <c r="H29" s="2733"/>
      <c r="I29" s="2733"/>
      <c r="J29" s="2733"/>
      <c r="K29" s="2733"/>
      <c r="L29" s="2733"/>
      <c r="M29" s="2733"/>
      <c r="N29" s="2733"/>
      <c r="O29" s="2733"/>
      <c r="P29" s="2733"/>
      <c r="Q29" s="2733"/>
      <c r="R29" s="2733"/>
      <c r="S29" s="2733"/>
      <c r="T29" s="2733"/>
      <c r="U29" s="2733"/>
      <c r="V29" s="2733"/>
      <c r="W29" s="2733"/>
      <c r="X29" s="2733"/>
      <c r="Y29" s="2733"/>
      <c r="Z29" s="562"/>
      <c r="AA29" s="557"/>
      <c r="AB29" s="2754">
        <f>IF((AC26-4)&lt;=0,"無料",(AC26-4)*420)</f>
        <v>420</v>
      </c>
      <c r="AC29" s="2755"/>
      <c r="AD29" s="2755"/>
      <c r="AE29" s="2755"/>
      <c r="AF29" s="569" t="s">
        <v>1912</v>
      </c>
      <c r="AG29" s="570"/>
      <c r="AH29" s="2733"/>
      <c r="AI29" s="2733"/>
      <c r="AJ29" s="2733"/>
      <c r="AK29" s="2733"/>
      <c r="AL29" s="2733"/>
      <c r="AM29" s="2733"/>
      <c r="AN29" s="2733"/>
      <c r="AO29" s="2733"/>
      <c r="AP29" s="2733"/>
      <c r="AQ29" s="2733"/>
      <c r="AR29" s="2733"/>
      <c r="AS29" s="2733"/>
      <c r="AT29" s="2733"/>
      <c r="AU29" s="2733"/>
      <c r="AV29" s="2733"/>
      <c r="AW29" s="2733"/>
      <c r="AX29" s="2733"/>
      <c r="AY29" s="2733"/>
      <c r="AZ29" s="562"/>
      <c r="BB29" s="63"/>
      <c r="BC29" s="63">
        <v>26</v>
      </c>
    </row>
    <row r="30" spans="1:55" ht="28.5" customHeight="1">
      <c r="A30" s="571" t="s">
        <v>1909</v>
      </c>
      <c r="B30" s="572"/>
      <c r="C30" s="573"/>
      <c r="D30" s="573"/>
      <c r="E30" s="573"/>
      <c r="F30" s="573"/>
      <c r="G30" s="573"/>
      <c r="H30" s="2746"/>
      <c r="I30" s="2746"/>
      <c r="J30" s="2746"/>
      <c r="K30" s="2746"/>
      <c r="L30" s="2746"/>
      <c r="M30" s="2746"/>
      <c r="N30" s="2746"/>
      <c r="O30" s="2746"/>
      <c r="P30" s="2746"/>
      <c r="Q30" s="2746"/>
      <c r="R30" s="2746"/>
      <c r="S30" s="2746"/>
      <c r="T30" s="2746"/>
      <c r="U30" s="2746"/>
      <c r="V30" s="2746"/>
      <c r="W30" s="2746"/>
      <c r="X30" s="2746"/>
      <c r="Y30" s="2746"/>
      <c r="Z30" s="574"/>
      <c r="AA30" s="2715"/>
      <c r="AB30" s="2716"/>
      <c r="AC30" s="2716"/>
      <c r="AD30" s="2716"/>
      <c r="AE30" s="2716"/>
      <c r="AF30" s="2716"/>
      <c r="AG30" s="2716"/>
      <c r="AH30" s="2716"/>
      <c r="AI30" s="2716"/>
      <c r="AJ30" s="2716"/>
      <c r="AK30" s="2716"/>
      <c r="AL30" s="2716"/>
      <c r="AM30" s="2716"/>
      <c r="AN30" s="2716"/>
      <c r="AO30" s="2716"/>
      <c r="AP30" s="2716"/>
      <c r="AQ30" s="2716"/>
      <c r="AR30" s="2716"/>
      <c r="AS30" s="2716"/>
      <c r="AT30" s="2716"/>
      <c r="AU30" s="2716"/>
      <c r="AV30" s="2716"/>
      <c r="AW30" s="2716"/>
      <c r="AX30" s="2716"/>
      <c r="AY30" s="2716"/>
      <c r="AZ30" s="2717"/>
      <c r="BB30" s="63"/>
      <c r="BC30" s="63">
        <v>27</v>
      </c>
    </row>
    <row r="31" spans="1:55" ht="47.25" customHeight="1">
      <c r="A31" s="2712" t="s">
        <v>1910</v>
      </c>
      <c r="B31" s="2690"/>
      <c r="C31" s="2690"/>
      <c r="D31" s="2690"/>
      <c r="E31" s="2690"/>
      <c r="F31" s="2690"/>
      <c r="G31" s="2690"/>
      <c r="H31" s="2690"/>
      <c r="I31" s="2690"/>
      <c r="J31" s="2690"/>
      <c r="K31" s="2690"/>
      <c r="L31" s="2690"/>
      <c r="M31" s="2690"/>
      <c r="N31" s="2690"/>
      <c r="O31" s="2690"/>
      <c r="P31" s="2690"/>
      <c r="Q31" s="2690"/>
      <c r="R31" s="2690"/>
      <c r="S31" s="2690"/>
      <c r="T31" s="2690"/>
      <c r="U31" s="2690"/>
      <c r="V31" s="2690"/>
      <c r="W31" s="2690"/>
      <c r="X31" s="2690"/>
      <c r="Y31" s="2690"/>
      <c r="Z31" s="2703"/>
      <c r="AA31" s="2712" t="s">
        <v>2875</v>
      </c>
      <c r="AB31" s="2690"/>
      <c r="AC31" s="2690"/>
      <c r="AD31" s="2690"/>
      <c r="AE31" s="2690"/>
      <c r="AF31" s="2690"/>
      <c r="AG31" s="2690"/>
      <c r="AH31" s="2690"/>
      <c r="AI31" s="2690"/>
      <c r="AJ31" s="2690"/>
      <c r="AK31" s="2690"/>
      <c r="AL31" s="2690"/>
      <c r="AM31" s="2690"/>
      <c r="AN31" s="2690"/>
      <c r="AO31" s="2690"/>
      <c r="AP31" s="2690"/>
      <c r="AQ31" s="2690"/>
      <c r="AR31" s="2690"/>
      <c r="AS31" s="2690"/>
      <c r="AT31" s="2690"/>
      <c r="AU31" s="2690"/>
      <c r="AV31" s="2690"/>
      <c r="AW31" s="2690"/>
      <c r="AX31" s="2690"/>
      <c r="AY31" s="2690"/>
      <c r="AZ31" s="2703"/>
      <c r="BB31" s="63"/>
      <c r="BC31" s="63">
        <v>28</v>
      </c>
    </row>
    <row r="32" spans="1:55" s="46" customFormat="1" ht="16.5" customHeight="1">
      <c r="A32" s="575"/>
      <c r="B32" s="575"/>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5"/>
      <c r="AL32" s="575"/>
      <c r="AM32" s="575"/>
      <c r="AN32" s="575"/>
      <c r="AO32" s="575"/>
      <c r="AP32" s="575"/>
      <c r="AQ32" s="575"/>
      <c r="AR32" s="575"/>
      <c r="AS32" s="575"/>
      <c r="AT32" s="575"/>
      <c r="AU32" s="575"/>
      <c r="AV32" s="575"/>
      <c r="AW32" s="575"/>
      <c r="AX32" s="575"/>
      <c r="AY32" s="575"/>
      <c r="AZ32" s="575"/>
      <c r="BB32" s="63"/>
      <c r="BC32" s="63">
        <v>29</v>
      </c>
    </row>
    <row r="33" spans="1:55" ht="33.75" customHeight="1">
      <c r="A33" s="2734" t="s">
        <v>284</v>
      </c>
      <c r="B33" s="2735"/>
      <c r="C33" s="2735"/>
      <c r="D33" s="2735"/>
      <c r="E33" s="2735"/>
      <c r="F33" s="2735"/>
      <c r="G33" s="2735"/>
      <c r="H33" s="2735"/>
      <c r="I33" s="2735"/>
      <c r="J33" s="2735"/>
      <c r="K33" s="2735"/>
      <c r="L33" s="2735"/>
      <c r="M33" s="2735"/>
      <c r="N33" s="2735"/>
      <c r="O33" s="2735"/>
      <c r="P33" s="2735"/>
      <c r="Q33" s="2735"/>
      <c r="R33" s="2735"/>
      <c r="S33" s="2735"/>
      <c r="T33" s="2735"/>
      <c r="U33" s="2735"/>
      <c r="V33" s="2735"/>
      <c r="W33" s="2735"/>
      <c r="X33" s="2735"/>
      <c r="Y33" s="2735"/>
      <c r="Z33" s="2736"/>
      <c r="AA33" s="2734" t="s">
        <v>284</v>
      </c>
      <c r="AB33" s="2735"/>
      <c r="AC33" s="2735"/>
      <c r="AD33" s="2735"/>
      <c r="AE33" s="2735"/>
      <c r="AF33" s="2735"/>
      <c r="AG33" s="2735"/>
      <c r="AH33" s="2735"/>
      <c r="AI33" s="2735"/>
      <c r="AJ33" s="2735"/>
      <c r="AK33" s="2735"/>
      <c r="AL33" s="2735"/>
      <c r="AM33" s="2735"/>
      <c r="AN33" s="2735"/>
      <c r="AO33" s="2735"/>
      <c r="AP33" s="2735"/>
      <c r="AQ33" s="2735"/>
      <c r="AR33" s="2735"/>
      <c r="AS33" s="2735"/>
      <c r="AT33" s="2735"/>
      <c r="AU33" s="2735"/>
      <c r="AV33" s="2735"/>
      <c r="AW33" s="2735"/>
      <c r="AX33" s="2735"/>
      <c r="AY33" s="2735"/>
      <c r="AZ33" s="2736"/>
      <c r="BB33" s="63"/>
      <c r="BC33" s="63">
        <v>30</v>
      </c>
    </row>
    <row r="34" spans="1:55" ht="14.25" customHeight="1">
      <c r="A34" s="576"/>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60"/>
      <c r="AA34" s="576"/>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60"/>
      <c r="BB34" s="63"/>
      <c r="BC34" s="63">
        <v>31</v>
      </c>
    </row>
    <row r="35" spans="1:55" ht="14.25" customHeight="1">
      <c r="A35" s="576"/>
      <c r="B35" s="559"/>
      <c r="C35" s="252"/>
      <c r="D35" s="252"/>
      <c r="E35" s="252"/>
      <c r="F35" s="559"/>
      <c r="G35" s="559"/>
      <c r="H35" s="559"/>
      <c r="I35" s="2732" t="s">
        <v>480</v>
      </c>
      <c r="J35" s="2732"/>
      <c r="K35" s="2732"/>
      <c r="L35" s="2732" t="s">
        <v>273</v>
      </c>
      <c r="M35" s="2732"/>
      <c r="N35" s="2732"/>
      <c r="O35" s="2732" t="s">
        <v>9</v>
      </c>
      <c r="P35" s="2732"/>
      <c r="Q35" s="2732"/>
      <c r="R35" s="559"/>
      <c r="S35" s="559"/>
      <c r="T35" s="559"/>
      <c r="U35" s="559"/>
      <c r="V35" s="559"/>
      <c r="W35" s="559"/>
      <c r="X35" s="559"/>
      <c r="Y35" s="559"/>
      <c r="Z35" s="560"/>
      <c r="AA35" s="576"/>
      <c r="AB35" s="559"/>
      <c r="AC35" s="559"/>
      <c r="AD35" s="559"/>
      <c r="AE35" s="559"/>
      <c r="AF35" s="559"/>
      <c r="AG35" s="559"/>
      <c r="AH35" s="559"/>
      <c r="AI35" s="2732" t="s">
        <v>480</v>
      </c>
      <c r="AJ35" s="2732"/>
      <c r="AK35" s="2732"/>
      <c r="AL35" s="2732" t="s">
        <v>273</v>
      </c>
      <c r="AM35" s="2732"/>
      <c r="AN35" s="2732"/>
      <c r="AO35" s="2732" t="s">
        <v>9</v>
      </c>
      <c r="AP35" s="2732"/>
      <c r="AQ35" s="2732"/>
      <c r="AR35" s="559"/>
      <c r="AS35" s="559"/>
      <c r="AT35" s="559"/>
      <c r="AU35" s="559"/>
      <c r="AV35" s="559"/>
      <c r="AW35" s="559"/>
      <c r="AX35" s="559"/>
      <c r="AY35" s="559"/>
      <c r="AZ35" s="560"/>
    </row>
    <row r="36" spans="1:55" ht="14.25" customHeight="1">
      <c r="A36" s="576"/>
      <c r="B36" s="559"/>
      <c r="C36" s="252"/>
      <c r="D36" s="252"/>
      <c r="E36" s="252"/>
      <c r="F36" s="559"/>
      <c r="G36" s="559"/>
      <c r="H36" s="559"/>
      <c r="I36" s="2732"/>
      <c r="J36" s="2732"/>
      <c r="K36" s="2732"/>
      <c r="L36" s="2732"/>
      <c r="M36" s="2732"/>
      <c r="N36" s="2732"/>
      <c r="O36" s="2732"/>
      <c r="P36" s="2732"/>
      <c r="Q36" s="2732"/>
      <c r="R36" s="559"/>
      <c r="S36" s="559"/>
      <c r="T36" s="559"/>
      <c r="U36" s="559"/>
      <c r="V36" s="559"/>
      <c r="W36" s="559"/>
      <c r="X36" s="559"/>
      <c r="Y36" s="559"/>
      <c r="Z36" s="560"/>
      <c r="AA36" s="576"/>
      <c r="AB36" s="559"/>
      <c r="AC36" s="559"/>
      <c r="AD36" s="559"/>
      <c r="AE36" s="559"/>
      <c r="AF36" s="559"/>
      <c r="AG36" s="559"/>
      <c r="AH36" s="559"/>
      <c r="AI36" s="2732"/>
      <c r="AJ36" s="2732"/>
      <c r="AK36" s="2732"/>
      <c r="AL36" s="2732"/>
      <c r="AM36" s="2732"/>
      <c r="AN36" s="2732"/>
      <c r="AO36" s="2732"/>
      <c r="AP36" s="2732"/>
      <c r="AQ36" s="2732"/>
      <c r="AR36" s="559"/>
      <c r="AS36" s="559"/>
      <c r="AT36" s="559"/>
      <c r="AU36" s="559"/>
      <c r="AV36" s="559"/>
      <c r="AW36" s="559"/>
      <c r="AX36" s="559"/>
      <c r="AY36" s="559"/>
      <c r="AZ36" s="560"/>
    </row>
    <row r="37" spans="1:55" ht="14.25" customHeight="1">
      <c r="A37" s="576"/>
      <c r="B37" s="559"/>
      <c r="C37" s="559"/>
      <c r="D37" s="559"/>
      <c r="E37" s="559"/>
      <c r="F37" s="559"/>
      <c r="G37" s="559"/>
      <c r="H37" s="559"/>
      <c r="I37" s="2732"/>
      <c r="J37" s="2732"/>
      <c r="K37" s="2732"/>
      <c r="L37" s="2732"/>
      <c r="M37" s="2732"/>
      <c r="N37" s="2732"/>
      <c r="O37" s="2732"/>
      <c r="P37" s="2732"/>
      <c r="Q37" s="2732"/>
      <c r="R37" s="559"/>
      <c r="S37" s="559"/>
      <c r="T37" s="559"/>
      <c r="U37" s="559"/>
      <c r="V37" s="559"/>
      <c r="W37" s="559"/>
      <c r="X37" s="559"/>
      <c r="Y37" s="559"/>
      <c r="Z37" s="560"/>
      <c r="AA37" s="576"/>
      <c r="AB37" s="559"/>
      <c r="AC37" s="559"/>
      <c r="AD37" s="559"/>
      <c r="AE37" s="559"/>
      <c r="AF37" s="559"/>
      <c r="AG37" s="559"/>
      <c r="AH37" s="559"/>
      <c r="AI37" s="2732"/>
      <c r="AJ37" s="2732"/>
      <c r="AK37" s="2732"/>
      <c r="AL37" s="2732"/>
      <c r="AM37" s="2732"/>
      <c r="AN37" s="2732"/>
      <c r="AO37" s="2732"/>
      <c r="AP37" s="2732"/>
      <c r="AQ37" s="2732"/>
      <c r="AR37" s="559"/>
      <c r="AS37" s="559"/>
      <c r="AT37" s="559"/>
      <c r="AU37" s="559"/>
      <c r="AV37" s="559"/>
      <c r="AW37" s="559"/>
      <c r="AX37" s="559"/>
      <c r="AY37" s="559"/>
      <c r="AZ37" s="560"/>
    </row>
    <row r="38" spans="1:55" ht="14.25" customHeight="1">
      <c r="A38" s="576"/>
      <c r="B38" s="559"/>
      <c r="C38" s="559"/>
      <c r="D38" s="559"/>
      <c r="E38" s="559"/>
      <c r="F38" s="559"/>
      <c r="G38" s="559"/>
      <c r="H38" s="559"/>
      <c r="I38" s="2732"/>
      <c r="J38" s="2732"/>
      <c r="K38" s="2732"/>
      <c r="L38" s="2732"/>
      <c r="M38" s="2732"/>
      <c r="N38" s="2732"/>
      <c r="O38" s="2732"/>
      <c r="P38" s="2732"/>
      <c r="Q38" s="2732"/>
      <c r="R38" s="559"/>
      <c r="S38" s="559"/>
      <c r="T38" s="559"/>
      <c r="U38" s="559"/>
      <c r="V38" s="559"/>
      <c r="W38" s="559"/>
      <c r="X38" s="559"/>
      <c r="Y38" s="559"/>
      <c r="Z38" s="560"/>
      <c r="AA38" s="576"/>
      <c r="AB38" s="559"/>
      <c r="AC38" s="559"/>
      <c r="AD38" s="559"/>
      <c r="AE38" s="559"/>
      <c r="AF38" s="559"/>
      <c r="AG38" s="559"/>
      <c r="AH38" s="559"/>
      <c r="AI38" s="2732"/>
      <c r="AJ38" s="2732"/>
      <c r="AK38" s="2732"/>
      <c r="AL38" s="2732"/>
      <c r="AM38" s="2732"/>
      <c r="AN38" s="2732"/>
      <c r="AO38" s="2732"/>
      <c r="AP38" s="2732"/>
      <c r="AQ38" s="2732"/>
      <c r="AR38" s="559"/>
      <c r="AS38" s="559"/>
      <c r="AT38" s="559"/>
      <c r="AU38" s="559"/>
      <c r="AV38" s="559"/>
      <c r="AW38" s="559"/>
      <c r="AX38" s="559"/>
      <c r="AY38" s="559"/>
      <c r="AZ38" s="560"/>
    </row>
    <row r="39" spans="1:55" ht="14.25" customHeight="1">
      <c r="A39" s="576"/>
      <c r="B39" s="559"/>
      <c r="C39" s="559"/>
      <c r="D39" s="559"/>
      <c r="E39" s="559"/>
      <c r="F39" s="559"/>
      <c r="G39" s="559"/>
      <c r="H39" s="559"/>
      <c r="I39" s="2732"/>
      <c r="J39" s="2732"/>
      <c r="K39" s="2732"/>
      <c r="L39" s="2732"/>
      <c r="M39" s="2732"/>
      <c r="N39" s="2732"/>
      <c r="O39" s="2732"/>
      <c r="P39" s="2732"/>
      <c r="Q39" s="2732"/>
      <c r="R39" s="559"/>
      <c r="S39" s="559"/>
      <c r="T39" s="559"/>
      <c r="U39" s="559"/>
      <c r="V39" s="559"/>
      <c r="W39" s="559"/>
      <c r="X39" s="559"/>
      <c r="Y39" s="559"/>
      <c r="Z39" s="560"/>
      <c r="AA39" s="576"/>
      <c r="AB39" s="559"/>
      <c r="AC39" s="559"/>
      <c r="AD39" s="559"/>
      <c r="AE39" s="559"/>
      <c r="AF39" s="559"/>
      <c r="AG39" s="559"/>
      <c r="AH39" s="559"/>
      <c r="AI39" s="2732"/>
      <c r="AJ39" s="2732"/>
      <c r="AK39" s="2732"/>
      <c r="AL39" s="2732"/>
      <c r="AM39" s="2732"/>
      <c r="AN39" s="2732"/>
      <c r="AO39" s="2732"/>
      <c r="AP39" s="2732"/>
      <c r="AQ39" s="2732"/>
      <c r="AR39" s="559"/>
      <c r="AS39" s="559"/>
      <c r="AT39" s="559"/>
      <c r="AU39" s="559"/>
      <c r="AV39" s="559"/>
      <c r="AW39" s="559"/>
      <c r="AX39" s="559"/>
      <c r="AY39" s="559"/>
      <c r="AZ39" s="560"/>
    </row>
    <row r="40" spans="1:55" ht="14.25" customHeight="1">
      <c r="A40" s="576"/>
      <c r="B40" s="559"/>
      <c r="C40" s="559"/>
      <c r="D40" s="559"/>
      <c r="E40" s="559"/>
      <c r="F40" s="559"/>
      <c r="G40" s="559"/>
      <c r="H40" s="559"/>
      <c r="I40" s="2732"/>
      <c r="J40" s="2732"/>
      <c r="K40" s="2732"/>
      <c r="L40" s="2732"/>
      <c r="M40" s="2732"/>
      <c r="N40" s="2732"/>
      <c r="O40" s="2732"/>
      <c r="P40" s="2732"/>
      <c r="Q40" s="2732"/>
      <c r="R40" s="559"/>
      <c r="S40" s="559"/>
      <c r="T40" s="559"/>
      <c r="U40" s="559"/>
      <c r="V40" s="559"/>
      <c r="W40" s="559"/>
      <c r="X40" s="559"/>
      <c r="Y40" s="559"/>
      <c r="Z40" s="560"/>
      <c r="AA40" s="576"/>
      <c r="AB40" s="559"/>
      <c r="AC40" s="559"/>
      <c r="AD40" s="559"/>
      <c r="AE40" s="559"/>
      <c r="AF40" s="559"/>
      <c r="AG40" s="559"/>
      <c r="AH40" s="559"/>
      <c r="AI40" s="2732"/>
      <c r="AJ40" s="2732"/>
      <c r="AK40" s="2732"/>
      <c r="AL40" s="2732"/>
      <c r="AM40" s="2732"/>
      <c r="AN40" s="2732"/>
      <c r="AO40" s="2732"/>
      <c r="AP40" s="2732"/>
      <c r="AQ40" s="2732"/>
      <c r="AR40" s="559"/>
      <c r="AS40" s="559"/>
      <c r="AT40" s="559"/>
      <c r="AU40" s="559"/>
      <c r="AV40" s="559"/>
      <c r="AW40" s="559"/>
      <c r="AX40" s="559"/>
      <c r="AY40" s="559"/>
      <c r="AZ40" s="560"/>
    </row>
    <row r="41" spans="1:55" ht="12" customHeight="1">
      <c r="A41" s="2729"/>
      <c r="B41" s="2730"/>
      <c r="C41" s="2730"/>
      <c r="D41" s="2730"/>
      <c r="E41" s="2730"/>
      <c r="F41" s="2730"/>
      <c r="G41" s="2730"/>
      <c r="H41" s="2730"/>
      <c r="I41" s="2730"/>
      <c r="J41" s="2730"/>
      <c r="K41" s="2730"/>
      <c r="L41" s="2730"/>
      <c r="M41" s="2730"/>
      <c r="N41" s="2730"/>
      <c r="O41" s="2730"/>
      <c r="P41" s="2730"/>
      <c r="Q41" s="2730"/>
      <c r="R41" s="2730"/>
      <c r="S41" s="2730"/>
      <c r="T41" s="2730"/>
      <c r="U41" s="2730"/>
      <c r="V41" s="2730"/>
      <c r="W41" s="2730"/>
      <c r="X41" s="2730"/>
      <c r="Y41" s="2730"/>
      <c r="Z41" s="2731"/>
      <c r="AA41" s="2729"/>
      <c r="AB41" s="2730"/>
      <c r="AC41" s="2730"/>
      <c r="AD41" s="2730"/>
      <c r="AE41" s="2730"/>
      <c r="AF41" s="2730"/>
      <c r="AG41" s="2730"/>
      <c r="AH41" s="2730"/>
      <c r="AI41" s="2730"/>
      <c r="AJ41" s="2730"/>
      <c r="AK41" s="2730"/>
      <c r="AL41" s="2730"/>
      <c r="AM41" s="2730"/>
      <c r="AN41" s="2730"/>
      <c r="AO41" s="2730"/>
      <c r="AP41" s="2730"/>
      <c r="AQ41" s="2730"/>
      <c r="AR41" s="2730"/>
      <c r="AS41" s="2730"/>
      <c r="AT41" s="2730"/>
      <c r="AU41" s="2730"/>
      <c r="AV41" s="2730"/>
      <c r="AW41" s="2730"/>
      <c r="AX41" s="2730"/>
      <c r="AY41" s="2730"/>
      <c r="AZ41" s="2731"/>
    </row>
    <row r="42" spans="1:55" ht="14.2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row>
    <row r="43" spans="1:55" ht="14.2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row>
    <row r="44" spans="1:55" ht="14.2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row>
    <row r="45" spans="1:55" ht="14.2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row>
    <row r="46" spans="1:55" ht="14.2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row>
    <row r="47" spans="1:55" ht="14.2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row>
    <row r="48" spans="1:55" ht="14.2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row>
    <row r="49" spans="1:52" ht="14.2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row>
    <row r="50" spans="1:52" ht="14.2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row>
  </sheetData>
  <sheetProtection algorithmName="SHA-512" hashValue="Zv6a19aIeBQwW/9QyMQ4xIKs2bwIN6M8khziFCKcs2qNtMrSqjMJkodvsTJfbYFuTo/HG0ZM8E9hZl64kVlKKQ==" saltValue="2BFgU/bfRonq3WhzhsBQEA==" spinCount="100000" sheet="1" selectLockedCells="1"/>
  <mergeCells count="134">
    <mergeCell ref="AH29:AM29"/>
    <mergeCell ref="AT28:AY28"/>
    <mergeCell ref="AT24:AY24"/>
    <mergeCell ref="AH24:AM24"/>
    <mergeCell ref="AH26:AM26"/>
    <mergeCell ref="AC26:AE27"/>
    <mergeCell ref="AH27:AM27"/>
    <mergeCell ref="AN27:AS27"/>
    <mergeCell ref="AT27:AY27"/>
    <mergeCell ref="AN26:AS26"/>
    <mergeCell ref="AT26:AY26"/>
    <mergeCell ref="AH25:AM25"/>
    <mergeCell ref="AN25:AS25"/>
    <mergeCell ref="AN24:AS24"/>
    <mergeCell ref="AT25:AY25"/>
    <mergeCell ref="AC23:AE24"/>
    <mergeCell ref="AH23:AY23"/>
    <mergeCell ref="AB25:AG25"/>
    <mergeCell ref="AB28:AG28"/>
    <mergeCell ref="AB29:AE29"/>
    <mergeCell ref="H27:M27"/>
    <mergeCell ref="N27:S27"/>
    <mergeCell ref="T27:Y27"/>
    <mergeCell ref="H28:M28"/>
    <mergeCell ref="N28:S28"/>
    <mergeCell ref="T28:Y28"/>
    <mergeCell ref="A41:Z41"/>
    <mergeCell ref="H24:M24"/>
    <mergeCell ref="N24:S24"/>
    <mergeCell ref="H26:M26"/>
    <mergeCell ref="H25:M25"/>
    <mergeCell ref="N25:S25"/>
    <mergeCell ref="T25:Y25"/>
    <mergeCell ref="T29:Y29"/>
    <mergeCell ref="T26:Y26"/>
    <mergeCell ref="T24:Y24"/>
    <mergeCell ref="C23:E24"/>
    <mergeCell ref="C26:E27"/>
    <mergeCell ref="B25:G25"/>
    <mergeCell ref="H30:Y30"/>
    <mergeCell ref="N26:S26"/>
    <mergeCell ref="H23:Y23"/>
    <mergeCell ref="B28:G28"/>
    <mergeCell ref="B29:E29"/>
    <mergeCell ref="AA41:AZ41"/>
    <mergeCell ref="I37:K40"/>
    <mergeCell ref="L37:N40"/>
    <mergeCell ref="O37:Q40"/>
    <mergeCell ref="AI37:AK40"/>
    <mergeCell ref="AL37:AN40"/>
    <mergeCell ref="AH28:AM28"/>
    <mergeCell ref="A33:Z33"/>
    <mergeCell ref="AO37:AQ40"/>
    <mergeCell ref="H29:M29"/>
    <mergeCell ref="N29:S29"/>
    <mergeCell ref="AA33:AZ33"/>
    <mergeCell ref="I35:K36"/>
    <mergeCell ref="L35:N36"/>
    <mergeCell ref="O35:Q36"/>
    <mergeCell ref="AI35:AK36"/>
    <mergeCell ref="AL35:AN36"/>
    <mergeCell ref="AO35:AQ36"/>
    <mergeCell ref="AA30:AZ30"/>
    <mergeCell ref="A31:Z31"/>
    <mergeCell ref="AA31:AZ31"/>
    <mergeCell ref="AN28:AS28"/>
    <mergeCell ref="AN29:AS29"/>
    <mergeCell ref="AT29:AY29"/>
    <mergeCell ref="A20:Z21"/>
    <mergeCell ref="AA20:AZ21"/>
    <mergeCell ref="H22:L22"/>
    <mergeCell ref="M22:N22"/>
    <mergeCell ref="P22:Q22"/>
    <mergeCell ref="S22:T22"/>
    <mergeCell ref="V22:Y22"/>
    <mergeCell ref="B22:G22"/>
    <mergeCell ref="AB22:AG22"/>
    <mergeCell ref="AH22:AL22"/>
    <mergeCell ref="AM22:AN22"/>
    <mergeCell ref="AP22:AQ22"/>
    <mergeCell ref="AS22:AT22"/>
    <mergeCell ref="AV22:AY22"/>
    <mergeCell ref="A17:Z17"/>
    <mergeCell ref="AA17:AZ17"/>
    <mergeCell ref="A18:Z19"/>
    <mergeCell ref="AA18:AZ19"/>
    <mergeCell ref="A16:L16"/>
    <mergeCell ref="M16:O16"/>
    <mergeCell ref="AA16:AL16"/>
    <mergeCell ref="A15:L15"/>
    <mergeCell ref="AA15:AL15"/>
    <mergeCell ref="AM15:AO15"/>
    <mergeCell ref="AP15:AZ15"/>
    <mergeCell ref="P16:Z16"/>
    <mergeCell ref="M15:O15"/>
    <mergeCell ref="P15:Z15"/>
    <mergeCell ref="AM16:AO16"/>
    <mergeCell ref="AP16:AZ16"/>
    <mergeCell ref="A13:L13"/>
    <mergeCell ref="M13:O13"/>
    <mergeCell ref="P13:Z13"/>
    <mergeCell ref="AA13:AL13"/>
    <mergeCell ref="AM13:AO13"/>
    <mergeCell ref="AP13:AZ13"/>
    <mergeCell ref="A10:Z10"/>
    <mergeCell ref="AA10:AZ10"/>
    <mergeCell ref="A11:Z11"/>
    <mergeCell ref="AA11:AZ11"/>
    <mergeCell ref="A12:Z12"/>
    <mergeCell ref="AA12:AZ12"/>
    <mergeCell ref="A14:L14"/>
    <mergeCell ref="M14:O14"/>
    <mergeCell ref="P14:Z14"/>
    <mergeCell ref="AA14:AL14"/>
    <mergeCell ref="AM14:AO14"/>
    <mergeCell ref="AP14:AZ14"/>
    <mergeCell ref="R4:T4"/>
    <mergeCell ref="AA4:AT4"/>
    <mergeCell ref="A1:Z1"/>
    <mergeCell ref="AA1:AZ1"/>
    <mergeCell ref="A2:Z2"/>
    <mergeCell ref="AA2:AZ2"/>
    <mergeCell ref="A3:Z3"/>
    <mergeCell ref="AA3:AZ3"/>
    <mergeCell ref="A7:Z7"/>
    <mergeCell ref="AA7:AZ7"/>
    <mergeCell ref="A8:Z8"/>
    <mergeCell ref="AA8:AZ8"/>
    <mergeCell ref="A5:Z5"/>
    <mergeCell ref="AA5:AZ5"/>
    <mergeCell ref="A6:Z6"/>
    <mergeCell ref="AA6:AZ6"/>
    <mergeCell ref="A9:Z9"/>
    <mergeCell ref="AA9:AZ9"/>
  </mergeCells>
  <phoneticPr fontId="8"/>
  <conditionalFormatting sqref="H24:Y26 H27:H29 N27:N29 T27:T29 AH26:AY26 AN27:AN29 AH27:AH29">
    <cfRule type="cellIs" dxfId="304" priority="6" stopIfTrue="1" operator="equal">
      <formula>""</formula>
    </cfRule>
  </conditionalFormatting>
  <conditionalFormatting sqref="R4:T4 V4 X4">
    <cfRule type="cellIs" dxfId="303" priority="4" stopIfTrue="1" operator="equal">
      <formula>""</formula>
    </cfRule>
  </conditionalFormatting>
  <conditionalFormatting sqref="C26:E27">
    <cfRule type="containsBlanks" dxfId="302" priority="7">
      <formula>LEN(TRIM(C26))=0</formula>
    </cfRule>
  </conditionalFormatting>
  <conditionalFormatting sqref="AT27:AT29">
    <cfRule type="cellIs" dxfId="301" priority="2" stopIfTrue="1" operator="equal">
      <formula>""</formula>
    </cfRule>
  </conditionalFormatting>
  <conditionalFormatting sqref="AC26:AE27">
    <cfRule type="containsBlanks" dxfId="300" priority="1">
      <formula>LEN(TRIM(AC26))=0</formula>
    </cfRule>
  </conditionalFormatting>
  <dataValidations count="5">
    <dataValidation type="list" allowBlank="1" showInputMessage="1" sqref="R4:T4" xr:uid="{00000000-0002-0000-0900-000000000000}">
      <formula1>$BB$4:$BB$5</formula1>
    </dataValidation>
    <dataValidation type="whole" errorStyle="warning" operator="lessThanOrEqual" allowBlank="1" showInputMessage="1" showErrorMessage="1" errorTitle="５台目以降の駐車料金が有料になります！" error="補助的指導者が乗り入れる車両につきましては、４台目までは無料となっておりますが、５台目以降、【１台につき４２０円】かかります。入館後、速やかに事務室までお支払いください。" sqref="AC26:AE27" xr:uid="{00000000-0002-0000-0900-000001000000}">
      <formula1>4</formula1>
    </dataValidation>
    <dataValidation type="whole" errorStyle="warning" operator="lessThanOrEqual" allowBlank="1" showInputMessage="1" showErrorMessage="1" errorTitle="５台目以降の駐車料金が有料になります！" error="補助的指導者が乗り入れる車両につきましては、４台目までは無料となっておりますが、５台目以降、【１台につき４２０円】かかります。入館後、速やかに事務室までおこしください。" sqref="C26:E27" xr:uid="{00000000-0002-0000-0900-000002000000}">
      <formula1>4</formula1>
    </dataValidation>
    <dataValidation type="list" allowBlank="1" showInputMessage="1" showErrorMessage="1" sqref="V4" xr:uid="{93F38C10-4D16-4747-8D23-D76C47BB4052}">
      <formula1>$BC$4:$BC$15</formula1>
    </dataValidation>
    <dataValidation type="list" allowBlank="1" showInputMessage="1" showErrorMessage="1" sqref="X4" xr:uid="{B01DE664-74BB-436A-94E1-4E030D7A33B0}">
      <formula1>$BC$4:$BC$34</formula1>
    </dataValidation>
  </dataValidations>
  <printOptions horizontalCentered="1" verticalCentered="1"/>
  <pageMargins left="0.39370078740157483" right="0.39370078740157483" top="0.39370078740157483" bottom="0.39370078740157483" header="0" footer="0"/>
  <pageSetup paperSize="9" scale="91" orientation="portrait" r:id="rId1"/>
  <headerFooter>
    <oddFooter>&amp;R&amp;D &amp;T</oddFooter>
  </headerFooter>
  <colBreaks count="1" manualBreakCount="1">
    <brk id="26" max="4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FFCCFF"/>
  </sheetPr>
  <dimension ref="A1:FL180"/>
  <sheetViews>
    <sheetView showZeros="0" view="pageBreakPreview" zoomScale="50" zoomScaleNormal="90" zoomScaleSheetLayoutView="50" workbookViewId="0">
      <selection activeCell="BH110" sqref="BH110:BZ117"/>
    </sheetView>
  </sheetViews>
  <sheetFormatPr defaultColWidth="1.5" defaultRowHeight="13.5"/>
  <cols>
    <col min="1" max="156" width="1.875" style="5" customWidth="1"/>
    <col min="157" max="16384" width="1.5" style="5"/>
  </cols>
  <sheetData>
    <row r="1" spans="1:168" s="34" customFormat="1" ht="23.25">
      <c r="A1" s="1452" t="s">
        <v>274</v>
      </c>
      <c r="B1" s="1452"/>
      <c r="C1" s="1452"/>
      <c r="D1" s="1452"/>
      <c r="E1" s="1452"/>
      <c r="F1" s="1452"/>
      <c r="G1" s="1452"/>
      <c r="H1" s="1452"/>
      <c r="I1" s="1452"/>
      <c r="J1" s="1452"/>
      <c r="K1" s="1452"/>
      <c r="L1" s="1452"/>
      <c r="M1" s="1452"/>
      <c r="N1" s="1452"/>
      <c r="O1" s="1452"/>
      <c r="P1" s="1452"/>
      <c r="Q1" s="1452"/>
      <c r="R1" s="1452"/>
      <c r="S1" s="1452"/>
      <c r="T1" s="1452"/>
      <c r="U1" s="1452"/>
      <c r="V1" s="1452"/>
      <c r="W1" s="1452"/>
      <c r="X1" s="1452"/>
      <c r="Y1" s="1452"/>
      <c r="Z1" s="1452"/>
      <c r="AA1" s="1452"/>
      <c r="AB1" s="1452"/>
      <c r="AC1" s="1452"/>
      <c r="AD1" s="1452"/>
      <c r="AE1" s="1452"/>
      <c r="AF1" s="1452"/>
      <c r="AG1" s="1452"/>
      <c r="AH1" s="1452"/>
      <c r="AI1" s="1452"/>
      <c r="AJ1" s="1452"/>
      <c r="AK1" s="1452"/>
      <c r="AL1" s="1452"/>
      <c r="AM1" s="1452"/>
      <c r="AN1" s="1452"/>
      <c r="AO1" s="1452"/>
      <c r="AP1" s="1452"/>
      <c r="AQ1" s="1452"/>
      <c r="AR1" s="1452"/>
      <c r="AS1" s="1452"/>
      <c r="AT1" s="1452"/>
      <c r="AU1" s="1452"/>
      <c r="AV1" s="1452"/>
      <c r="AW1" s="1452"/>
      <c r="AX1" s="1452"/>
      <c r="AY1" s="1452"/>
      <c r="AZ1" s="1452"/>
      <c r="BA1" s="1452"/>
      <c r="BB1" s="1452"/>
      <c r="BC1" s="1452"/>
      <c r="BD1" s="1452"/>
      <c r="BE1" s="1452"/>
      <c r="BF1" s="1452"/>
      <c r="BG1" s="1452"/>
      <c r="BH1" s="1452"/>
      <c r="BI1" s="1452"/>
      <c r="BJ1" s="1452"/>
      <c r="BK1" s="1452"/>
      <c r="BL1" s="1452"/>
      <c r="BM1" s="1452"/>
      <c r="BN1" s="1452"/>
      <c r="BO1" s="1452"/>
      <c r="BP1" s="1452"/>
      <c r="BQ1" s="1452"/>
      <c r="BR1" s="1452"/>
      <c r="BS1" s="1452"/>
      <c r="BT1" s="1452"/>
      <c r="BU1" s="1452"/>
      <c r="BV1" s="1452"/>
      <c r="BW1" s="1452"/>
      <c r="BX1" s="1452"/>
      <c r="BY1" s="1452"/>
      <c r="BZ1" s="1452"/>
      <c r="CA1" s="1452"/>
      <c r="CB1" s="1452"/>
      <c r="CC1" s="1452"/>
      <c r="CD1" s="1452"/>
      <c r="CE1" s="1452"/>
      <c r="CF1" s="1452"/>
      <c r="CG1" s="1452"/>
      <c r="CH1" s="1452"/>
      <c r="CI1" s="1452"/>
      <c r="CJ1" s="1452"/>
      <c r="CK1" s="1452"/>
      <c r="CL1" s="1452"/>
      <c r="CM1" s="1452"/>
      <c r="CN1" s="1452"/>
      <c r="CO1" s="1452"/>
      <c r="CP1" s="1452"/>
      <c r="CQ1" s="1452"/>
      <c r="CR1" s="1452"/>
      <c r="CS1" s="1452"/>
      <c r="CT1" s="1452"/>
      <c r="CU1" s="1452"/>
      <c r="CV1" s="1452"/>
      <c r="CW1" s="1452"/>
      <c r="CX1" s="1452"/>
      <c r="CY1" s="1452"/>
      <c r="CZ1" s="1452"/>
      <c r="DA1" s="1452"/>
      <c r="DB1" s="1452"/>
      <c r="DC1" s="1452"/>
      <c r="DD1" s="1452"/>
      <c r="DE1" s="1452"/>
      <c r="DF1" s="1452"/>
      <c r="DG1" s="1452"/>
      <c r="DH1" s="1452"/>
      <c r="DI1" s="1452"/>
      <c r="DJ1" s="1452"/>
      <c r="DK1" s="1452"/>
      <c r="DL1" s="1452"/>
      <c r="DM1" s="1452"/>
      <c r="DN1" s="1452"/>
      <c r="DO1" s="1452"/>
      <c r="DP1" s="1452"/>
      <c r="DQ1" s="1452"/>
      <c r="DR1" s="1452"/>
      <c r="DS1" s="1452"/>
      <c r="DT1" s="1452"/>
      <c r="DU1" s="1452"/>
      <c r="DV1" s="1452"/>
      <c r="DW1" s="1452"/>
      <c r="DX1" s="1452"/>
      <c r="DY1" s="1452"/>
      <c r="DZ1" s="1452"/>
      <c r="EA1" s="1452"/>
      <c r="EB1" s="1452"/>
      <c r="EC1" s="1452"/>
      <c r="ED1" s="1452"/>
      <c r="EE1" s="1452"/>
      <c r="EF1" s="1452"/>
      <c r="EG1" s="1452"/>
      <c r="EH1" s="1452"/>
      <c r="EI1" s="1452"/>
      <c r="EJ1" s="1452"/>
      <c r="EK1" s="1452"/>
      <c r="EL1" s="1452"/>
      <c r="EM1" s="1452"/>
      <c r="EN1" s="1452"/>
      <c r="EO1" s="1452"/>
      <c r="EP1" s="1452"/>
      <c r="EQ1" s="1452"/>
      <c r="ER1" s="1452"/>
      <c r="ES1" s="1452"/>
      <c r="ET1" s="1452"/>
      <c r="EU1" s="1452"/>
      <c r="EV1" s="1452"/>
      <c r="EW1" s="1452"/>
      <c r="EX1" s="1452"/>
      <c r="EY1" s="1452"/>
      <c r="EZ1" s="1452"/>
    </row>
    <row r="2" spans="1:168" s="34" customFormat="1" ht="13.5" customHeight="1">
      <c r="A2" s="1452"/>
      <c r="B2" s="1452"/>
      <c r="C2" s="1452"/>
      <c r="D2" s="1452"/>
      <c r="E2" s="1452"/>
      <c r="F2" s="1452"/>
      <c r="G2" s="1452"/>
      <c r="H2" s="1452"/>
      <c r="I2" s="1452"/>
      <c r="J2" s="1452"/>
      <c r="K2" s="1452"/>
      <c r="L2" s="1452"/>
      <c r="M2" s="1452"/>
      <c r="N2" s="1452"/>
      <c r="O2" s="1452"/>
      <c r="P2" s="1452"/>
      <c r="Q2" s="1452"/>
      <c r="R2" s="1452"/>
      <c r="S2" s="1452"/>
      <c r="T2" s="1452"/>
      <c r="U2" s="1452"/>
      <c r="V2" s="1452"/>
      <c r="W2" s="1452"/>
      <c r="X2" s="1452"/>
      <c r="Y2" s="1452"/>
      <c r="Z2" s="1452"/>
      <c r="AA2" s="1452"/>
      <c r="AB2" s="1452"/>
      <c r="AC2" s="1452"/>
      <c r="AD2" s="1452"/>
      <c r="AE2" s="1452"/>
      <c r="AF2" s="1452"/>
      <c r="AG2" s="1452"/>
      <c r="AH2" s="1452"/>
      <c r="AI2" s="1452"/>
      <c r="AJ2" s="1452"/>
      <c r="AK2" s="1452"/>
      <c r="AL2" s="1452"/>
      <c r="AM2" s="1452"/>
      <c r="AN2" s="1452"/>
      <c r="AO2" s="1452"/>
      <c r="AP2" s="1452"/>
      <c r="AQ2" s="1452"/>
      <c r="AR2" s="1452"/>
      <c r="AS2" s="1452"/>
      <c r="AT2" s="1452"/>
      <c r="AU2" s="1452"/>
      <c r="AV2" s="1452"/>
      <c r="AW2" s="1452"/>
      <c r="AX2" s="1452"/>
      <c r="AY2" s="1452"/>
      <c r="AZ2" s="1452"/>
      <c r="BA2" s="1452"/>
      <c r="BB2" s="1452"/>
      <c r="BC2" s="1452"/>
      <c r="BD2" s="1452"/>
      <c r="BE2" s="1452"/>
      <c r="BF2" s="1452"/>
      <c r="BG2" s="1452"/>
      <c r="BH2" s="1452"/>
      <c r="BI2" s="1452"/>
      <c r="BJ2" s="1452"/>
      <c r="BK2" s="1452"/>
      <c r="BL2" s="1452"/>
      <c r="BM2" s="1452"/>
      <c r="BN2" s="1452"/>
      <c r="BO2" s="1452"/>
      <c r="BP2" s="1452"/>
      <c r="BQ2" s="1452"/>
      <c r="BR2" s="1452"/>
      <c r="BS2" s="1452"/>
      <c r="BT2" s="1452"/>
      <c r="BU2" s="1452"/>
      <c r="BV2" s="1452"/>
      <c r="BW2" s="1452"/>
      <c r="BX2" s="1452"/>
      <c r="BY2" s="1452"/>
      <c r="BZ2" s="1452"/>
      <c r="CA2" s="2760" t="s">
        <v>275</v>
      </c>
      <c r="CB2" s="2760"/>
      <c r="CC2" s="2760"/>
      <c r="CD2" s="2760"/>
      <c r="CE2" s="2760"/>
      <c r="CF2" s="2760"/>
      <c r="CG2" s="2760"/>
      <c r="CH2" s="2760"/>
      <c r="CI2" s="2760"/>
      <c r="CJ2" s="2760"/>
      <c r="CK2" s="2760"/>
      <c r="CL2" s="2760"/>
      <c r="CM2" s="2760"/>
      <c r="CN2" s="2760"/>
      <c r="CO2" s="2760"/>
      <c r="CP2" s="2760"/>
      <c r="CQ2" s="2760"/>
      <c r="CR2" s="2776" t="s">
        <v>256</v>
      </c>
      <c r="CS2" s="2760"/>
      <c r="CT2" s="2760"/>
      <c r="CU2" s="2760"/>
      <c r="CV2" s="2760"/>
      <c r="CW2" s="2760"/>
      <c r="CX2" s="2760"/>
      <c r="CY2" s="2760"/>
      <c r="CZ2" s="2760"/>
      <c r="DA2" s="2760"/>
      <c r="DB2" s="2760"/>
      <c r="DC2" s="2760" t="s">
        <v>15</v>
      </c>
      <c r="DD2" s="2760"/>
      <c r="DE2" s="2760"/>
      <c r="DF2" s="2760"/>
      <c r="DG2" s="2760"/>
      <c r="DH2" s="2760"/>
      <c r="DI2" s="2760"/>
      <c r="DJ2" s="2760"/>
      <c r="DK2" s="2760"/>
      <c r="DL2" s="2760"/>
      <c r="DM2" s="2776" t="s">
        <v>2833</v>
      </c>
      <c r="DN2" s="2778"/>
      <c r="DO2" s="2778"/>
      <c r="DP2" s="2778"/>
      <c r="DQ2" s="2778"/>
      <c r="DR2" s="2778"/>
      <c r="DS2" s="2778"/>
      <c r="DT2" s="2778"/>
      <c r="DU2" s="2778"/>
      <c r="DV2" s="2778"/>
      <c r="DW2" s="2778"/>
      <c r="DX2" s="2760" t="s">
        <v>14</v>
      </c>
      <c r="DY2" s="2760"/>
      <c r="DZ2" s="2760"/>
      <c r="EA2" s="2760"/>
      <c r="EB2" s="2760"/>
      <c r="EC2" s="2760"/>
      <c r="ED2" s="2760"/>
      <c r="EE2" s="2760"/>
      <c r="EF2" s="2760"/>
      <c r="EG2" s="2760"/>
      <c r="EH2" s="2760" t="s">
        <v>81</v>
      </c>
      <c r="EI2" s="2760"/>
      <c r="EJ2" s="2760"/>
      <c r="EK2" s="2760"/>
      <c r="EL2" s="2776" t="s">
        <v>381</v>
      </c>
      <c r="EM2" s="2760"/>
      <c r="EN2" s="2760"/>
      <c r="EO2" s="2760"/>
      <c r="EP2" s="2760"/>
      <c r="EQ2" s="2760"/>
      <c r="ER2" s="2760"/>
      <c r="ES2" s="2760"/>
      <c r="ET2" s="2760"/>
      <c r="EU2" s="2760"/>
      <c r="EV2" s="2760"/>
      <c r="EW2" s="2760" t="s">
        <v>43</v>
      </c>
      <c r="EX2" s="2760"/>
      <c r="EY2" s="2760"/>
      <c r="EZ2" s="2760"/>
    </row>
    <row r="3" spans="1:168" s="35" customFormat="1" ht="13.5" customHeight="1">
      <c r="A3" s="2760" t="s">
        <v>275</v>
      </c>
      <c r="B3" s="2760"/>
      <c r="C3" s="2760"/>
      <c r="D3" s="2760"/>
      <c r="E3" s="2760"/>
      <c r="F3" s="2760"/>
      <c r="G3" s="2760"/>
      <c r="H3" s="2760"/>
      <c r="I3" s="2760"/>
      <c r="J3" s="2760"/>
      <c r="K3" s="2760"/>
      <c r="L3" s="2760"/>
      <c r="M3" s="2760"/>
      <c r="N3" s="2760"/>
      <c r="O3" s="2760"/>
      <c r="P3" s="2760"/>
      <c r="Q3" s="2760"/>
      <c r="R3" s="2780" t="str">
        <f>CONCATENATE('01 使用承認申請書'!C14)</f>
        <v/>
      </c>
      <c r="S3" s="2780"/>
      <c r="T3" s="2780"/>
      <c r="U3" s="2780"/>
      <c r="V3" s="2780"/>
      <c r="W3" s="2780"/>
      <c r="X3" s="2780"/>
      <c r="Y3" s="2780"/>
      <c r="Z3" s="2780"/>
      <c r="AA3" s="2780"/>
      <c r="AB3" s="2780"/>
      <c r="AC3" s="2760" t="s">
        <v>15</v>
      </c>
      <c r="AD3" s="2760"/>
      <c r="AE3" s="2760"/>
      <c r="AF3" s="2760"/>
      <c r="AG3" s="2760"/>
      <c r="AH3" s="2760"/>
      <c r="AI3" s="2760"/>
      <c r="AJ3" s="2760"/>
      <c r="AK3" s="2760"/>
      <c r="AL3" s="2760"/>
      <c r="AM3" s="2782" t="str">
        <f>CONCATENATE('01 使用承認申請書'!F14)</f>
        <v/>
      </c>
      <c r="AN3" s="2782"/>
      <c r="AO3" s="2782"/>
      <c r="AP3" s="2782"/>
      <c r="AQ3" s="2782"/>
      <c r="AR3" s="2782"/>
      <c r="AS3" s="2782"/>
      <c r="AT3" s="2782"/>
      <c r="AU3" s="2782"/>
      <c r="AV3" s="2782"/>
      <c r="AW3" s="2782"/>
      <c r="AX3" s="2760" t="s">
        <v>14</v>
      </c>
      <c r="AY3" s="2760"/>
      <c r="AZ3" s="2760"/>
      <c r="BA3" s="2760"/>
      <c r="BB3" s="2760"/>
      <c r="BC3" s="2760"/>
      <c r="BD3" s="2760"/>
      <c r="BE3" s="2760"/>
      <c r="BF3" s="2760"/>
      <c r="BG3" s="2760"/>
      <c r="BH3" s="2760" t="s">
        <v>81</v>
      </c>
      <c r="BI3" s="2760"/>
      <c r="BJ3" s="2760"/>
      <c r="BK3" s="2760"/>
      <c r="BL3" s="2761" t="str">
        <f>CONCATENATE('01 使用承認申請書'!J14)</f>
        <v/>
      </c>
      <c r="BM3" s="2761"/>
      <c r="BN3" s="2761"/>
      <c r="BO3" s="2761"/>
      <c r="BP3" s="2761"/>
      <c r="BQ3" s="2761"/>
      <c r="BR3" s="2761"/>
      <c r="BS3" s="2761"/>
      <c r="BT3" s="2761"/>
      <c r="BU3" s="2761"/>
      <c r="BV3" s="2761"/>
      <c r="BW3" s="2760" t="s">
        <v>41</v>
      </c>
      <c r="BX3" s="2760"/>
      <c r="BY3" s="2760"/>
      <c r="BZ3" s="2760"/>
      <c r="CA3" s="2760"/>
      <c r="CB3" s="2760"/>
      <c r="CC3" s="2760"/>
      <c r="CD3" s="2760"/>
      <c r="CE3" s="2760"/>
      <c r="CF3" s="2760"/>
      <c r="CG3" s="2760"/>
      <c r="CH3" s="2760"/>
      <c r="CI3" s="2760"/>
      <c r="CJ3" s="2760"/>
      <c r="CK3" s="2760"/>
      <c r="CL3" s="2760"/>
      <c r="CM3" s="2760"/>
      <c r="CN3" s="2760"/>
      <c r="CO3" s="2760"/>
      <c r="CP3" s="2760"/>
      <c r="CQ3" s="2760"/>
      <c r="CR3" s="2760"/>
      <c r="CS3" s="2760"/>
      <c r="CT3" s="2760"/>
      <c r="CU3" s="2760"/>
      <c r="CV3" s="2760"/>
      <c r="CW3" s="2760"/>
      <c r="CX3" s="2760"/>
      <c r="CY3" s="2760"/>
      <c r="CZ3" s="2760"/>
      <c r="DA3" s="2760"/>
      <c r="DB3" s="2760"/>
      <c r="DC3" s="2760"/>
      <c r="DD3" s="2760"/>
      <c r="DE3" s="2760"/>
      <c r="DF3" s="2760"/>
      <c r="DG3" s="2760"/>
      <c r="DH3" s="2760"/>
      <c r="DI3" s="2760"/>
      <c r="DJ3" s="2760"/>
      <c r="DK3" s="2760"/>
      <c r="DL3" s="2760"/>
      <c r="DM3" s="2778"/>
      <c r="DN3" s="2778"/>
      <c r="DO3" s="2778"/>
      <c r="DP3" s="2778"/>
      <c r="DQ3" s="2778"/>
      <c r="DR3" s="2778"/>
      <c r="DS3" s="2778"/>
      <c r="DT3" s="2778"/>
      <c r="DU3" s="2778"/>
      <c r="DV3" s="2778"/>
      <c r="DW3" s="2778"/>
      <c r="DX3" s="2760"/>
      <c r="DY3" s="2760"/>
      <c r="DZ3" s="2760"/>
      <c r="EA3" s="2760"/>
      <c r="EB3" s="2760"/>
      <c r="EC3" s="2760"/>
      <c r="ED3" s="2760"/>
      <c r="EE3" s="2760"/>
      <c r="EF3" s="2760"/>
      <c r="EG3" s="2760"/>
      <c r="EH3" s="2760"/>
      <c r="EI3" s="2760"/>
      <c r="EJ3" s="2760"/>
      <c r="EK3" s="2760"/>
      <c r="EL3" s="2760"/>
      <c r="EM3" s="2760"/>
      <c r="EN3" s="2760"/>
      <c r="EO3" s="2760"/>
      <c r="EP3" s="2760"/>
      <c r="EQ3" s="2760"/>
      <c r="ER3" s="2760"/>
      <c r="ES3" s="2760"/>
      <c r="ET3" s="2760"/>
      <c r="EU3" s="2760"/>
      <c r="EV3" s="2760"/>
      <c r="EW3" s="2760"/>
      <c r="EX3" s="2760"/>
      <c r="EY3" s="2760"/>
      <c r="EZ3" s="2760"/>
    </row>
    <row r="4" spans="1:168" s="35" customFormat="1" ht="13.5" customHeight="1">
      <c r="A4" s="2760"/>
      <c r="B4" s="2760"/>
      <c r="C4" s="2760"/>
      <c r="D4" s="2760"/>
      <c r="E4" s="2760"/>
      <c r="F4" s="2760"/>
      <c r="G4" s="2760"/>
      <c r="H4" s="2760"/>
      <c r="I4" s="2760"/>
      <c r="J4" s="2760"/>
      <c r="K4" s="2760"/>
      <c r="L4" s="2760"/>
      <c r="M4" s="2760"/>
      <c r="N4" s="2760"/>
      <c r="O4" s="2760"/>
      <c r="P4" s="2760"/>
      <c r="Q4" s="2760"/>
      <c r="R4" s="2780"/>
      <c r="S4" s="2780"/>
      <c r="T4" s="2780"/>
      <c r="U4" s="2780"/>
      <c r="V4" s="2780"/>
      <c r="W4" s="2780"/>
      <c r="X4" s="2780"/>
      <c r="Y4" s="2780"/>
      <c r="Z4" s="2780"/>
      <c r="AA4" s="2780"/>
      <c r="AB4" s="2780"/>
      <c r="AC4" s="2760"/>
      <c r="AD4" s="2760"/>
      <c r="AE4" s="2760"/>
      <c r="AF4" s="2760"/>
      <c r="AG4" s="2760"/>
      <c r="AH4" s="2760"/>
      <c r="AI4" s="2760"/>
      <c r="AJ4" s="2760"/>
      <c r="AK4" s="2760"/>
      <c r="AL4" s="2760"/>
      <c r="AM4" s="2782"/>
      <c r="AN4" s="2782"/>
      <c r="AO4" s="2782"/>
      <c r="AP4" s="2782"/>
      <c r="AQ4" s="2782"/>
      <c r="AR4" s="2782"/>
      <c r="AS4" s="2782"/>
      <c r="AT4" s="2782"/>
      <c r="AU4" s="2782"/>
      <c r="AV4" s="2782"/>
      <c r="AW4" s="2782"/>
      <c r="AX4" s="2760"/>
      <c r="AY4" s="2760"/>
      <c r="AZ4" s="2760"/>
      <c r="BA4" s="2760"/>
      <c r="BB4" s="2760"/>
      <c r="BC4" s="2760"/>
      <c r="BD4" s="2760"/>
      <c r="BE4" s="2760"/>
      <c r="BF4" s="2760"/>
      <c r="BG4" s="2760"/>
      <c r="BH4" s="2760"/>
      <c r="BI4" s="2760"/>
      <c r="BJ4" s="2760"/>
      <c r="BK4" s="2760"/>
      <c r="BL4" s="2761"/>
      <c r="BM4" s="2761"/>
      <c r="BN4" s="2761"/>
      <c r="BO4" s="2761"/>
      <c r="BP4" s="2761"/>
      <c r="BQ4" s="2761"/>
      <c r="BR4" s="2761"/>
      <c r="BS4" s="2761"/>
      <c r="BT4" s="2761"/>
      <c r="BU4" s="2761"/>
      <c r="BV4" s="2761"/>
      <c r="BW4" s="2760"/>
      <c r="BX4" s="2760"/>
      <c r="BY4" s="2760"/>
      <c r="BZ4" s="2760"/>
      <c r="CA4" s="2760"/>
      <c r="CB4" s="2760"/>
      <c r="CC4" s="2760"/>
      <c r="CD4" s="2760"/>
      <c r="CE4" s="2760"/>
      <c r="CF4" s="2760"/>
      <c r="CG4" s="2760"/>
      <c r="CH4" s="2760"/>
      <c r="CI4" s="2760"/>
      <c r="CJ4" s="2760"/>
      <c r="CK4" s="2760"/>
      <c r="CL4" s="2760"/>
      <c r="CM4" s="2760"/>
      <c r="CN4" s="2760"/>
      <c r="CO4" s="2760"/>
      <c r="CP4" s="2760"/>
      <c r="CQ4" s="2760"/>
      <c r="CR4" s="2760"/>
      <c r="CS4" s="2760"/>
      <c r="CT4" s="2760"/>
      <c r="CU4" s="2760"/>
      <c r="CV4" s="2760"/>
      <c r="CW4" s="2760"/>
      <c r="CX4" s="2760"/>
      <c r="CY4" s="2760"/>
      <c r="CZ4" s="2760"/>
      <c r="DA4" s="2760"/>
      <c r="DB4" s="2760"/>
      <c r="DC4" s="2760"/>
      <c r="DD4" s="2760"/>
      <c r="DE4" s="2760"/>
      <c r="DF4" s="2760"/>
      <c r="DG4" s="2760"/>
      <c r="DH4" s="2760"/>
      <c r="DI4" s="2760"/>
      <c r="DJ4" s="2760"/>
      <c r="DK4" s="2760"/>
      <c r="DL4" s="2760"/>
      <c r="DM4" s="2778"/>
      <c r="DN4" s="2778"/>
      <c r="DO4" s="2778"/>
      <c r="DP4" s="2778"/>
      <c r="DQ4" s="2778"/>
      <c r="DR4" s="2778"/>
      <c r="DS4" s="2778"/>
      <c r="DT4" s="2778"/>
      <c r="DU4" s="2778"/>
      <c r="DV4" s="2778"/>
      <c r="DW4" s="2778"/>
      <c r="DX4" s="2760"/>
      <c r="DY4" s="2760"/>
      <c r="DZ4" s="2760"/>
      <c r="EA4" s="2760"/>
      <c r="EB4" s="2760"/>
      <c r="EC4" s="2760"/>
      <c r="ED4" s="2760"/>
      <c r="EE4" s="2760"/>
      <c r="EF4" s="2760"/>
      <c r="EG4" s="2760"/>
      <c r="EH4" s="2760"/>
      <c r="EI4" s="2760"/>
      <c r="EJ4" s="2760"/>
      <c r="EK4" s="2760"/>
      <c r="EL4" s="2760"/>
      <c r="EM4" s="2760"/>
      <c r="EN4" s="2760"/>
      <c r="EO4" s="2760"/>
      <c r="EP4" s="2760"/>
      <c r="EQ4" s="2760"/>
      <c r="ER4" s="2760"/>
      <c r="ES4" s="2760"/>
      <c r="ET4" s="2760"/>
      <c r="EU4" s="2760"/>
      <c r="EV4" s="2760"/>
      <c r="EW4" s="2760"/>
      <c r="EX4" s="2760"/>
      <c r="EY4" s="2760"/>
      <c r="EZ4" s="2760"/>
    </row>
    <row r="5" spans="1:168" s="35" customFormat="1" ht="13.5" customHeight="1">
      <c r="A5" s="2760"/>
      <c r="B5" s="2760"/>
      <c r="C5" s="2760"/>
      <c r="D5" s="2760"/>
      <c r="E5" s="2760"/>
      <c r="F5" s="2760"/>
      <c r="G5" s="2760"/>
      <c r="H5" s="2760"/>
      <c r="I5" s="2760"/>
      <c r="J5" s="2760"/>
      <c r="K5" s="2760"/>
      <c r="L5" s="2760"/>
      <c r="M5" s="2760"/>
      <c r="N5" s="2760"/>
      <c r="O5" s="2760"/>
      <c r="P5" s="2760"/>
      <c r="Q5" s="2760"/>
      <c r="R5" s="2780"/>
      <c r="S5" s="2780"/>
      <c r="T5" s="2780"/>
      <c r="U5" s="2780"/>
      <c r="V5" s="2780"/>
      <c r="W5" s="2780"/>
      <c r="X5" s="2780"/>
      <c r="Y5" s="2780"/>
      <c r="Z5" s="2780"/>
      <c r="AA5" s="2780"/>
      <c r="AB5" s="2780"/>
      <c r="AC5" s="2760"/>
      <c r="AD5" s="2760"/>
      <c r="AE5" s="2760"/>
      <c r="AF5" s="2760"/>
      <c r="AG5" s="2760"/>
      <c r="AH5" s="2760"/>
      <c r="AI5" s="2760"/>
      <c r="AJ5" s="2760"/>
      <c r="AK5" s="2760"/>
      <c r="AL5" s="2760"/>
      <c r="AM5" s="2782"/>
      <c r="AN5" s="2782"/>
      <c r="AO5" s="2782"/>
      <c r="AP5" s="2782"/>
      <c r="AQ5" s="2782"/>
      <c r="AR5" s="2782"/>
      <c r="AS5" s="2782"/>
      <c r="AT5" s="2782"/>
      <c r="AU5" s="2782"/>
      <c r="AV5" s="2782"/>
      <c r="AW5" s="2782"/>
      <c r="AX5" s="2760"/>
      <c r="AY5" s="2760"/>
      <c r="AZ5" s="2760"/>
      <c r="BA5" s="2760"/>
      <c r="BB5" s="2760"/>
      <c r="BC5" s="2760"/>
      <c r="BD5" s="2760"/>
      <c r="BE5" s="2760"/>
      <c r="BF5" s="2760"/>
      <c r="BG5" s="2760"/>
      <c r="BH5" s="2760"/>
      <c r="BI5" s="2760"/>
      <c r="BJ5" s="2760"/>
      <c r="BK5" s="2760"/>
      <c r="BL5" s="2761"/>
      <c r="BM5" s="2761"/>
      <c r="BN5" s="2761"/>
      <c r="BO5" s="2761"/>
      <c r="BP5" s="2761"/>
      <c r="BQ5" s="2761"/>
      <c r="BR5" s="2761"/>
      <c r="BS5" s="2761"/>
      <c r="BT5" s="2761"/>
      <c r="BU5" s="2761"/>
      <c r="BV5" s="2761"/>
      <c r="BW5" s="2760"/>
      <c r="BX5" s="2760"/>
      <c r="BY5" s="2760"/>
      <c r="BZ5" s="2760"/>
      <c r="CA5" s="2760"/>
      <c r="CB5" s="2760"/>
      <c r="CC5" s="2760"/>
      <c r="CD5" s="2760"/>
      <c r="CE5" s="2760"/>
      <c r="CF5" s="2760"/>
      <c r="CG5" s="2760"/>
      <c r="CH5" s="2760"/>
      <c r="CI5" s="2760"/>
      <c r="CJ5" s="2760"/>
      <c r="CK5" s="2760"/>
      <c r="CL5" s="2760"/>
      <c r="CM5" s="2760"/>
      <c r="CN5" s="2760"/>
      <c r="CO5" s="2760"/>
      <c r="CP5" s="2760"/>
      <c r="CQ5" s="2760"/>
      <c r="CR5" s="2760"/>
      <c r="CS5" s="2760"/>
      <c r="CT5" s="2760"/>
      <c r="CU5" s="2760"/>
      <c r="CV5" s="2760"/>
      <c r="CW5" s="2760"/>
      <c r="CX5" s="2760"/>
      <c r="CY5" s="2760"/>
      <c r="CZ5" s="2760"/>
      <c r="DA5" s="2760"/>
      <c r="DB5" s="2760"/>
      <c r="DC5" s="2760"/>
      <c r="DD5" s="2760"/>
      <c r="DE5" s="2760"/>
      <c r="DF5" s="2760"/>
      <c r="DG5" s="2760"/>
      <c r="DH5" s="2760"/>
      <c r="DI5" s="2760"/>
      <c r="DJ5" s="2760"/>
      <c r="DK5" s="2760"/>
      <c r="DL5" s="2760"/>
      <c r="DM5" s="2778"/>
      <c r="DN5" s="2778"/>
      <c r="DO5" s="2778"/>
      <c r="DP5" s="2778"/>
      <c r="DQ5" s="2778"/>
      <c r="DR5" s="2778"/>
      <c r="DS5" s="2778"/>
      <c r="DT5" s="2778"/>
      <c r="DU5" s="2778"/>
      <c r="DV5" s="2778"/>
      <c r="DW5" s="2778"/>
      <c r="DX5" s="2760"/>
      <c r="DY5" s="2760"/>
      <c r="DZ5" s="2760"/>
      <c r="EA5" s="2760"/>
      <c r="EB5" s="2760"/>
      <c r="EC5" s="2760"/>
      <c r="ED5" s="2760"/>
      <c r="EE5" s="2760"/>
      <c r="EF5" s="2760"/>
      <c r="EG5" s="2760"/>
      <c r="EH5" s="2760"/>
      <c r="EI5" s="2760"/>
      <c r="EJ5" s="2760"/>
      <c r="EK5" s="2760"/>
      <c r="EL5" s="2760"/>
      <c r="EM5" s="2760"/>
      <c r="EN5" s="2760"/>
      <c r="EO5" s="2760"/>
      <c r="EP5" s="2760"/>
      <c r="EQ5" s="2760"/>
      <c r="ER5" s="2760"/>
      <c r="ES5" s="2760"/>
      <c r="ET5" s="2760"/>
      <c r="EU5" s="2760"/>
      <c r="EV5" s="2760"/>
      <c r="EW5" s="2760"/>
      <c r="EX5" s="2760"/>
      <c r="EY5" s="2760"/>
      <c r="EZ5" s="2760"/>
    </row>
    <row r="6" spans="1:168" s="35" customFormat="1" ht="13.5" customHeight="1">
      <c r="A6" s="2760"/>
      <c r="B6" s="2760"/>
      <c r="C6" s="2760"/>
      <c r="D6" s="2760"/>
      <c r="E6" s="2760"/>
      <c r="F6" s="2760"/>
      <c r="G6" s="2760"/>
      <c r="H6" s="2760"/>
      <c r="I6" s="2760"/>
      <c r="J6" s="2760"/>
      <c r="K6" s="2760"/>
      <c r="L6" s="2760"/>
      <c r="M6" s="2760"/>
      <c r="N6" s="2760"/>
      <c r="O6" s="2760"/>
      <c r="P6" s="2760"/>
      <c r="Q6" s="2760"/>
      <c r="R6" s="2780"/>
      <c r="S6" s="2780"/>
      <c r="T6" s="2780"/>
      <c r="U6" s="2780"/>
      <c r="V6" s="2780"/>
      <c r="W6" s="2780"/>
      <c r="X6" s="2780"/>
      <c r="Y6" s="2780"/>
      <c r="Z6" s="2780"/>
      <c r="AA6" s="2780"/>
      <c r="AB6" s="2780"/>
      <c r="AC6" s="2760"/>
      <c r="AD6" s="2760"/>
      <c r="AE6" s="2760"/>
      <c r="AF6" s="2760"/>
      <c r="AG6" s="2760"/>
      <c r="AH6" s="2760"/>
      <c r="AI6" s="2760"/>
      <c r="AJ6" s="2760"/>
      <c r="AK6" s="2760"/>
      <c r="AL6" s="2760"/>
      <c r="AM6" s="2782"/>
      <c r="AN6" s="2782"/>
      <c r="AO6" s="2782"/>
      <c r="AP6" s="2782"/>
      <c r="AQ6" s="2782"/>
      <c r="AR6" s="2782"/>
      <c r="AS6" s="2782"/>
      <c r="AT6" s="2782"/>
      <c r="AU6" s="2782"/>
      <c r="AV6" s="2782"/>
      <c r="AW6" s="2782"/>
      <c r="AX6" s="2760"/>
      <c r="AY6" s="2760"/>
      <c r="AZ6" s="2760"/>
      <c r="BA6" s="2760"/>
      <c r="BB6" s="2760"/>
      <c r="BC6" s="2760"/>
      <c r="BD6" s="2760"/>
      <c r="BE6" s="2760"/>
      <c r="BF6" s="2760"/>
      <c r="BG6" s="2760"/>
      <c r="BH6" s="2760"/>
      <c r="BI6" s="2760"/>
      <c r="BJ6" s="2760"/>
      <c r="BK6" s="2760"/>
      <c r="BL6" s="2761"/>
      <c r="BM6" s="2761"/>
      <c r="BN6" s="2761"/>
      <c r="BO6" s="2761"/>
      <c r="BP6" s="2761"/>
      <c r="BQ6" s="2761"/>
      <c r="BR6" s="2761"/>
      <c r="BS6" s="2761"/>
      <c r="BT6" s="2761"/>
      <c r="BU6" s="2761"/>
      <c r="BV6" s="2761"/>
      <c r="BW6" s="2760"/>
      <c r="BX6" s="2760"/>
      <c r="BY6" s="2760"/>
      <c r="BZ6" s="2760"/>
      <c r="CA6" s="2760"/>
      <c r="CB6" s="2760"/>
      <c r="CC6" s="2760"/>
      <c r="CD6" s="2760"/>
      <c r="CE6" s="2760"/>
      <c r="CF6" s="2760"/>
      <c r="CG6" s="2760"/>
      <c r="CH6" s="2760"/>
      <c r="CI6" s="2760"/>
      <c r="CJ6" s="2760"/>
      <c r="CK6" s="2760"/>
      <c r="CL6" s="2760"/>
      <c r="CM6" s="2760"/>
      <c r="CN6" s="2760"/>
      <c r="CO6" s="2760"/>
      <c r="CP6" s="2760"/>
      <c r="CQ6" s="2760"/>
      <c r="CR6" s="2760"/>
      <c r="CS6" s="2760"/>
      <c r="CT6" s="2760"/>
      <c r="CU6" s="2760"/>
      <c r="CV6" s="2760"/>
      <c r="CW6" s="2760"/>
      <c r="CX6" s="2760"/>
      <c r="CY6" s="2760"/>
      <c r="CZ6" s="2760"/>
      <c r="DA6" s="2760"/>
      <c r="DB6" s="2760"/>
      <c r="DC6" s="2760"/>
      <c r="DD6" s="2760"/>
      <c r="DE6" s="2760"/>
      <c r="DF6" s="2760"/>
      <c r="DG6" s="2760"/>
      <c r="DH6" s="2760"/>
      <c r="DI6" s="2760"/>
      <c r="DJ6" s="2760"/>
      <c r="DK6" s="2760"/>
      <c r="DL6" s="2760"/>
      <c r="DM6" s="2778"/>
      <c r="DN6" s="2778"/>
      <c r="DO6" s="2778"/>
      <c r="DP6" s="2778"/>
      <c r="DQ6" s="2778"/>
      <c r="DR6" s="2778"/>
      <c r="DS6" s="2778"/>
      <c r="DT6" s="2778"/>
      <c r="DU6" s="2778"/>
      <c r="DV6" s="2778"/>
      <c r="DW6" s="2778"/>
      <c r="DX6" s="2760"/>
      <c r="DY6" s="2760"/>
      <c r="DZ6" s="2760"/>
      <c r="EA6" s="2760"/>
      <c r="EB6" s="2760"/>
      <c r="EC6" s="2760"/>
      <c r="ED6" s="2760"/>
      <c r="EE6" s="2760"/>
      <c r="EF6" s="2760"/>
      <c r="EG6" s="2760"/>
      <c r="EH6" s="2760"/>
      <c r="EI6" s="2760"/>
      <c r="EJ6" s="2760"/>
      <c r="EK6" s="2760"/>
      <c r="EL6" s="2760"/>
      <c r="EM6" s="2760"/>
      <c r="EN6" s="2760"/>
      <c r="EO6" s="2760"/>
      <c r="EP6" s="2760"/>
      <c r="EQ6" s="2760"/>
      <c r="ER6" s="2760"/>
      <c r="ES6" s="2760"/>
      <c r="ET6" s="2760"/>
      <c r="EU6" s="2760"/>
      <c r="EV6" s="2760"/>
      <c r="EW6" s="2760"/>
      <c r="EX6" s="2760"/>
      <c r="EY6" s="2760"/>
      <c r="EZ6" s="2760"/>
    </row>
    <row r="7" spans="1:168" s="35" customFormat="1" ht="13.5" customHeight="1">
      <c r="A7" s="2760"/>
      <c r="B7" s="2760"/>
      <c r="C7" s="2760"/>
      <c r="D7" s="2760"/>
      <c r="E7" s="2760"/>
      <c r="F7" s="2760"/>
      <c r="G7" s="2760"/>
      <c r="H7" s="2760"/>
      <c r="I7" s="2760"/>
      <c r="J7" s="2760"/>
      <c r="K7" s="2760"/>
      <c r="L7" s="2760"/>
      <c r="M7" s="2760"/>
      <c r="N7" s="2760"/>
      <c r="O7" s="2760"/>
      <c r="P7" s="2760"/>
      <c r="Q7" s="2760"/>
      <c r="R7" s="2780"/>
      <c r="S7" s="2780"/>
      <c r="T7" s="2780"/>
      <c r="U7" s="2780"/>
      <c r="V7" s="2780"/>
      <c r="W7" s="2780"/>
      <c r="X7" s="2780"/>
      <c r="Y7" s="2780"/>
      <c r="Z7" s="2780"/>
      <c r="AA7" s="2780"/>
      <c r="AB7" s="2780"/>
      <c r="AC7" s="2760"/>
      <c r="AD7" s="2760"/>
      <c r="AE7" s="2760"/>
      <c r="AF7" s="2760"/>
      <c r="AG7" s="2760"/>
      <c r="AH7" s="2760"/>
      <c r="AI7" s="2760"/>
      <c r="AJ7" s="2760"/>
      <c r="AK7" s="2760"/>
      <c r="AL7" s="2760"/>
      <c r="AM7" s="2782"/>
      <c r="AN7" s="2782"/>
      <c r="AO7" s="2782"/>
      <c r="AP7" s="2782"/>
      <c r="AQ7" s="2782"/>
      <c r="AR7" s="2782"/>
      <c r="AS7" s="2782"/>
      <c r="AT7" s="2782"/>
      <c r="AU7" s="2782"/>
      <c r="AV7" s="2782"/>
      <c r="AW7" s="2782"/>
      <c r="AX7" s="2760"/>
      <c r="AY7" s="2760"/>
      <c r="AZ7" s="2760"/>
      <c r="BA7" s="2760"/>
      <c r="BB7" s="2760"/>
      <c r="BC7" s="2760"/>
      <c r="BD7" s="2760"/>
      <c r="BE7" s="2760"/>
      <c r="BF7" s="2760"/>
      <c r="BG7" s="2760"/>
      <c r="BH7" s="2760"/>
      <c r="BI7" s="2760"/>
      <c r="BJ7" s="2760"/>
      <c r="BK7" s="2760"/>
      <c r="BL7" s="2761"/>
      <c r="BM7" s="2761"/>
      <c r="BN7" s="2761"/>
      <c r="BO7" s="2761"/>
      <c r="BP7" s="2761"/>
      <c r="BQ7" s="2761"/>
      <c r="BR7" s="2761"/>
      <c r="BS7" s="2761"/>
      <c r="BT7" s="2761"/>
      <c r="BU7" s="2761"/>
      <c r="BV7" s="2761"/>
      <c r="BW7" s="2760"/>
      <c r="BX7" s="2760"/>
      <c r="BY7" s="2760"/>
      <c r="BZ7" s="2760"/>
      <c r="CA7" s="2760"/>
      <c r="CB7" s="2760"/>
      <c r="CC7" s="2760"/>
      <c r="CD7" s="2760"/>
      <c r="CE7" s="2760"/>
      <c r="CF7" s="2760"/>
      <c r="CG7" s="2760"/>
      <c r="CH7" s="2760"/>
      <c r="CI7" s="2760"/>
      <c r="CJ7" s="2760"/>
      <c r="CK7" s="2760"/>
      <c r="CL7" s="2760"/>
      <c r="CM7" s="2760"/>
      <c r="CN7" s="2760"/>
      <c r="CO7" s="2760"/>
      <c r="CP7" s="2760"/>
      <c r="CQ7" s="2760"/>
      <c r="CR7" s="2760"/>
      <c r="CS7" s="2760"/>
      <c r="CT7" s="2760"/>
      <c r="CU7" s="2760"/>
      <c r="CV7" s="2760"/>
      <c r="CW7" s="2760"/>
      <c r="CX7" s="2760"/>
      <c r="CY7" s="2760"/>
      <c r="CZ7" s="2760"/>
      <c r="DA7" s="2760"/>
      <c r="DB7" s="2760"/>
      <c r="DC7" s="2760"/>
      <c r="DD7" s="2760"/>
      <c r="DE7" s="2760"/>
      <c r="DF7" s="2760"/>
      <c r="DG7" s="2760"/>
      <c r="DH7" s="2760"/>
      <c r="DI7" s="2760"/>
      <c r="DJ7" s="2760"/>
      <c r="DK7" s="2760"/>
      <c r="DL7" s="2760"/>
      <c r="DM7" s="2778"/>
      <c r="DN7" s="2778"/>
      <c r="DO7" s="2778"/>
      <c r="DP7" s="2778"/>
      <c r="DQ7" s="2778"/>
      <c r="DR7" s="2778"/>
      <c r="DS7" s="2778"/>
      <c r="DT7" s="2778"/>
      <c r="DU7" s="2778"/>
      <c r="DV7" s="2778"/>
      <c r="DW7" s="2778"/>
      <c r="DX7" s="2760"/>
      <c r="DY7" s="2760"/>
      <c r="DZ7" s="2760"/>
      <c r="EA7" s="2760"/>
      <c r="EB7" s="2760"/>
      <c r="EC7" s="2760"/>
      <c r="ED7" s="2760"/>
      <c r="EE7" s="2760"/>
      <c r="EF7" s="2760"/>
      <c r="EG7" s="2760"/>
      <c r="EH7" s="2760"/>
      <c r="EI7" s="2760"/>
      <c r="EJ7" s="2760"/>
      <c r="EK7" s="2760"/>
      <c r="EL7" s="2760"/>
      <c r="EM7" s="2760"/>
      <c r="EN7" s="2760"/>
      <c r="EO7" s="2760"/>
      <c r="EP7" s="2760"/>
      <c r="EQ7" s="2760"/>
      <c r="ER7" s="2760"/>
      <c r="ES7" s="2760"/>
      <c r="ET7" s="2760"/>
      <c r="EU7" s="2760"/>
      <c r="EV7" s="2760"/>
      <c r="EW7" s="2760"/>
      <c r="EX7" s="2760"/>
      <c r="EY7" s="2760"/>
      <c r="EZ7" s="2760"/>
      <c r="FK7" s="6">
        <v>1</v>
      </c>
      <c r="FL7" s="6" t="s">
        <v>2960</v>
      </c>
    </row>
    <row r="8" spans="1:168" s="35" customFormat="1" ht="13.5" customHeight="1">
      <c r="A8" s="2760"/>
      <c r="B8" s="2760"/>
      <c r="C8" s="2760"/>
      <c r="D8" s="2760"/>
      <c r="E8" s="2760"/>
      <c r="F8" s="2760"/>
      <c r="G8" s="2760"/>
      <c r="H8" s="2760"/>
      <c r="I8" s="2760"/>
      <c r="J8" s="2760"/>
      <c r="K8" s="2760"/>
      <c r="L8" s="2760"/>
      <c r="M8" s="2760"/>
      <c r="N8" s="2760"/>
      <c r="O8" s="2760"/>
      <c r="P8" s="2760"/>
      <c r="Q8" s="2760"/>
      <c r="R8" s="2780"/>
      <c r="S8" s="2780"/>
      <c r="T8" s="2780"/>
      <c r="U8" s="2780"/>
      <c r="V8" s="2780"/>
      <c r="W8" s="2780"/>
      <c r="X8" s="2780"/>
      <c r="Y8" s="2780"/>
      <c r="Z8" s="2780"/>
      <c r="AA8" s="2780"/>
      <c r="AB8" s="2780"/>
      <c r="AC8" s="2760"/>
      <c r="AD8" s="2760"/>
      <c r="AE8" s="2760"/>
      <c r="AF8" s="2760"/>
      <c r="AG8" s="2760"/>
      <c r="AH8" s="2760"/>
      <c r="AI8" s="2760"/>
      <c r="AJ8" s="2760"/>
      <c r="AK8" s="2760"/>
      <c r="AL8" s="2760"/>
      <c r="AM8" s="2782"/>
      <c r="AN8" s="2782"/>
      <c r="AO8" s="2782"/>
      <c r="AP8" s="2782"/>
      <c r="AQ8" s="2782"/>
      <c r="AR8" s="2782"/>
      <c r="AS8" s="2782"/>
      <c r="AT8" s="2782"/>
      <c r="AU8" s="2782"/>
      <c r="AV8" s="2782"/>
      <c r="AW8" s="2782"/>
      <c r="AX8" s="2760"/>
      <c r="AY8" s="2760"/>
      <c r="AZ8" s="2760"/>
      <c r="BA8" s="2760"/>
      <c r="BB8" s="2760"/>
      <c r="BC8" s="2760"/>
      <c r="BD8" s="2760"/>
      <c r="BE8" s="2760"/>
      <c r="BF8" s="2760"/>
      <c r="BG8" s="2760"/>
      <c r="BH8" s="2760"/>
      <c r="BI8" s="2760"/>
      <c r="BJ8" s="2760"/>
      <c r="BK8" s="2760"/>
      <c r="BL8" s="2761"/>
      <c r="BM8" s="2761"/>
      <c r="BN8" s="2761"/>
      <c r="BO8" s="2761"/>
      <c r="BP8" s="2761"/>
      <c r="BQ8" s="2761"/>
      <c r="BR8" s="2761"/>
      <c r="BS8" s="2761"/>
      <c r="BT8" s="2761"/>
      <c r="BU8" s="2761"/>
      <c r="BV8" s="2761"/>
      <c r="BW8" s="2760"/>
      <c r="BX8" s="2760"/>
      <c r="BY8" s="2760"/>
      <c r="BZ8" s="2760"/>
      <c r="CA8" s="2760"/>
      <c r="CB8" s="2760"/>
      <c r="CC8" s="2760"/>
      <c r="CD8" s="2760"/>
      <c r="CE8" s="2760"/>
      <c r="CF8" s="2760"/>
      <c r="CG8" s="2760"/>
      <c r="CH8" s="2760"/>
      <c r="CI8" s="2760"/>
      <c r="CJ8" s="2760"/>
      <c r="CK8" s="2760"/>
      <c r="CL8" s="2760"/>
      <c r="CM8" s="2760"/>
      <c r="CN8" s="2760"/>
      <c r="CO8" s="2760"/>
      <c r="CP8" s="2760"/>
      <c r="CQ8" s="2760"/>
      <c r="CR8" s="2760"/>
      <c r="CS8" s="2760"/>
      <c r="CT8" s="2760"/>
      <c r="CU8" s="2760"/>
      <c r="CV8" s="2760"/>
      <c r="CW8" s="2760"/>
      <c r="CX8" s="2760"/>
      <c r="CY8" s="2760"/>
      <c r="CZ8" s="2760"/>
      <c r="DA8" s="2760"/>
      <c r="DB8" s="2760"/>
      <c r="DC8" s="2760"/>
      <c r="DD8" s="2760"/>
      <c r="DE8" s="2760"/>
      <c r="DF8" s="2760"/>
      <c r="DG8" s="2760"/>
      <c r="DH8" s="2760"/>
      <c r="DI8" s="2760"/>
      <c r="DJ8" s="2760"/>
      <c r="DK8" s="2760"/>
      <c r="DL8" s="2760"/>
      <c r="DM8" s="2778"/>
      <c r="DN8" s="2778"/>
      <c r="DO8" s="2778"/>
      <c r="DP8" s="2778"/>
      <c r="DQ8" s="2778"/>
      <c r="DR8" s="2778"/>
      <c r="DS8" s="2778"/>
      <c r="DT8" s="2778"/>
      <c r="DU8" s="2778"/>
      <c r="DV8" s="2778"/>
      <c r="DW8" s="2778"/>
      <c r="DX8" s="2760"/>
      <c r="DY8" s="2760"/>
      <c r="DZ8" s="2760"/>
      <c r="EA8" s="2760"/>
      <c r="EB8" s="2760"/>
      <c r="EC8" s="2760"/>
      <c r="ED8" s="2760"/>
      <c r="EE8" s="2760"/>
      <c r="EF8" s="2760"/>
      <c r="EG8" s="2760"/>
      <c r="EH8" s="2760"/>
      <c r="EI8" s="2760"/>
      <c r="EJ8" s="2760"/>
      <c r="EK8" s="2760"/>
      <c r="EL8" s="2760"/>
      <c r="EM8" s="2760"/>
      <c r="EN8" s="2760"/>
      <c r="EO8" s="2760"/>
      <c r="EP8" s="2760"/>
      <c r="EQ8" s="2760"/>
      <c r="ER8" s="2760"/>
      <c r="ES8" s="2760"/>
      <c r="ET8" s="2760"/>
      <c r="EU8" s="2760"/>
      <c r="EV8" s="2760"/>
      <c r="EW8" s="2760"/>
      <c r="EX8" s="2760"/>
      <c r="EY8" s="2760"/>
      <c r="EZ8" s="2760"/>
      <c r="FK8" s="6">
        <v>2</v>
      </c>
      <c r="FL8" s="6" t="s">
        <v>2961</v>
      </c>
    </row>
    <row r="9" spans="1:168" s="35" customFormat="1" ht="13.5" customHeight="1">
      <c r="A9" s="2760"/>
      <c r="B9" s="2760"/>
      <c r="C9" s="2760"/>
      <c r="D9" s="2760"/>
      <c r="E9" s="2760"/>
      <c r="F9" s="2760"/>
      <c r="G9" s="2760"/>
      <c r="H9" s="2760"/>
      <c r="I9" s="2760"/>
      <c r="J9" s="2760"/>
      <c r="K9" s="2760"/>
      <c r="L9" s="2760"/>
      <c r="M9" s="2760"/>
      <c r="N9" s="2760"/>
      <c r="O9" s="2760"/>
      <c r="P9" s="2760"/>
      <c r="Q9" s="2760"/>
      <c r="R9" s="2780"/>
      <c r="S9" s="2780"/>
      <c r="T9" s="2780"/>
      <c r="U9" s="2780"/>
      <c r="V9" s="2780"/>
      <c r="W9" s="2780"/>
      <c r="X9" s="2780"/>
      <c r="Y9" s="2780"/>
      <c r="Z9" s="2780"/>
      <c r="AA9" s="2780"/>
      <c r="AB9" s="2780"/>
      <c r="AC9" s="2760"/>
      <c r="AD9" s="2760"/>
      <c r="AE9" s="2760"/>
      <c r="AF9" s="2760"/>
      <c r="AG9" s="2760"/>
      <c r="AH9" s="2760"/>
      <c r="AI9" s="2760"/>
      <c r="AJ9" s="2760"/>
      <c r="AK9" s="2760"/>
      <c r="AL9" s="2760"/>
      <c r="AM9" s="2782"/>
      <c r="AN9" s="2782"/>
      <c r="AO9" s="2782"/>
      <c r="AP9" s="2782"/>
      <c r="AQ9" s="2782"/>
      <c r="AR9" s="2782"/>
      <c r="AS9" s="2782"/>
      <c r="AT9" s="2782"/>
      <c r="AU9" s="2782"/>
      <c r="AV9" s="2782"/>
      <c r="AW9" s="2782"/>
      <c r="AX9" s="2760"/>
      <c r="AY9" s="2760"/>
      <c r="AZ9" s="2760"/>
      <c r="BA9" s="2760"/>
      <c r="BB9" s="2760"/>
      <c r="BC9" s="2760"/>
      <c r="BD9" s="2760"/>
      <c r="BE9" s="2760"/>
      <c r="BF9" s="2760"/>
      <c r="BG9" s="2760"/>
      <c r="BH9" s="2760"/>
      <c r="BI9" s="2760"/>
      <c r="BJ9" s="2760"/>
      <c r="BK9" s="2760"/>
      <c r="BL9" s="2761"/>
      <c r="BM9" s="2761"/>
      <c r="BN9" s="2761"/>
      <c r="BO9" s="2761"/>
      <c r="BP9" s="2761"/>
      <c r="BQ9" s="2761"/>
      <c r="BR9" s="2761"/>
      <c r="BS9" s="2761"/>
      <c r="BT9" s="2761"/>
      <c r="BU9" s="2761"/>
      <c r="BV9" s="2761"/>
      <c r="BW9" s="2760"/>
      <c r="BX9" s="2760"/>
      <c r="BY9" s="2760"/>
      <c r="BZ9" s="2760"/>
      <c r="CA9" s="2760"/>
      <c r="CB9" s="2760"/>
      <c r="CC9" s="2760"/>
      <c r="CD9" s="2760"/>
      <c r="CE9" s="2760"/>
      <c r="CF9" s="2760"/>
      <c r="CG9" s="2760"/>
      <c r="CH9" s="2760"/>
      <c r="CI9" s="2760"/>
      <c r="CJ9" s="2760"/>
      <c r="CK9" s="2760"/>
      <c r="CL9" s="2760"/>
      <c r="CM9" s="2760"/>
      <c r="CN9" s="2760"/>
      <c r="CO9" s="2760"/>
      <c r="CP9" s="2760"/>
      <c r="CQ9" s="2760"/>
      <c r="CR9" s="2760"/>
      <c r="CS9" s="2760"/>
      <c r="CT9" s="2760"/>
      <c r="CU9" s="2760"/>
      <c r="CV9" s="2760"/>
      <c r="CW9" s="2760"/>
      <c r="CX9" s="2760"/>
      <c r="CY9" s="2760"/>
      <c r="CZ9" s="2760"/>
      <c r="DA9" s="2760"/>
      <c r="DB9" s="2760"/>
      <c r="DC9" s="2760"/>
      <c r="DD9" s="2760"/>
      <c r="DE9" s="2760"/>
      <c r="DF9" s="2760"/>
      <c r="DG9" s="2760"/>
      <c r="DH9" s="2760"/>
      <c r="DI9" s="2760"/>
      <c r="DJ9" s="2760"/>
      <c r="DK9" s="2760"/>
      <c r="DL9" s="2760"/>
      <c r="DM9" s="2778"/>
      <c r="DN9" s="2778"/>
      <c r="DO9" s="2778"/>
      <c r="DP9" s="2778"/>
      <c r="DQ9" s="2778"/>
      <c r="DR9" s="2778"/>
      <c r="DS9" s="2778"/>
      <c r="DT9" s="2778"/>
      <c r="DU9" s="2778"/>
      <c r="DV9" s="2778"/>
      <c r="DW9" s="2778"/>
      <c r="DX9" s="2760"/>
      <c r="DY9" s="2760"/>
      <c r="DZ9" s="2760"/>
      <c r="EA9" s="2760"/>
      <c r="EB9" s="2760"/>
      <c r="EC9" s="2760"/>
      <c r="ED9" s="2760"/>
      <c r="EE9" s="2760"/>
      <c r="EF9" s="2760"/>
      <c r="EG9" s="2760"/>
      <c r="EH9" s="2760"/>
      <c r="EI9" s="2760"/>
      <c r="EJ9" s="2760"/>
      <c r="EK9" s="2760"/>
      <c r="EL9" s="2760"/>
      <c r="EM9" s="2760"/>
      <c r="EN9" s="2760"/>
      <c r="EO9" s="2760"/>
      <c r="EP9" s="2760"/>
      <c r="EQ9" s="2760"/>
      <c r="ER9" s="2760"/>
      <c r="ES9" s="2760"/>
      <c r="ET9" s="2760"/>
      <c r="EU9" s="2760"/>
      <c r="EV9" s="2760"/>
      <c r="EW9" s="2760"/>
      <c r="EX9" s="2760"/>
      <c r="EY9" s="2760"/>
      <c r="EZ9" s="2760"/>
      <c r="FK9" s="6">
        <v>3</v>
      </c>
      <c r="FL9" s="6" t="s">
        <v>2962</v>
      </c>
    </row>
    <row r="10" spans="1:168" s="35" customFormat="1" ht="13.5" customHeight="1">
      <c r="A10" s="2760"/>
      <c r="B10" s="2760"/>
      <c r="C10" s="2760"/>
      <c r="D10" s="2760"/>
      <c r="E10" s="2760"/>
      <c r="F10" s="2760"/>
      <c r="G10" s="2760"/>
      <c r="H10" s="2760"/>
      <c r="I10" s="2760"/>
      <c r="J10" s="2760"/>
      <c r="K10" s="2760"/>
      <c r="L10" s="2760"/>
      <c r="M10" s="2760"/>
      <c r="N10" s="2760"/>
      <c r="O10" s="2760"/>
      <c r="P10" s="2760"/>
      <c r="Q10" s="2760"/>
      <c r="R10" s="2780"/>
      <c r="S10" s="2780"/>
      <c r="T10" s="2780"/>
      <c r="U10" s="2780"/>
      <c r="V10" s="2780"/>
      <c r="W10" s="2780"/>
      <c r="X10" s="2780"/>
      <c r="Y10" s="2780"/>
      <c r="Z10" s="2780"/>
      <c r="AA10" s="2780"/>
      <c r="AB10" s="2780"/>
      <c r="AC10" s="2760"/>
      <c r="AD10" s="2760"/>
      <c r="AE10" s="2760"/>
      <c r="AF10" s="2760"/>
      <c r="AG10" s="2760"/>
      <c r="AH10" s="2760"/>
      <c r="AI10" s="2760"/>
      <c r="AJ10" s="2760"/>
      <c r="AK10" s="2760"/>
      <c r="AL10" s="2760"/>
      <c r="AM10" s="2782"/>
      <c r="AN10" s="2782"/>
      <c r="AO10" s="2782"/>
      <c r="AP10" s="2782"/>
      <c r="AQ10" s="2782"/>
      <c r="AR10" s="2782"/>
      <c r="AS10" s="2782"/>
      <c r="AT10" s="2782"/>
      <c r="AU10" s="2782"/>
      <c r="AV10" s="2782"/>
      <c r="AW10" s="2782"/>
      <c r="AX10" s="2760"/>
      <c r="AY10" s="2760"/>
      <c r="AZ10" s="2760"/>
      <c r="BA10" s="2760"/>
      <c r="BB10" s="2760"/>
      <c r="BC10" s="2760"/>
      <c r="BD10" s="2760"/>
      <c r="BE10" s="2760"/>
      <c r="BF10" s="2760"/>
      <c r="BG10" s="2760"/>
      <c r="BH10" s="2760"/>
      <c r="BI10" s="2760"/>
      <c r="BJ10" s="2760"/>
      <c r="BK10" s="2760"/>
      <c r="BL10" s="2761"/>
      <c r="BM10" s="2761"/>
      <c r="BN10" s="2761"/>
      <c r="BO10" s="2761"/>
      <c r="BP10" s="2761"/>
      <c r="BQ10" s="2761"/>
      <c r="BR10" s="2761"/>
      <c r="BS10" s="2761"/>
      <c r="BT10" s="2761"/>
      <c r="BU10" s="2761"/>
      <c r="BV10" s="2761"/>
      <c r="BW10" s="2760"/>
      <c r="BX10" s="2760"/>
      <c r="BY10" s="2760"/>
      <c r="BZ10" s="2760"/>
      <c r="CA10" s="2760"/>
      <c r="CB10" s="2760"/>
      <c r="CC10" s="2760"/>
      <c r="CD10" s="2760"/>
      <c r="CE10" s="2760"/>
      <c r="CF10" s="2760"/>
      <c r="CG10" s="2760"/>
      <c r="CH10" s="2760"/>
      <c r="CI10" s="2760"/>
      <c r="CJ10" s="2760"/>
      <c r="CK10" s="2760"/>
      <c r="CL10" s="2760"/>
      <c r="CM10" s="2760"/>
      <c r="CN10" s="2760"/>
      <c r="CO10" s="2760"/>
      <c r="CP10" s="2760"/>
      <c r="CQ10" s="2760"/>
      <c r="CR10" s="2777"/>
      <c r="CS10" s="2777"/>
      <c r="CT10" s="2777"/>
      <c r="CU10" s="2777"/>
      <c r="CV10" s="2777"/>
      <c r="CW10" s="2777"/>
      <c r="CX10" s="2777"/>
      <c r="CY10" s="2777"/>
      <c r="CZ10" s="2777"/>
      <c r="DA10" s="2777"/>
      <c r="DB10" s="2777"/>
      <c r="DC10" s="2760"/>
      <c r="DD10" s="2760"/>
      <c r="DE10" s="2760"/>
      <c r="DF10" s="2760"/>
      <c r="DG10" s="2760"/>
      <c r="DH10" s="2760"/>
      <c r="DI10" s="2760"/>
      <c r="DJ10" s="2760"/>
      <c r="DK10" s="2760"/>
      <c r="DL10" s="2760"/>
      <c r="DM10" s="2779"/>
      <c r="DN10" s="2779"/>
      <c r="DO10" s="2779"/>
      <c r="DP10" s="2779"/>
      <c r="DQ10" s="2779"/>
      <c r="DR10" s="2779"/>
      <c r="DS10" s="2779"/>
      <c r="DT10" s="2779"/>
      <c r="DU10" s="2779"/>
      <c r="DV10" s="2779"/>
      <c r="DW10" s="2779"/>
      <c r="DX10" s="2760"/>
      <c r="DY10" s="2760"/>
      <c r="DZ10" s="2760"/>
      <c r="EA10" s="2760"/>
      <c r="EB10" s="2760"/>
      <c r="EC10" s="2760"/>
      <c r="ED10" s="2760"/>
      <c r="EE10" s="2760"/>
      <c r="EF10" s="2760"/>
      <c r="EG10" s="2760"/>
      <c r="EH10" s="2760"/>
      <c r="EI10" s="2760"/>
      <c r="EJ10" s="2760"/>
      <c r="EK10" s="2760"/>
      <c r="EL10" s="2777"/>
      <c r="EM10" s="2777"/>
      <c r="EN10" s="2777"/>
      <c r="EO10" s="2777"/>
      <c r="EP10" s="2777"/>
      <c r="EQ10" s="2777"/>
      <c r="ER10" s="2777"/>
      <c r="ES10" s="2777"/>
      <c r="ET10" s="2777"/>
      <c r="EU10" s="2777"/>
      <c r="EV10" s="2777"/>
      <c r="EW10" s="2760"/>
      <c r="EX10" s="2760"/>
      <c r="EY10" s="2760"/>
      <c r="EZ10" s="2760"/>
      <c r="FK10" s="6">
        <v>4</v>
      </c>
      <c r="FL10" s="6" t="s">
        <v>1834</v>
      </c>
    </row>
    <row r="11" spans="1:168" s="35" customFormat="1" ht="13.5" customHeight="1">
      <c r="A11" s="2760"/>
      <c r="B11" s="2760"/>
      <c r="C11" s="2760"/>
      <c r="D11" s="2760"/>
      <c r="E11" s="2760"/>
      <c r="F11" s="2760"/>
      <c r="G11" s="2760"/>
      <c r="H11" s="2760"/>
      <c r="I11" s="2760"/>
      <c r="J11" s="2760"/>
      <c r="K11" s="2760"/>
      <c r="L11" s="2760"/>
      <c r="M11" s="2760"/>
      <c r="N11" s="2760"/>
      <c r="O11" s="2760"/>
      <c r="P11" s="2760"/>
      <c r="Q11" s="2760"/>
      <c r="R11" s="2781"/>
      <c r="S11" s="2781"/>
      <c r="T11" s="2781"/>
      <c r="U11" s="2781"/>
      <c r="V11" s="2781"/>
      <c r="W11" s="2781"/>
      <c r="X11" s="2781"/>
      <c r="Y11" s="2781"/>
      <c r="Z11" s="2781"/>
      <c r="AA11" s="2781"/>
      <c r="AB11" s="2781"/>
      <c r="AC11" s="2760"/>
      <c r="AD11" s="2760"/>
      <c r="AE11" s="2760"/>
      <c r="AF11" s="2760"/>
      <c r="AG11" s="2760"/>
      <c r="AH11" s="2760"/>
      <c r="AI11" s="2760"/>
      <c r="AJ11" s="2760"/>
      <c r="AK11" s="2760"/>
      <c r="AL11" s="2760"/>
      <c r="AM11" s="2783"/>
      <c r="AN11" s="2783"/>
      <c r="AO11" s="2783"/>
      <c r="AP11" s="2783"/>
      <c r="AQ11" s="2783"/>
      <c r="AR11" s="2783"/>
      <c r="AS11" s="2783"/>
      <c r="AT11" s="2783"/>
      <c r="AU11" s="2783"/>
      <c r="AV11" s="2783"/>
      <c r="AW11" s="2783"/>
      <c r="AX11" s="2760"/>
      <c r="AY11" s="2760"/>
      <c r="AZ11" s="2760"/>
      <c r="BA11" s="2760"/>
      <c r="BB11" s="2760"/>
      <c r="BC11" s="2760"/>
      <c r="BD11" s="2760"/>
      <c r="BE11" s="2760"/>
      <c r="BF11" s="2760"/>
      <c r="BG11" s="2760"/>
      <c r="BH11" s="2760"/>
      <c r="BI11" s="2760"/>
      <c r="BJ11" s="2760"/>
      <c r="BK11" s="2760"/>
      <c r="BL11" s="2762"/>
      <c r="BM11" s="2762"/>
      <c r="BN11" s="2762"/>
      <c r="BO11" s="2762"/>
      <c r="BP11" s="2762"/>
      <c r="BQ11" s="2762"/>
      <c r="BR11" s="2762"/>
      <c r="BS11" s="2762"/>
      <c r="BT11" s="2762"/>
      <c r="BU11" s="2762"/>
      <c r="BV11" s="2762"/>
      <c r="BW11" s="2760"/>
      <c r="BX11" s="2760"/>
      <c r="BY11" s="2760"/>
      <c r="BZ11" s="2760"/>
      <c r="CA11" s="2760" t="s">
        <v>276</v>
      </c>
      <c r="CB11" s="2760"/>
      <c r="CC11" s="2760"/>
      <c r="CD11" s="2760"/>
      <c r="CE11" s="2760"/>
      <c r="CF11" s="2760"/>
      <c r="CG11" s="2760"/>
      <c r="CH11" s="2760"/>
      <c r="CI11" s="2760"/>
      <c r="CJ11" s="2760"/>
      <c r="CK11" s="2760"/>
      <c r="CL11" s="2760"/>
      <c r="CM11" s="2760"/>
      <c r="CN11" s="2760"/>
      <c r="CO11" s="2760"/>
      <c r="CP11" s="2760"/>
      <c r="CQ11" s="2760"/>
      <c r="CR11" s="2785" t="s">
        <v>281</v>
      </c>
      <c r="CS11" s="2785"/>
      <c r="CT11" s="2785"/>
      <c r="CU11" s="2785"/>
      <c r="CV11" s="2785"/>
      <c r="CW11" s="2785"/>
      <c r="CX11" s="2785"/>
      <c r="CY11" s="2785"/>
      <c r="CZ11" s="2785"/>
      <c r="DA11" s="2785"/>
      <c r="DB11" s="2785"/>
      <c r="DC11" s="2785"/>
      <c r="DD11" s="2785"/>
      <c r="DE11" s="2785"/>
      <c r="DF11" s="2785"/>
      <c r="DG11" s="2785"/>
      <c r="DH11" s="2785"/>
      <c r="DI11" s="2785"/>
      <c r="DJ11" s="2785"/>
      <c r="DK11" s="2785"/>
      <c r="DL11" s="2785"/>
      <c r="DM11" s="2785"/>
      <c r="DN11" s="2785"/>
      <c r="DO11" s="2785"/>
      <c r="DP11" s="2785"/>
      <c r="DQ11" s="2785"/>
      <c r="DR11" s="2785"/>
      <c r="DS11" s="2785"/>
      <c r="DT11" s="2785"/>
      <c r="DU11" s="2785"/>
      <c r="DV11" s="2785"/>
      <c r="DW11" s="2785"/>
      <c r="DX11" s="2785"/>
      <c r="DY11" s="2785"/>
      <c r="DZ11" s="2785"/>
      <c r="EA11" s="2785"/>
      <c r="EB11" s="2785"/>
      <c r="EC11" s="2785"/>
      <c r="ED11" s="2785"/>
      <c r="EE11" s="2785"/>
      <c r="EF11" s="2785"/>
      <c r="EG11" s="2785"/>
      <c r="EH11" s="2785"/>
      <c r="EI11" s="2785"/>
      <c r="EJ11" s="2785"/>
      <c r="EK11" s="2785"/>
      <c r="EL11" s="2785"/>
      <c r="EM11" s="2785"/>
      <c r="EN11" s="2785"/>
      <c r="EO11" s="2785"/>
      <c r="EP11" s="2785"/>
      <c r="EQ11" s="2785"/>
      <c r="ER11" s="2785"/>
      <c r="ES11" s="2785"/>
      <c r="ET11" s="2785"/>
      <c r="EU11" s="2785"/>
      <c r="EV11" s="2785"/>
      <c r="EW11" s="2785"/>
      <c r="EX11" s="2785"/>
      <c r="EY11" s="2785"/>
      <c r="EZ11" s="2785"/>
      <c r="FK11" s="6">
        <v>5</v>
      </c>
      <c r="FL11" s="6" t="s">
        <v>1835</v>
      </c>
    </row>
    <row r="12" spans="1:168" s="35" customFormat="1" ht="13.5" customHeight="1">
      <c r="A12" s="2763" t="s">
        <v>2977</v>
      </c>
      <c r="B12" s="2764"/>
      <c r="C12" s="2764"/>
      <c r="D12" s="2764"/>
      <c r="E12" s="2764"/>
      <c r="F12" s="2764"/>
      <c r="G12" s="2764"/>
      <c r="H12" s="2764"/>
      <c r="I12" s="2764"/>
      <c r="J12" s="2764"/>
      <c r="K12" s="2764"/>
      <c r="L12" s="2764"/>
      <c r="M12" s="2764"/>
      <c r="N12" s="2764"/>
      <c r="O12" s="2764"/>
      <c r="P12" s="2764"/>
      <c r="Q12" s="2764"/>
      <c r="R12" s="2765" t="str">
        <f>CONCATENATE('01 使用承認申請書'!D4)</f>
        <v/>
      </c>
      <c r="S12" s="2765"/>
      <c r="T12" s="2765"/>
      <c r="U12" s="2765"/>
      <c r="V12" s="2765"/>
      <c r="W12" s="2765"/>
      <c r="X12" s="2765"/>
      <c r="Y12" s="2765"/>
      <c r="Z12" s="2765"/>
      <c r="AA12" s="2765"/>
      <c r="AB12" s="2765"/>
      <c r="AC12" s="2765"/>
      <c r="AD12" s="2765"/>
      <c r="AE12" s="2765"/>
      <c r="AF12" s="2765"/>
      <c r="AG12" s="2765"/>
      <c r="AH12" s="2765"/>
      <c r="AI12" s="2765"/>
      <c r="AJ12" s="2765"/>
      <c r="AK12" s="2765"/>
      <c r="AL12" s="2765"/>
      <c r="AM12" s="2765"/>
      <c r="AN12" s="2765"/>
      <c r="AO12" s="2765"/>
      <c r="AP12" s="2765"/>
      <c r="AQ12" s="2765"/>
      <c r="AR12" s="2765"/>
      <c r="AS12" s="2765"/>
      <c r="AT12" s="2765"/>
      <c r="AU12" s="2765"/>
      <c r="AV12" s="2765"/>
      <c r="AW12" s="2765"/>
      <c r="AX12" s="2765"/>
      <c r="AY12" s="2765"/>
      <c r="AZ12" s="2765"/>
      <c r="BA12" s="2765"/>
      <c r="BB12" s="2765"/>
      <c r="BC12" s="2765"/>
      <c r="BD12" s="2765"/>
      <c r="BE12" s="2765"/>
      <c r="BF12" s="2765"/>
      <c r="BG12" s="2765"/>
      <c r="BH12" s="2765"/>
      <c r="BI12" s="2765"/>
      <c r="BJ12" s="2765"/>
      <c r="BK12" s="2765"/>
      <c r="BL12" s="2765"/>
      <c r="BM12" s="2765"/>
      <c r="BN12" s="2765"/>
      <c r="BO12" s="2765"/>
      <c r="BP12" s="2765"/>
      <c r="BQ12" s="2765"/>
      <c r="BR12" s="2765"/>
      <c r="BS12" s="2765"/>
      <c r="BT12" s="2765"/>
      <c r="BU12" s="2765"/>
      <c r="BV12" s="2765"/>
      <c r="BW12" s="2765"/>
      <c r="BX12" s="2765"/>
      <c r="BY12" s="2765"/>
      <c r="BZ12" s="2765"/>
      <c r="CA12" s="2760"/>
      <c r="CB12" s="2760"/>
      <c r="CC12" s="2760"/>
      <c r="CD12" s="2760"/>
      <c r="CE12" s="2760"/>
      <c r="CF12" s="2760"/>
      <c r="CG12" s="2760"/>
      <c r="CH12" s="2760"/>
      <c r="CI12" s="2760"/>
      <c r="CJ12" s="2760"/>
      <c r="CK12" s="2760"/>
      <c r="CL12" s="2760"/>
      <c r="CM12" s="2760"/>
      <c r="CN12" s="2760"/>
      <c r="CO12" s="2760"/>
      <c r="CP12" s="2760"/>
      <c r="CQ12" s="2760"/>
      <c r="CR12" s="2785"/>
      <c r="CS12" s="2785"/>
      <c r="CT12" s="2785"/>
      <c r="CU12" s="2785"/>
      <c r="CV12" s="2785"/>
      <c r="CW12" s="2785"/>
      <c r="CX12" s="2785"/>
      <c r="CY12" s="2785"/>
      <c r="CZ12" s="2785"/>
      <c r="DA12" s="2785"/>
      <c r="DB12" s="2785"/>
      <c r="DC12" s="2785"/>
      <c r="DD12" s="2785"/>
      <c r="DE12" s="2785"/>
      <c r="DF12" s="2785"/>
      <c r="DG12" s="2785"/>
      <c r="DH12" s="2785"/>
      <c r="DI12" s="2785"/>
      <c r="DJ12" s="2785"/>
      <c r="DK12" s="2785"/>
      <c r="DL12" s="2785"/>
      <c r="DM12" s="2785"/>
      <c r="DN12" s="2785"/>
      <c r="DO12" s="2785"/>
      <c r="DP12" s="2785"/>
      <c r="DQ12" s="2785"/>
      <c r="DR12" s="2785"/>
      <c r="DS12" s="2785"/>
      <c r="DT12" s="2785"/>
      <c r="DU12" s="2785"/>
      <c r="DV12" s="2785"/>
      <c r="DW12" s="2785"/>
      <c r="DX12" s="2785"/>
      <c r="DY12" s="2785"/>
      <c r="DZ12" s="2785"/>
      <c r="EA12" s="2785"/>
      <c r="EB12" s="2785"/>
      <c r="EC12" s="2785"/>
      <c r="ED12" s="2785"/>
      <c r="EE12" s="2785"/>
      <c r="EF12" s="2785"/>
      <c r="EG12" s="2785"/>
      <c r="EH12" s="2785"/>
      <c r="EI12" s="2785"/>
      <c r="EJ12" s="2785"/>
      <c r="EK12" s="2785"/>
      <c r="EL12" s="2785"/>
      <c r="EM12" s="2785"/>
      <c r="EN12" s="2785"/>
      <c r="EO12" s="2785"/>
      <c r="EP12" s="2785"/>
      <c r="EQ12" s="2785"/>
      <c r="ER12" s="2785"/>
      <c r="ES12" s="2785"/>
      <c r="ET12" s="2785"/>
      <c r="EU12" s="2785"/>
      <c r="EV12" s="2785"/>
      <c r="EW12" s="2785"/>
      <c r="EX12" s="2785"/>
      <c r="EY12" s="2785"/>
      <c r="EZ12" s="2785"/>
      <c r="FK12" s="6">
        <v>6</v>
      </c>
      <c r="FL12" s="6" t="s">
        <v>1836</v>
      </c>
    </row>
    <row r="13" spans="1:168" s="35" customFormat="1" ht="13.5" customHeight="1">
      <c r="A13" s="2764"/>
      <c r="B13" s="2764"/>
      <c r="C13" s="2764"/>
      <c r="D13" s="2764"/>
      <c r="E13" s="2764"/>
      <c r="F13" s="2764"/>
      <c r="G13" s="2764"/>
      <c r="H13" s="2764"/>
      <c r="I13" s="2764"/>
      <c r="J13" s="2764"/>
      <c r="K13" s="2764"/>
      <c r="L13" s="2764"/>
      <c r="M13" s="2764"/>
      <c r="N13" s="2764"/>
      <c r="O13" s="2764"/>
      <c r="P13" s="2764"/>
      <c r="Q13" s="2764"/>
      <c r="R13" s="2765"/>
      <c r="S13" s="2765"/>
      <c r="T13" s="2765"/>
      <c r="U13" s="2765"/>
      <c r="V13" s="2765"/>
      <c r="W13" s="2765"/>
      <c r="X13" s="2765"/>
      <c r="Y13" s="2765"/>
      <c r="Z13" s="2765"/>
      <c r="AA13" s="2765"/>
      <c r="AB13" s="2765"/>
      <c r="AC13" s="2765"/>
      <c r="AD13" s="2765"/>
      <c r="AE13" s="2765"/>
      <c r="AF13" s="2765"/>
      <c r="AG13" s="2765"/>
      <c r="AH13" s="2765"/>
      <c r="AI13" s="2765"/>
      <c r="AJ13" s="2765"/>
      <c r="AK13" s="2765"/>
      <c r="AL13" s="2765"/>
      <c r="AM13" s="2765"/>
      <c r="AN13" s="2765"/>
      <c r="AO13" s="2765"/>
      <c r="AP13" s="2765"/>
      <c r="AQ13" s="2765"/>
      <c r="AR13" s="2765"/>
      <c r="AS13" s="2765"/>
      <c r="AT13" s="2765"/>
      <c r="AU13" s="2765"/>
      <c r="AV13" s="2765"/>
      <c r="AW13" s="2765"/>
      <c r="AX13" s="2765"/>
      <c r="AY13" s="2765"/>
      <c r="AZ13" s="2765"/>
      <c r="BA13" s="2765"/>
      <c r="BB13" s="2765"/>
      <c r="BC13" s="2765"/>
      <c r="BD13" s="2765"/>
      <c r="BE13" s="2765"/>
      <c r="BF13" s="2765"/>
      <c r="BG13" s="2765"/>
      <c r="BH13" s="2765"/>
      <c r="BI13" s="2765"/>
      <c r="BJ13" s="2765"/>
      <c r="BK13" s="2765"/>
      <c r="BL13" s="2765"/>
      <c r="BM13" s="2765"/>
      <c r="BN13" s="2765"/>
      <c r="BO13" s="2765"/>
      <c r="BP13" s="2765"/>
      <c r="BQ13" s="2765"/>
      <c r="BR13" s="2765"/>
      <c r="BS13" s="2765"/>
      <c r="BT13" s="2765"/>
      <c r="BU13" s="2765"/>
      <c r="BV13" s="2765"/>
      <c r="BW13" s="2765"/>
      <c r="BX13" s="2765"/>
      <c r="BY13" s="2765"/>
      <c r="BZ13" s="2765"/>
      <c r="CA13" s="2760"/>
      <c r="CB13" s="2760"/>
      <c r="CC13" s="2760"/>
      <c r="CD13" s="2760"/>
      <c r="CE13" s="2760"/>
      <c r="CF13" s="2760"/>
      <c r="CG13" s="2760"/>
      <c r="CH13" s="2760"/>
      <c r="CI13" s="2760"/>
      <c r="CJ13" s="2760"/>
      <c r="CK13" s="2760"/>
      <c r="CL13" s="2760"/>
      <c r="CM13" s="2760"/>
      <c r="CN13" s="2760"/>
      <c r="CO13" s="2760"/>
      <c r="CP13" s="2760"/>
      <c r="CQ13" s="2760"/>
      <c r="CR13" s="2785"/>
      <c r="CS13" s="2785"/>
      <c r="CT13" s="2785"/>
      <c r="CU13" s="2785"/>
      <c r="CV13" s="2785"/>
      <c r="CW13" s="2785"/>
      <c r="CX13" s="2785"/>
      <c r="CY13" s="2785"/>
      <c r="CZ13" s="2785"/>
      <c r="DA13" s="2785"/>
      <c r="DB13" s="2785"/>
      <c r="DC13" s="2785"/>
      <c r="DD13" s="2785"/>
      <c r="DE13" s="2785"/>
      <c r="DF13" s="2785"/>
      <c r="DG13" s="2785"/>
      <c r="DH13" s="2785"/>
      <c r="DI13" s="2785"/>
      <c r="DJ13" s="2785"/>
      <c r="DK13" s="2785"/>
      <c r="DL13" s="2785"/>
      <c r="DM13" s="2785"/>
      <c r="DN13" s="2785"/>
      <c r="DO13" s="2785"/>
      <c r="DP13" s="2785"/>
      <c r="DQ13" s="2785"/>
      <c r="DR13" s="2785"/>
      <c r="DS13" s="2785"/>
      <c r="DT13" s="2785"/>
      <c r="DU13" s="2785"/>
      <c r="DV13" s="2785"/>
      <c r="DW13" s="2785"/>
      <c r="DX13" s="2785"/>
      <c r="DY13" s="2785"/>
      <c r="DZ13" s="2785"/>
      <c r="EA13" s="2785"/>
      <c r="EB13" s="2785"/>
      <c r="EC13" s="2785"/>
      <c r="ED13" s="2785"/>
      <c r="EE13" s="2785"/>
      <c r="EF13" s="2785"/>
      <c r="EG13" s="2785"/>
      <c r="EH13" s="2785"/>
      <c r="EI13" s="2785"/>
      <c r="EJ13" s="2785"/>
      <c r="EK13" s="2785"/>
      <c r="EL13" s="2785"/>
      <c r="EM13" s="2785"/>
      <c r="EN13" s="2785"/>
      <c r="EO13" s="2785"/>
      <c r="EP13" s="2785"/>
      <c r="EQ13" s="2785"/>
      <c r="ER13" s="2785"/>
      <c r="ES13" s="2785"/>
      <c r="ET13" s="2785"/>
      <c r="EU13" s="2785"/>
      <c r="EV13" s="2785"/>
      <c r="EW13" s="2785"/>
      <c r="EX13" s="2785"/>
      <c r="EY13" s="2785"/>
      <c r="EZ13" s="2785"/>
      <c r="FK13" s="6">
        <v>7</v>
      </c>
      <c r="FL13" s="6" t="s">
        <v>378</v>
      </c>
    </row>
    <row r="14" spans="1:168" s="35" customFormat="1" ht="13.5" customHeight="1">
      <c r="A14" s="2764"/>
      <c r="B14" s="2764"/>
      <c r="C14" s="2764"/>
      <c r="D14" s="2764"/>
      <c r="E14" s="2764"/>
      <c r="F14" s="2764"/>
      <c r="G14" s="2764"/>
      <c r="H14" s="2764"/>
      <c r="I14" s="2764"/>
      <c r="J14" s="2764"/>
      <c r="K14" s="2764"/>
      <c r="L14" s="2764"/>
      <c r="M14" s="2764"/>
      <c r="N14" s="2764"/>
      <c r="O14" s="2764"/>
      <c r="P14" s="2764"/>
      <c r="Q14" s="2764"/>
      <c r="R14" s="2765"/>
      <c r="S14" s="2765"/>
      <c r="T14" s="2765"/>
      <c r="U14" s="2765"/>
      <c r="V14" s="2765"/>
      <c r="W14" s="2765"/>
      <c r="X14" s="2765"/>
      <c r="Y14" s="2765"/>
      <c r="Z14" s="2765"/>
      <c r="AA14" s="2765"/>
      <c r="AB14" s="2765"/>
      <c r="AC14" s="2765"/>
      <c r="AD14" s="2765"/>
      <c r="AE14" s="2765"/>
      <c r="AF14" s="2765"/>
      <c r="AG14" s="2765"/>
      <c r="AH14" s="2765"/>
      <c r="AI14" s="2765"/>
      <c r="AJ14" s="2765"/>
      <c r="AK14" s="2765"/>
      <c r="AL14" s="2765"/>
      <c r="AM14" s="2765"/>
      <c r="AN14" s="2765"/>
      <c r="AO14" s="2765"/>
      <c r="AP14" s="2765"/>
      <c r="AQ14" s="2765"/>
      <c r="AR14" s="2765"/>
      <c r="AS14" s="2765"/>
      <c r="AT14" s="2765"/>
      <c r="AU14" s="2765"/>
      <c r="AV14" s="2765"/>
      <c r="AW14" s="2765"/>
      <c r="AX14" s="2765"/>
      <c r="AY14" s="2765"/>
      <c r="AZ14" s="2765"/>
      <c r="BA14" s="2765"/>
      <c r="BB14" s="2765"/>
      <c r="BC14" s="2765"/>
      <c r="BD14" s="2765"/>
      <c r="BE14" s="2765"/>
      <c r="BF14" s="2765"/>
      <c r="BG14" s="2765"/>
      <c r="BH14" s="2765"/>
      <c r="BI14" s="2765"/>
      <c r="BJ14" s="2765"/>
      <c r="BK14" s="2765"/>
      <c r="BL14" s="2765"/>
      <c r="BM14" s="2765"/>
      <c r="BN14" s="2765"/>
      <c r="BO14" s="2765"/>
      <c r="BP14" s="2765"/>
      <c r="BQ14" s="2765"/>
      <c r="BR14" s="2765"/>
      <c r="BS14" s="2765"/>
      <c r="BT14" s="2765"/>
      <c r="BU14" s="2765"/>
      <c r="BV14" s="2765"/>
      <c r="BW14" s="2765"/>
      <c r="BX14" s="2765"/>
      <c r="BY14" s="2765"/>
      <c r="BZ14" s="2765"/>
      <c r="CA14" s="2760"/>
      <c r="CB14" s="2760"/>
      <c r="CC14" s="2760"/>
      <c r="CD14" s="2760"/>
      <c r="CE14" s="2760"/>
      <c r="CF14" s="2760"/>
      <c r="CG14" s="2760"/>
      <c r="CH14" s="2760"/>
      <c r="CI14" s="2760"/>
      <c r="CJ14" s="2760"/>
      <c r="CK14" s="2760"/>
      <c r="CL14" s="2760"/>
      <c r="CM14" s="2760"/>
      <c r="CN14" s="2760"/>
      <c r="CO14" s="2760"/>
      <c r="CP14" s="2760"/>
      <c r="CQ14" s="2760"/>
      <c r="CR14" s="2785"/>
      <c r="CS14" s="2785"/>
      <c r="CT14" s="2785"/>
      <c r="CU14" s="2785"/>
      <c r="CV14" s="2785"/>
      <c r="CW14" s="2785"/>
      <c r="CX14" s="2785"/>
      <c r="CY14" s="2785"/>
      <c r="CZ14" s="2785"/>
      <c r="DA14" s="2785"/>
      <c r="DB14" s="2785"/>
      <c r="DC14" s="2785"/>
      <c r="DD14" s="2785"/>
      <c r="DE14" s="2785"/>
      <c r="DF14" s="2785"/>
      <c r="DG14" s="2785"/>
      <c r="DH14" s="2785"/>
      <c r="DI14" s="2785"/>
      <c r="DJ14" s="2785"/>
      <c r="DK14" s="2785"/>
      <c r="DL14" s="2785"/>
      <c r="DM14" s="2785"/>
      <c r="DN14" s="2785"/>
      <c r="DO14" s="2785"/>
      <c r="DP14" s="2785"/>
      <c r="DQ14" s="2785"/>
      <c r="DR14" s="2785"/>
      <c r="DS14" s="2785"/>
      <c r="DT14" s="2785"/>
      <c r="DU14" s="2785"/>
      <c r="DV14" s="2785"/>
      <c r="DW14" s="2785"/>
      <c r="DX14" s="2785"/>
      <c r="DY14" s="2785"/>
      <c r="DZ14" s="2785"/>
      <c r="EA14" s="2785"/>
      <c r="EB14" s="2785"/>
      <c r="EC14" s="2785"/>
      <c r="ED14" s="2785"/>
      <c r="EE14" s="2785"/>
      <c r="EF14" s="2785"/>
      <c r="EG14" s="2785"/>
      <c r="EH14" s="2785"/>
      <c r="EI14" s="2785"/>
      <c r="EJ14" s="2785"/>
      <c r="EK14" s="2785"/>
      <c r="EL14" s="2785"/>
      <c r="EM14" s="2785"/>
      <c r="EN14" s="2785"/>
      <c r="EO14" s="2785"/>
      <c r="EP14" s="2785"/>
      <c r="EQ14" s="2785"/>
      <c r="ER14" s="2785"/>
      <c r="ES14" s="2785"/>
      <c r="ET14" s="2785"/>
      <c r="EU14" s="2785"/>
      <c r="EV14" s="2785"/>
      <c r="EW14" s="2785"/>
      <c r="EX14" s="2785"/>
      <c r="EY14" s="2785"/>
      <c r="EZ14" s="2785"/>
      <c r="FK14" s="6">
        <v>8</v>
      </c>
      <c r="FL14" s="6"/>
    </row>
    <row r="15" spans="1:168" s="35" customFormat="1" ht="13.5" customHeight="1">
      <c r="A15" s="2764"/>
      <c r="B15" s="2764"/>
      <c r="C15" s="2764"/>
      <c r="D15" s="2764"/>
      <c r="E15" s="2764"/>
      <c r="F15" s="2764"/>
      <c r="G15" s="2764"/>
      <c r="H15" s="2764"/>
      <c r="I15" s="2764"/>
      <c r="J15" s="2764"/>
      <c r="K15" s="2764"/>
      <c r="L15" s="2764"/>
      <c r="M15" s="2764"/>
      <c r="N15" s="2764"/>
      <c r="O15" s="2764"/>
      <c r="P15" s="2764"/>
      <c r="Q15" s="2764"/>
      <c r="R15" s="2765"/>
      <c r="S15" s="2765"/>
      <c r="T15" s="2765"/>
      <c r="U15" s="2765"/>
      <c r="V15" s="2765"/>
      <c r="W15" s="2765"/>
      <c r="X15" s="2765"/>
      <c r="Y15" s="2765"/>
      <c r="Z15" s="2765"/>
      <c r="AA15" s="2765"/>
      <c r="AB15" s="2765"/>
      <c r="AC15" s="2765"/>
      <c r="AD15" s="2765"/>
      <c r="AE15" s="2765"/>
      <c r="AF15" s="2765"/>
      <c r="AG15" s="2765"/>
      <c r="AH15" s="2765"/>
      <c r="AI15" s="2765"/>
      <c r="AJ15" s="2765"/>
      <c r="AK15" s="2765"/>
      <c r="AL15" s="2765"/>
      <c r="AM15" s="2765"/>
      <c r="AN15" s="2765"/>
      <c r="AO15" s="2765"/>
      <c r="AP15" s="2765"/>
      <c r="AQ15" s="2765"/>
      <c r="AR15" s="2765"/>
      <c r="AS15" s="2765"/>
      <c r="AT15" s="2765"/>
      <c r="AU15" s="2765"/>
      <c r="AV15" s="2765"/>
      <c r="AW15" s="2765"/>
      <c r="AX15" s="2765"/>
      <c r="AY15" s="2765"/>
      <c r="AZ15" s="2765"/>
      <c r="BA15" s="2765"/>
      <c r="BB15" s="2765"/>
      <c r="BC15" s="2765"/>
      <c r="BD15" s="2765"/>
      <c r="BE15" s="2765"/>
      <c r="BF15" s="2765"/>
      <c r="BG15" s="2765"/>
      <c r="BH15" s="2765"/>
      <c r="BI15" s="2765"/>
      <c r="BJ15" s="2765"/>
      <c r="BK15" s="2765"/>
      <c r="BL15" s="2765"/>
      <c r="BM15" s="2765"/>
      <c r="BN15" s="2765"/>
      <c r="BO15" s="2765"/>
      <c r="BP15" s="2765"/>
      <c r="BQ15" s="2765"/>
      <c r="BR15" s="2765"/>
      <c r="BS15" s="2765"/>
      <c r="BT15" s="2765"/>
      <c r="BU15" s="2765"/>
      <c r="BV15" s="2765"/>
      <c r="BW15" s="2765"/>
      <c r="BX15" s="2765"/>
      <c r="BY15" s="2765"/>
      <c r="BZ15" s="2765"/>
      <c r="CA15" s="2760"/>
      <c r="CB15" s="2760"/>
      <c r="CC15" s="2760"/>
      <c r="CD15" s="2760"/>
      <c r="CE15" s="2760"/>
      <c r="CF15" s="2760"/>
      <c r="CG15" s="2760"/>
      <c r="CH15" s="2760"/>
      <c r="CI15" s="2760"/>
      <c r="CJ15" s="2760"/>
      <c r="CK15" s="2760"/>
      <c r="CL15" s="2760"/>
      <c r="CM15" s="2760"/>
      <c r="CN15" s="2760"/>
      <c r="CO15" s="2760"/>
      <c r="CP15" s="2760"/>
      <c r="CQ15" s="2760"/>
      <c r="CR15" s="2785"/>
      <c r="CS15" s="2785"/>
      <c r="CT15" s="2785"/>
      <c r="CU15" s="2785"/>
      <c r="CV15" s="2785"/>
      <c r="CW15" s="2785"/>
      <c r="CX15" s="2785"/>
      <c r="CY15" s="2785"/>
      <c r="CZ15" s="2785"/>
      <c r="DA15" s="2785"/>
      <c r="DB15" s="2785"/>
      <c r="DC15" s="2785"/>
      <c r="DD15" s="2785"/>
      <c r="DE15" s="2785"/>
      <c r="DF15" s="2785"/>
      <c r="DG15" s="2785"/>
      <c r="DH15" s="2785"/>
      <c r="DI15" s="2785"/>
      <c r="DJ15" s="2785"/>
      <c r="DK15" s="2785"/>
      <c r="DL15" s="2785"/>
      <c r="DM15" s="2785"/>
      <c r="DN15" s="2785"/>
      <c r="DO15" s="2785"/>
      <c r="DP15" s="2785"/>
      <c r="DQ15" s="2785"/>
      <c r="DR15" s="2785"/>
      <c r="DS15" s="2785"/>
      <c r="DT15" s="2785"/>
      <c r="DU15" s="2785"/>
      <c r="DV15" s="2785"/>
      <c r="DW15" s="2785"/>
      <c r="DX15" s="2785"/>
      <c r="DY15" s="2785"/>
      <c r="DZ15" s="2785"/>
      <c r="EA15" s="2785"/>
      <c r="EB15" s="2785"/>
      <c r="EC15" s="2785"/>
      <c r="ED15" s="2785"/>
      <c r="EE15" s="2785"/>
      <c r="EF15" s="2785"/>
      <c r="EG15" s="2785"/>
      <c r="EH15" s="2785"/>
      <c r="EI15" s="2785"/>
      <c r="EJ15" s="2785"/>
      <c r="EK15" s="2785"/>
      <c r="EL15" s="2785"/>
      <c r="EM15" s="2785"/>
      <c r="EN15" s="2785"/>
      <c r="EO15" s="2785"/>
      <c r="EP15" s="2785"/>
      <c r="EQ15" s="2785"/>
      <c r="ER15" s="2785"/>
      <c r="ES15" s="2785"/>
      <c r="ET15" s="2785"/>
      <c r="EU15" s="2785"/>
      <c r="EV15" s="2785"/>
      <c r="EW15" s="2785"/>
      <c r="EX15" s="2785"/>
      <c r="EY15" s="2785"/>
      <c r="EZ15" s="2785"/>
      <c r="FK15" s="6">
        <v>9</v>
      </c>
      <c r="FL15" s="6"/>
    </row>
    <row r="16" spans="1:168" s="35" customFormat="1" ht="13.5" customHeight="1">
      <c r="A16" s="2764"/>
      <c r="B16" s="2764"/>
      <c r="C16" s="2764"/>
      <c r="D16" s="2764"/>
      <c r="E16" s="2764"/>
      <c r="F16" s="2764"/>
      <c r="G16" s="2764"/>
      <c r="H16" s="2764"/>
      <c r="I16" s="2764"/>
      <c r="J16" s="2764"/>
      <c r="K16" s="2764"/>
      <c r="L16" s="2764"/>
      <c r="M16" s="2764"/>
      <c r="N16" s="2764"/>
      <c r="O16" s="2764"/>
      <c r="P16" s="2764"/>
      <c r="Q16" s="2764"/>
      <c r="R16" s="2765"/>
      <c r="S16" s="2765"/>
      <c r="T16" s="2765"/>
      <c r="U16" s="2765"/>
      <c r="V16" s="2765"/>
      <c r="W16" s="2765"/>
      <c r="X16" s="2765"/>
      <c r="Y16" s="2765"/>
      <c r="Z16" s="2765"/>
      <c r="AA16" s="2765"/>
      <c r="AB16" s="2765"/>
      <c r="AC16" s="2765"/>
      <c r="AD16" s="2765"/>
      <c r="AE16" s="2765"/>
      <c r="AF16" s="2765"/>
      <c r="AG16" s="2765"/>
      <c r="AH16" s="2765"/>
      <c r="AI16" s="2765"/>
      <c r="AJ16" s="2765"/>
      <c r="AK16" s="2765"/>
      <c r="AL16" s="2765"/>
      <c r="AM16" s="2765"/>
      <c r="AN16" s="2765"/>
      <c r="AO16" s="2765"/>
      <c r="AP16" s="2765"/>
      <c r="AQ16" s="2765"/>
      <c r="AR16" s="2765"/>
      <c r="AS16" s="2765"/>
      <c r="AT16" s="2765"/>
      <c r="AU16" s="2765"/>
      <c r="AV16" s="2765"/>
      <c r="AW16" s="2765"/>
      <c r="AX16" s="2765"/>
      <c r="AY16" s="2765"/>
      <c r="AZ16" s="2765"/>
      <c r="BA16" s="2765"/>
      <c r="BB16" s="2765"/>
      <c r="BC16" s="2765"/>
      <c r="BD16" s="2765"/>
      <c r="BE16" s="2765"/>
      <c r="BF16" s="2765"/>
      <c r="BG16" s="2765"/>
      <c r="BH16" s="2765"/>
      <c r="BI16" s="2765"/>
      <c r="BJ16" s="2765"/>
      <c r="BK16" s="2765"/>
      <c r="BL16" s="2765"/>
      <c r="BM16" s="2765"/>
      <c r="BN16" s="2765"/>
      <c r="BO16" s="2765"/>
      <c r="BP16" s="2765"/>
      <c r="BQ16" s="2765"/>
      <c r="BR16" s="2765"/>
      <c r="BS16" s="2765"/>
      <c r="BT16" s="2765"/>
      <c r="BU16" s="2765"/>
      <c r="BV16" s="2765"/>
      <c r="BW16" s="2765"/>
      <c r="BX16" s="2765"/>
      <c r="BY16" s="2765"/>
      <c r="BZ16" s="2765"/>
      <c r="CA16" s="2760"/>
      <c r="CB16" s="2760"/>
      <c r="CC16" s="2760"/>
      <c r="CD16" s="2760"/>
      <c r="CE16" s="2760"/>
      <c r="CF16" s="2760"/>
      <c r="CG16" s="2760"/>
      <c r="CH16" s="2760"/>
      <c r="CI16" s="2760"/>
      <c r="CJ16" s="2760"/>
      <c r="CK16" s="2760"/>
      <c r="CL16" s="2760"/>
      <c r="CM16" s="2760"/>
      <c r="CN16" s="2760"/>
      <c r="CO16" s="2760"/>
      <c r="CP16" s="2760"/>
      <c r="CQ16" s="2760"/>
      <c r="CR16" s="2785"/>
      <c r="CS16" s="2785"/>
      <c r="CT16" s="2785"/>
      <c r="CU16" s="2785"/>
      <c r="CV16" s="2785"/>
      <c r="CW16" s="2785"/>
      <c r="CX16" s="2785"/>
      <c r="CY16" s="2785"/>
      <c r="CZ16" s="2785"/>
      <c r="DA16" s="2785"/>
      <c r="DB16" s="2785"/>
      <c r="DC16" s="2785"/>
      <c r="DD16" s="2785"/>
      <c r="DE16" s="2785"/>
      <c r="DF16" s="2785"/>
      <c r="DG16" s="2785"/>
      <c r="DH16" s="2785"/>
      <c r="DI16" s="2785"/>
      <c r="DJ16" s="2785"/>
      <c r="DK16" s="2785"/>
      <c r="DL16" s="2785"/>
      <c r="DM16" s="2785"/>
      <c r="DN16" s="2785"/>
      <c r="DO16" s="2785"/>
      <c r="DP16" s="2785"/>
      <c r="DQ16" s="2785"/>
      <c r="DR16" s="2785"/>
      <c r="DS16" s="2785"/>
      <c r="DT16" s="2785"/>
      <c r="DU16" s="2785"/>
      <c r="DV16" s="2785"/>
      <c r="DW16" s="2785"/>
      <c r="DX16" s="2785"/>
      <c r="DY16" s="2785"/>
      <c r="DZ16" s="2785"/>
      <c r="EA16" s="2785"/>
      <c r="EB16" s="2785"/>
      <c r="EC16" s="2785"/>
      <c r="ED16" s="2785"/>
      <c r="EE16" s="2785"/>
      <c r="EF16" s="2785"/>
      <c r="EG16" s="2785"/>
      <c r="EH16" s="2785"/>
      <c r="EI16" s="2785"/>
      <c r="EJ16" s="2785"/>
      <c r="EK16" s="2785"/>
      <c r="EL16" s="2785"/>
      <c r="EM16" s="2785"/>
      <c r="EN16" s="2785"/>
      <c r="EO16" s="2785"/>
      <c r="EP16" s="2785"/>
      <c r="EQ16" s="2785"/>
      <c r="ER16" s="2785"/>
      <c r="ES16" s="2785"/>
      <c r="ET16" s="2785"/>
      <c r="EU16" s="2785"/>
      <c r="EV16" s="2785"/>
      <c r="EW16" s="2785"/>
      <c r="EX16" s="2785"/>
      <c r="EY16" s="2785"/>
      <c r="EZ16" s="2785"/>
      <c r="FK16" s="6">
        <v>10</v>
      </c>
      <c r="FL16" s="6"/>
    </row>
    <row r="17" spans="1:168" s="35" customFormat="1" ht="13.5" customHeight="1">
      <c r="A17" s="2764"/>
      <c r="B17" s="2764"/>
      <c r="C17" s="2764"/>
      <c r="D17" s="2764"/>
      <c r="E17" s="2764"/>
      <c r="F17" s="2764"/>
      <c r="G17" s="2764"/>
      <c r="H17" s="2764"/>
      <c r="I17" s="2764"/>
      <c r="J17" s="2764"/>
      <c r="K17" s="2764"/>
      <c r="L17" s="2764"/>
      <c r="M17" s="2764"/>
      <c r="N17" s="2764"/>
      <c r="O17" s="2764"/>
      <c r="P17" s="2764"/>
      <c r="Q17" s="2764"/>
      <c r="R17" s="2765"/>
      <c r="S17" s="2765"/>
      <c r="T17" s="2765"/>
      <c r="U17" s="2765"/>
      <c r="V17" s="2765"/>
      <c r="W17" s="2765"/>
      <c r="X17" s="2765"/>
      <c r="Y17" s="2765"/>
      <c r="Z17" s="2765"/>
      <c r="AA17" s="2765"/>
      <c r="AB17" s="2765"/>
      <c r="AC17" s="2765"/>
      <c r="AD17" s="2765"/>
      <c r="AE17" s="2765"/>
      <c r="AF17" s="2765"/>
      <c r="AG17" s="2765"/>
      <c r="AH17" s="2765"/>
      <c r="AI17" s="2765"/>
      <c r="AJ17" s="2765"/>
      <c r="AK17" s="2765"/>
      <c r="AL17" s="2765"/>
      <c r="AM17" s="2765"/>
      <c r="AN17" s="2765"/>
      <c r="AO17" s="2765"/>
      <c r="AP17" s="2765"/>
      <c r="AQ17" s="2765"/>
      <c r="AR17" s="2765"/>
      <c r="AS17" s="2765"/>
      <c r="AT17" s="2765"/>
      <c r="AU17" s="2765"/>
      <c r="AV17" s="2765"/>
      <c r="AW17" s="2765"/>
      <c r="AX17" s="2765"/>
      <c r="AY17" s="2765"/>
      <c r="AZ17" s="2765"/>
      <c r="BA17" s="2765"/>
      <c r="BB17" s="2765"/>
      <c r="BC17" s="2765"/>
      <c r="BD17" s="2765"/>
      <c r="BE17" s="2765"/>
      <c r="BF17" s="2765"/>
      <c r="BG17" s="2765"/>
      <c r="BH17" s="2765"/>
      <c r="BI17" s="2765"/>
      <c r="BJ17" s="2765"/>
      <c r="BK17" s="2765"/>
      <c r="BL17" s="2765"/>
      <c r="BM17" s="2765"/>
      <c r="BN17" s="2765"/>
      <c r="BO17" s="2765"/>
      <c r="BP17" s="2765"/>
      <c r="BQ17" s="2765"/>
      <c r="BR17" s="2765"/>
      <c r="BS17" s="2765"/>
      <c r="BT17" s="2765"/>
      <c r="BU17" s="2765"/>
      <c r="BV17" s="2765"/>
      <c r="BW17" s="2765"/>
      <c r="BX17" s="2765"/>
      <c r="BY17" s="2765"/>
      <c r="BZ17" s="2765"/>
      <c r="CA17" s="2760"/>
      <c r="CB17" s="2760"/>
      <c r="CC17" s="2760"/>
      <c r="CD17" s="2760"/>
      <c r="CE17" s="2760"/>
      <c r="CF17" s="2760"/>
      <c r="CG17" s="2760"/>
      <c r="CH17" s="2760"/>
      <c r="CI17" s="2760"/>
      <c r="CJ17" s="2760"/>
      <c r="CK17" s="2760"/>
      <c r="CL17" s="2760"/>
      <c r="CM17" s="2760"/>
      <c r="CN17" s="2760"/>
      <c r="CO17" s="2760"/>
      <c r="CP17" s="2760"/>
      <c r="CQ17" s="2760"/>
      <c r="CR17" s="2785"/>
      <c r="CS17" s="2785"/>
      <c r="CT17" s="2785"/>
      <c r="CU17" s="2785"/>
      <c r="CV17" s="2785"/>
      <c r="CW17" s="2785"/>
      <c r="CX17" s="2785"/>
      <c r="CY17" s="2785"/>
      <c r="CZ17" s="2785"/>
      <c r="DA17" s="2785"/>
      <c r="DB17" s="2785"/>
      <c r="DC17" s="2785"/>
      <c r="DD17" s="2785"/>
      <c r="DE17" s="2785"/>
      <c r="DF17" s="2785"/>
      <c r="DG17" s="2785"/>
      <c r="DH17" s="2785"/>
      <c r="DI17" s="2785"/>
      <c r="DJ17" s="2785"/>
      <c r="DK17" s="2785"/>
      <c r="DL17" s="2785"/>
      <c r="DM17" s="2785"/>
      <c r="DN17" s="2785"/>
      <c r="DO17" s="2785"/>
      <c r="DP17" s="2785"/>
      <c r="DQ17" s="2785"/>
      <c r="DR17" s="2785"/>
      <c r="DS17" s="2785"/>
      <c r="DT17" s="2785"/>
      <c r="DU17" s="2785"/>
      <c r="DV17" s="2785"/>
      <c r="DW17" s="2785"/>
      <c r="DX17" s="2785"/>
      <c r="DY17" s="2785"/>
      <c r="DZ17" s="2785"/>
      <c r="EA17" s="2785"/>
      <c r="EB17" s="2785"/>
      <c r="EC17" s="2785"/>
      <c r="ED17" s="2785"/>
      <c r="EE17" s="2785"/>
      <c r="EF17" s="2785"/>
      <c r="EG17" s="2785"/>
      <c r="EH17" s="2785"/>
      <c r="EI17" s="2785"/>
      <c r="EJ17" s="2785"/>
      <c r="EK17" s="2785"/>
      <c r="EL17" s="2785"/>
      <c r="EM17" s="2785"/>
      <c r="EN17" s="2785"/>
      <c r="EO17" s="2785"/>
      <c r="EP17" s="2785"/>
      <c r="EQ17" s="2785"/>
      <c r="ER17" s="2785"/>
      <c r="ES17" s="2785"/>
      <c r="ET17" s="2785"/>
      <c r="EU17" s="2785"/>
      <c r="EV17" s="2785"/>
      <c r="EW17" s="2785"/>
      <c r="EX17" s="2785"/>
      <c r="EY17" s="2785"/>
      <c r="EZ17" s="2785"/>
      <c r="FK17" s="6">
        <v>11</v>
      </c>
      <c r="FL17" s="6"/>
    </row>
    <row r="18" spans="1:168" s="35" customFormat="1" ht="13.5" customHeight="1">
      <c r="A18" s="2764"/>
      <c r="B18" s="2764"/>
      <c r="C18" s="2764"/>
      <c r="D18" s="2764"/>
      <c r="E18" s="2764"/>
      <c r="F18" s="2764"/>
      <c r="G18" s="2764"/>
      <c r="H18" s="2764"/>
      <c r="I18" s="2764"/>
      <c r="J18" s="2764"/>
      <c r="K18" s="2764"/>
      <c r="L18" s="2764"/>
      <c r="M18" s="2764"/>
      <c r="N18" s="2764"/>
      <c r="O18" s="2764"/>
      <c r="P18" s="2764"/>
      <c r="Q18" s="2764"/>
      <c r="R18" s="2765"/>
      <c r="S18" s="2765"/>
      <c r="T18" s="2765"/>
      <c r="U18" s="2765"/>
      <c r="V18" s="2765"/>
      <c r="W18" s="2765"/>
      <c r="X18" s="2765"/>
      <c r="Y18" s="2765"/>
      <c r="Z18" s="2765"/>
      <c r="AA18" s="2765"/>
      <c r="AB18" s="2765"/>
      <c r="AC18" s="2765"/>
      <c r="AD18" s="2765"/>
      <c r="AE18" s="2765"/>
      <c r="AF18" s="2765"/>
      <c r="AG18" s="2765"/>
      <c r="AH18" s="2765"/>
      <c r="AI18" s="2765"/>
      <c r="AJ18" s="2765"/>
      <c r="AK18" s="2765"/>
      <c r="AL18" s="2765"/>
      <c r="AM18" s="2765"/>
      <c r="AN18" s="2765"/>
      <c r="AO18" s="2765"/>
      <c r="AP18" s="2765"/>
      <c r="AQ18" s="2765"/>
      <c r="AR18" s="2765"/>
      <c r="AS18" s="2765"/>
      <c r="AT18" s="2765"/>
      <c r="AU18" s="2765"/>
      <c r="AV18" s="2765"/>
      <c r="AW18" s="2765"/>
      <c r="AX18" s="2765"/>
      <c r="AY18" s="2765"/>
      <c r="AZ18" s="2765"/>
      <c r="BA18" s="2765"/>
      <c r="BB18" s="2765"/>
      <c r="BC18" s="2765"/>
      <c r="BD18" s="2765"/>
      <c r="BE18" s="2765"/>
      <c r="BF18" s="2765"/>
      <c r="BG18" s="2765"/>
      <c r="BH18" s="2765"/>
      <c r="BI18" s="2765"/>
      <c r="BJ18" s="2765"/>
      <c r="BK18" s="2765"/>
      <c r="BL18" s="2765"/>
      <c r="BM18" s="2765"/>
      <c r="BN18" s="2765"/>
      <c r="BO18" s="2765"/>
      <c r="BP18" s="2765"/>
      <c r="BQ18" s="2765"/>
      <c r="BR18" s="2765"/>
      <c r="BS18" s="2765"/>
      <c r="BT18" s="2765"/>
      <c r="BU18" s="2765"/>
      <c r="BV18" s="2765"/>
      <c r="BW18" s="2765"/>
      <c r="BX18" s="2765"/>
      <c r="BY18" s="2765"/>
      <c r="BZ18" s="2765"/>
      <c r="CA18" s="2760"/>
      <c r="CB18" s="2760"/>
      <c r="CC18" s="2760"/>
      <c r="CD18" s="2760"/>
      <c r="CE18" s="2760"/>
      <c r="CF18" s="2760"/>
      <c r="CG18" s="2760"/>
      <c r="CH18" s="2760"/>
      <c r="CI18" s="2760"/>
      <c r="CJ18" s="2760"/>
      <c r="CK18" s="2760"/>
      <c r="CL18" s="2760"/>
      <c r="CM18" s="2760"/>
      <c r="CN18" s="2760"/>
      <c r="CO18" s="2760"/>
      <c r="CP18" s="2760"/>
      <c r="CQ18" s="2760"/>
      <c r="CR18" s="2786"/>
      <c r="CS18" s="2786"/>
      <c r="CT18" s="2786"/>
      <c r="CU18" s="2786"/>
      <c r="CV18" s="2786"/>
      <c r="CW18" s="2786"/>
      <c r="CX18" s="2786"/>
      <c r="CY18" s="2786"/>
      <c r="CZ18" s="2786"/>
      <c r="DA18" s="2786"/>
      <c r="DB18" s="2786"/>
      <c r="DC18" s="2786"/>
      <c r="DD18" s="2786"/>
      <c r="DE18" s="2786"/>
      <c r="DF18" s="2786"/>
      <c r="DG18" s="2786"/>
      <c r="DH18" s="2786"/>
      <c r="DI18" s="2786"/>
      <c r="DJ18" s="2786"/>
      <c r="DK18" s="2786"/>
      <c r="DL18" s="2786"/>
      <c r="DM18" s="2786"/>
      <c r="DN18" s="2786"/>
      <c r="DO18" s="2786"/>
      <c r="DP18" s="2786"/>
      <c r="DQ18" s="2786"/>
      <c r="DR18" s="2786"/>
      <c r="DS18" s="2786"/>
      <c r="DT18" s="2786"/>
      <c r="DU18" s="2786"/>
      <c r="DV18" s="2786"/>
      <c r="DW18" s="2786"/>
      <c r="DX18" s="2786"/>
      <c r="DY18" s="2786"/>
      <c r="DZ18" s="2786"/>
      <c r="EA18" s="2786"/>
      <c r="EB18" s="2786"/>
      <c r="EC18" s="2786"/>
      <c r="ED18" s="2786"/>
      <c r="EE18" s="2786"/>
      <c r="EF18" s="2786"/>
      <c r="EG18" s="2786"/>
      <c r="EH18" s="2786"/>
      <c r="EI18" s="2786"/>
      <c r="EJ18" s="2786"/>
      <c r="EK18" s="2786"/>
      <c r="EL18" s="2786"/>
      <c r="EM18" s="2786"/>
      <c r="EN18" s="2786"/>
      <c r="EO18" s="2786"/>
      <c r="EP18" s="2786"/>
      <c r="EQ18" s="2786"/>
      <c r="ER18" s="2786"/>
      <c r="ES18" s="2786"/>
      <c r="ET18" s="2786"/>
      <c r="EU18" s="2786"/>
      <c r="EV18" s="2786"/>
      <c r="EW18" s="2786"/>
      <c r="EX18" s="2786"/>
      <c r="EY18" s="2786"/>
      <c r="EZ18" s="2786"/>
      <c r="FK18" s="6">
        <v>12</v>
      </c>
      <c r="FL18" s="6"/>
    </row>
    <row r="19" spans="1:168" s="35" customFormat="1" ht="13.5" customHeight="1" thickBot="1">
      <c r="A19" s="2764"/>
      <c r="B19" s="2764"/>
      <c r="C19" s="2764"/>
      <c r="D19" s="2764"/>
      <c r="E19" s="2764"/>
      <c r="F19" s="2764"/>
      <c r="G19" s="2764"/>
      <c r="H19" s="2764"/>
      <c r="I19" s="2764"/>
      <c r="J19" s="2764"/>
      <c r="K19" s="2764"/>
      <c r="L19" s="2764"/>
      <c r="M19" s="2764"/>
      <c r="N19" s="2764"/>
      <c r="O19" s="2764"/>
      <c r="P19" s="2764"/>
      <c r="Q19" s="2764"/>
      <c r="R19" s="2766"/>
      <c r="S19" s="2766"/>
      <c r="T19" s="2766"/>
      <c r="U19" s="2766"/>
      <c r="V19" s="2766"/>
      <c r="W19" s="2766"/>
      <c r="X19" s="2766"/>
      <c r="Y19" s="2766"/>
      <c r="Z19" s="2766"/>
      <c r="AA19" s="2766"/>
      <c r="AB19" s="2766"/>
      <c r="AC19" s="2766"/>
      <c r="AD19" s="2766"/>
      <c r="AE19" s="2766"/>
      <c r="AF19" s="2766"/>
      <c r="AG19" s="2766"/>
      <c r="AH19" s="2766"/>
      <c r="AI19" s="2766"/>
      <c r="AJ19" s="2766"/>
      <c r="AK19" s="2766"/>
      <c r="AL19" s="2766"/>
      <c r="AM19" s="2766"/>
      <c r="AN19" s="2766"/>
      <c r="AO19" s="2766"/>
      <c r="AP19" s="2766"/>
      <c r="AQ19" s="2766"/>
      <c r="AR19" s="2766"/>
      <c r="AS19" s="2766"/>
      <c r="AT19" s="2766"/>
      <c r="AU19" s="2766"/>
      <c r="AV19" s="2766"/>
      <c r="AW19" s="2766"/>
      <c r="AX19" s="2766"/>
      <c r="AY19" s="2766"/>
      <c r="AZ19" s="2766"/>
      <c r="BA19" s="2766"/>
      <c r="BB19" s="2766"/>
      <c r="BC19" s="2766"/>
      <c r="BD19" s="2766"/>
      <c r="BE19" s="2766"/>
      <c r="BF19" s="2766"/>
      <c r="BG19" s="2766"/>
      <c r="BH19" s="2766"/>
      <c r="BI19" s="2766"/>
      <c r="BJ19" s="2766"/>
      <c r="BK19" s="2766"/>
      <c r="BL19" s="2766"/>
      <c r="BM19" s="2766"/>
      <c r="BN19" s="2766"/>
      <c r="BO19" s="2766"/>
      <c r="BP19" s="2766"/>
      <c r="BQ19" s="2766"/>
      <c r="BR19" s="2766"/>
      <c r="BS19" s="2766"/>
      <c r="BT19" s="2766"/>
      <c r="BU19" s="2766"/>
      <c r="BV19" s="2766"/>
      <c r="BW19" s="2766"/>
      <c r="BX19" s="2766"/>
      <c r="BY19" s="2766"/>
      <c r="BZ19" s="2766"/>
      <c r="CA19" s="578"/>
      <c r="CB19" s="578"/>
      <c r="CC19" s="578"/>
      <c r="CD19" s="578"/>
      <c r="CE19" s="578"/>
      <c r="CF19" s="578"/>
      <c r="CG19" s="578"/>
      <c r="CH19" s="578"/>
      <c r="CI19" s="578"/>
      <c r="CJ19" s="578"/>
      <c r="CK19" s="578"/>
      <c r="CL19" s="578"/>
      <c r="CM19" s="578"/>
      <c r="CN19" s="578"/>
      <c r="CO19" s="578"/>
      <c r="CP19" s="578"/>
      <c r="CQ19" s="578"/>
      <c r="CR19" s="578"/>
      <c r="CS19" s="578"/>
      <c r="CT19" s="578"/>
      <c r="CU19" s="578"/>
      <c r="CV19" s="578"/>
      <c r="CW19" s="578"/>
      <c r="CX19" s="578"/>
      <c r="CY19" s="578"/>
      <c r="CZ19" s="578"/>
      <c r="DA19" s="578"/>
      <c r="DB19" s="578"/>
      <c r="DC19" s="578"/>
      <c r="DD19" s="578"/>
      <c r="DE19" s="578"/>
      <c r="DF19" s="578"/>
      <c r="DG19" s="578"/>
      <c r="DH19" s="578"/>
      <c r="DI19" s="578"/>
      <c r="DJ19" s="578"/>
      <c r="DK19" s="578"/>
      <c r="DL19" s="578"/>
      <c r="DM19" s="578"/>
      <c r="DN19" s="578"/>
      <c r="DO19" s="578"/>
      <c r="DP19" s="578"/>
      <c r="DQ19" s="578"/>
      <c r="DR19" s="578"/>
      <c r="DS19" s="578"/>
      <c r="DT19" s="578"/>
      <c r="DU19" s="578"/>
      <c r="DV19" s="578"/>
      <c r="DW19" s="578"/>
      <c r="DX19" s="2784" t="s">
        <v>277</v>
      </c>
      <c r="DY19" s="2784"/>
      <c r="DZ19" s="2784"/>
      <c r="EA19" s="2784"/>
      <c r="EB19" s="2784"/>
      <c r="EC19" s="2784"/>
      <c r="ED19" s="2784"/>
      <c r="EE19" s="2784"/>
      <c r="EF19" s="2784"/>
      <c r="EG19" s="2784"/>
      <c r="EH19" s="2787" t="s">
        <v>2876</v>
      </c>
      <c r="EI19" s="2787"/>
      <c r="EJ19" s="2787"/>
      <c r="EK19" s="2787"/>
      <c r="EL19" s="2787"/>
      <c r="EM19" s="2787"/>
      <c r="EN19" s="2787"/>
      <c r="EO19" s="2787"/>
      <c r="EP19" s="2787"/>
      <c r="EQ19" s="2787"/>
      <c r="ER19" s="2787"/>
      <c r="ES19" s="2787"/>
      <c r="ET19" s="2787"/>
      <c r="EU19" s="2787"/>
      <c r="EV19" s="2787"/>
      <c r="EW19" s="2787"/>
      <c r="EX19" s="2787"/>
      <c r="EY19" s="2787"/>
      <c r="EZ19" s="2787"/>
      <c r="FK19" s="6">
        <v>13</v>
      </c>
      <c r="FL19" s="6"/>
    </row>
    <row r="20" spans="1:168" s="36" customFormat="1" ht="13.5" customHeight="1" thickBot="1">
      <c r="A20" s="578"/>
      <c r="B20" s="578"/>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R20" s="578"/>
      <c r="AS20" s="578"/>
      <c r="AT20" s="578"/>
      <c r="AU20" s="578"/>
      <c r="AV20" s="578"/>
      <c r="AW20" s="578"/>
      <c r="AX20" s="2784" t="s">
        <v>277</v>
      </c>
      <c r="AY20" s="2784"/>
      <c r="AZ20" s="2784"/>
      <c r="BA20" s="2784"/>
      <c r="BB20" s="2784"/>
      <c r="BC20" s="2784"/>
      <c r="BD20" s="2784"/>
      <c r="BE20" s="2784"/>
      <c r="BF20" s="2784"/>
      <c r="BG20" s="2784"/>
      <c r="BH20" s="2756"/>
      <c r="BI20" s="2756"/>
      <c r="BJ20" s="2756"/>
      <c r="BK20" s="2756"/>
      <c r="BL20" s="2756"/>
      <c r="BM20" s="2756"/>
      <c r="BN20" s="2756"/>
      <c r="BO20" s="2756"/>
      <c r="BP20" s="2756"/>
      <c r="BQ20" s="2756"/>
      <c r="BR20" s="2756"/>
      <c r="BS20" s="2756"/>
      <c r="BT20" s="2756"/>
      <c r="BU20" s="2756"/>
      <c r="BV20" s="2756"/>
      <c r="BW20" s="2756"/>
      <c r="BX20" s="2756"/>
      <c r="BY20" s="2756"/>
      <c r="BZ20" s="2756"/>
      <c r="CA20" s="578"/>
      <c r="CB20" s="578"/>
      <c r="CC20" s="578"/>
      <c r="CD20" s="2767" t="s">
        <v>2974</v>
      </c>
      <c r="CE20" s="2768"/>
      <c r="CF20" s="2768"/>
      <c r="CG20" s="2768"/>
      <c r="CH20" s="2768"/>
      <c r="CI20" s="2768"/>
      <c r="CJ20" s="2768"/>
      <c r="CK20" s="2768"/>
      <c r="CL20" s="2768"/>
      <c r="CM20" s="2768"/>
      <c r="CN20" s="2768"/>
      <c r="CO20" s="2768"/>
      <c r="CP20" s="2768"/>
      <c r="CQ20" s="2768"/>
      <c r="CR20" s="2768"/>
      <c r="CS20" s="2768"/>
      <c r="CT20" s="2768"/>
      <c r="CU20" s="2768"/>
      <c r="CV20" s="2768"/>
      <c r="CW20" s="2768"/>
      <c r="CX20" s="2768"/>
      <c r="CY20" s="2768"/>
      <c r="CZ20" s="2768"/>
      <c r="DA20" s="2768"/>
      <c r="DB20" s="2768"/>
      <c r="DC20" s="2768"/>
      <c r="DD20" s="2768"/>
      <c r="DE20" s="2768"/>
      <c r="DF20" s="2768"/>
      <c r="DG20" s="2768"/>
      <c r="DH20" s="2768"/>
      <c r="DI20" s="2768"/>
      <c r="DJ20" s="2768"/>
      <c r="DK20" s="2768"/>
      <c r="DL20" s="2768"/>
      <c r="DM20" s="2768"/>
      <c r="DN20" s="2768"/>
      <c r="DO20" s="2768"/>
      <c r="DP20" s="2768"/>
      <c r="DQ20" s="2768"/>
      <c r="DR20" s="2769"/>
      <c r="DS20" s="578"/>
      <c r="DT20" s="578"/>
      <c r="DU20" s="578"/>
      <c r="DV20" s="578"/>
      <c r="DW20" s="578"/>
      <c r="DX20" s="2784"/>
      <c r="DY20" s="2784"/>
      <c r="DZ20" s="2784"/>
      <c r="EA20" s="2784"/>
      <c r="EB20" s="2784"/>
      <c r="EC20" s="2784"/>
      <c r="ED20" s="2784"/>
      <c r="EE20" s="2784"/>
      <c r="EF20" s="2784"/>
      <c r="EG20" s="2784"/>
      <c r="EH20" s="2784"/>
      <c r="EI20" s="2784"/>
      <c r="EJ20" s="2784"/>
      <c r="EK20" s="2784"/>
      <c r="EL20" s="2784"/>
      <c r="EM20" s="2784"/>
      <c r="EN20" s="2784"/>
      <c r="EO20" s="2784"/>
      <c r="EP20" s="2784"/>
      <c r="EQ20" s="2784"/>
      <c r="ER20" s="2784"/>
      <c r="ES20" s="2784"/>
      <c r="ET20" s="2784"/>
      <c r="EU20" s="2784"/>
      <c r="EV20" s="2784"/>
      <c r="EW20" s="2784"/>
      <c r="EX20" s="2784"/>
      <c r="EY20" s="2784"/>
      <c r="EZ20" s="2784"/>
      <c r="FK20" s="6">
        <v>14</v>
      </c>
      <c r="FL20" s="6"/>
    </row>
    <row r="21" spans="1:168" s="36" customFormat="1" ht="13.5" customHeight="1">
      <c r="A21" s="578"/>
      <c r="B21" s="578"/>
      <c r="C21" s="578"/>
      <c r="D21" s="2767" t="s">
        <v>2974</v>
      </c>
      <c r="E21" s="2768"/>
      <c r="F21" s="2768"/>
      <c r="G21" s="2768"/>
      <c r="H21" s="2768"/>
      <c r="I21" s="2768"/>
      <c r="J21" s="2768"/>
      <c r="K21" s="2768"/>
      <c r="L21" s="2768"/>
      <c r="M21" s="2768"/>
      <c r="N21" s="2768"/>
      <c r="O21" s="2768"/>
      <c r="P21" s="2768"/>
      <c r="Q21" s="2768"/>
      <c r="R21" s="2768"/>
      <c r="S21" s="2768"/>
      <c r="T21" s="2768"/>
      <c r="U21" s="2768"/>
      <c r="V21" s="2768"/>
      <c r="W21" s="2768"/>
      <c r="X21" s="2768"/>
      <c r="Y21" s="2768"/>
      <c r="Z21" s="2768"/>
      <c r="AA21" s="2768"/>
      <c r="AB21" s="2768"/>
      <c r="AC21" s="2768"/>
      <c r="AD21" s="2768"/>
      <c r="AE21" s="2768"/>
      <c r="AF21" s="2768"/>
      <c r="AG21" s="2768"/>
      <c r="AH21" s="2768"/>
      <c r="AI21" s="2768"/>
      <c r="AJ21" s="2768"/>
      <c r="AK21" s="2768"/>
      <c r="AL21" s="2768"/>
      <c r="AM21" s="2768"/>
      <c r="AN21" s="2768"/>
      <c r="AO21" s="2768"/>
      <c r="AP21" s="2768"/>
      <c r="AQ21" s="2768"/>
      <c r="AR21" s="2769"/>
      <c r="AS21" s="578"/>
      <c r="AT21" s="578"/>
      <c r="AU21" s="578"/>
      <c r="AV21" s="578"/>
      <c r="AW21" s="578"/>
      <c r="AX21" s="2784"/>
      <c r="AY21" s="2784"/>
      <c r="AZ21" s="2784"/>
      <c r="BA21" s="2784"/>
      <c r="BB21" s="2784"/>
      <c r="BC21" s="2784"/>
      <c r="BD21" s="2784"/>
      <c r="BE21" s="2784"/>
      <c r="BF21" s="2784"/>
      <c r="BG21" s="2784"/>
      <c r="BH21" s="2757"/>
      <c r="BI21" s="2757"/>
      <c r="BJ21" s="2757"/>
      <c r="BK21" s="2757"/>
      <c r="BL21" s="2757"/>
      <c r="BM21" s="2757"/>
      <c r="BN21" s="2757"/>
      <c r="BO21" s="2757"/>
      <c r="BP21" s="2757"/>
      <c r="BQ21" s="2757"/>
      <c r="BR21" s="2757"/>
      <c r="BS21" s="2757"/>
      <c r="BT21" s="2757"/>
      <c r="BU21" s="2757"/>
      <c r="BV21" s="2757"/>
      <c r="BW21" s="2757"/>
      <c r="BX21" s="2757"/>
      <c r="BY21" s="2757"/>
      <c r="BZ21" s="2757"/>
      <c r="CA21" s="578"/>
      <c r="CB21" s="578"/>
      <c r="CC21" s="578"/>
      <c r="CD21" s="2770"/>
      <c r="CE21" s="2771"/>
      <c r="CF21" s="2771"/>
      <c r="CG21" s="2771"/>
      <c r="CH21" s="2771"/>
      <c r="CI21" s="2771"/>
      <c r="CJ21" s="2771"/>
      <c r="CK21" s="2771"/>
      <c r="CL21" s="2771"/>
      <c r="CM21" s="2771"/>
      <c r="CN21" s="2771"/>
      <c r="CO21" s="2771"/>
      <c r="CP21" s="2771"/>
      <c r="CQ21" s="2771"/>
      <c r="CR21" s="2771"/>
      <c r="CS21" s="2771"/>
      <c r="CT21" s="2771"/>
      <c r="CU21" s="2771"/>
      <c r="CV21" s="2771"/>
      <c r="CW21" s="2771"/>
      <c r="CX21" s="2771"/>
      <c r="CY21" s="2771"/>
      <c r="CZ21" s="2771"/>
      <c r="DA21" s="2771"/>
      <c r="DB21" s="2771"/>
      <c r="DC21" s="2771"/>
      <c r="DD21" s="2771"/>
      <c r="DE21" s="2771"/>
      <c r="DF21" s="2771"/>
      <c r="DG21" s="2771"/>
      <c r="DH21" s="2771"/>
      <c r="DI21" s="2771"/>
      <c r="DJ21" s="2771"/>
      <c r="DK21" s="2771"/>
      <c r="DL21" s="2771"/>
      <c r="DM21" s="2771"/>
      <c r="DN21" s="2771"/>
      <c r="DO21" s="2771"/>
      <c r="DP21" s="2771"/>
      <c r="DQ21" s="2771"/>
      <c r="DR21" s="2772"/>
      <c r="DS21" s="578"/>
      <c r="DT21" s="578"/>
      <c r="DU21" s="578"/>
      <c r="DV21" s="578"/>
      <c r="DW21" s="578"/>
      <c r="DX21" s="2784"/>
      <c r="DY21" s="2784"/>
      <c r="DZ21" s="2784"/>
      <c r="EA21" s="2784"/>
      <c r="EB21" s="2784"/>
      <c r="EC21" s="2784"/>
      <c r="ED21" s="2784"/>
      <c r="EE21" s="2784"/>
      <c r="EF21" s="2784"/>
      <c r="EG21" s="2784"/>
      <c r="EH21" s="2784"/>
      <c r="EI21" s="2784"/>
      <c r="EJ21" s="2784"/>
      <c r="EK21" s="2784"/>
      <c r="EL21" s="2784"/>
      <c r="EM21" s="2784"/>
      <c r="EN21" s="2784"/>
      <c r="EO21" s="2784"/>
      <c r="EP21" s="2784"/>
      <c r="EQ21" s="2784"/>
      <c r="ER21" s="2784"/>
      <c r="ES21" s="2784"/>
      <c r="ET21" s="2784"/>
      <c r="EU21" s="2784"/>
      <c r="EV21" s="2784"/>
      <c r="EW21" s="2784"/>
      <c r="EX21" s="2784"/>
      <c r="EY21" s="2784"/>
      <c r="EZ21" s="2784"/>
      <c r="FK21" s="6">
        <v>15</v>
      </c>
    </row>
    <row r="22" spans="1:168" s="35" customFormat="1" ht="13.5" customHeight="1">
      <c r="A22" s="578"/>
      <c r="B22" s="578"/>
      <c r="C22" s="578"/>
      <c r="D22" s="2770"/>
      <c r="E22" s="2771"/>
      <c r="F22" s="2771"/>
      <c r="G22" s="2771"/>
      <c r="H22" s="2771"/>
      <c r="I22" s="2771"/>
      <c r="J22" s="2771"/>
      <c r="K22" s="2771"/>
      <c r="L22" s="2771"/>
      <c r="M22" s="2771"/>
      <c r="N22" s="2771"/>
      <c r="O22" s="2771"/>
      <c r="P22" s="2771"/>
      <c r="Q22" s="2771"/>
      <c r="R22" s="2771"/>
      <c r="S22" s="2771"/>
      <c r="T22" s="2771"/>
      <c r="U22" s="2771"/>
      <c r="V22" s="2771"/>
      <c r="W22" s="2771"/>
      <c r="X22" s="2771"/>
      <c r="Y22" s="2771"/>
      <c r="Z22" s="2771"/>
      <c r="AA22" s="2771"/>
      <c r="AB22" s="2771"/>
      <c r="AC22" s="2771"/>
      <c r="AD22" s="2771"/>
      <c r="AE22" s="2771"/>
      <c r="AF22" s="2771"/>
      <c r="AG22" s="2771"/>
      <c r="AH22" s="2771"/>
      <c r="AI22" s="2771"/>
      <c r="AJ22" s="2771"/>
      <c r="AK22" s="2771"/>
      <c r="AL22" s="2771"/>
      <c r="AM22" s="2771"/>
      <c r="AN22" s="2771"/>
      <c r="AO22" s="2771"/>
      <c r="AP22" s="2771"/>
      <c r="AQ22" s="2771"/>
      <c r="AR22" s="2772"/>
      <c r="AS22" s="578"/>
      <c r="AT22" s="578"/>
      <c r="AU22" s="578"/>
      <c r="AV22" s="578"/>
      <c r="AW22" s="578"/>
      <c r="AX22" s="2784"/>
      <c r="AY22" s="2784"/>
      <c r="AZ22" s="2784"/>
      <c r="BA22" s="2784"/>
      <c r="BB22" s="2784"/>
      <c r="BC22" s="2784"/>
      <c r="BD22" s="2784"/>
      <c r="BE22" s="2784"/>
      <c r="BF22" s="2784"/>
      <c r="BG22" s="2784"/>
      <c r="BH22" s="2757"/>
      <c r="BI22" s="2757"/>
      <c r="BJ22" s="2757"/>
      <c r="BK22" s="2757"/>
      <c r="BL22" s="2757"/>
      <c r="BM22" s="2757"/>
      <c r="BN22" s="2757"/>
      <c r="BO22" s="2757"/>
      <c r="BP22" s="2757"/>
      <c r="BQ22" s="2757"/>
      <c r="BR22" s="2757"/>
      <c r="BS22" s="2757"/>
      <c r="BT22" s="2757"/>
      <c r="BU22" s="2757"/>
      <c r="BV22" s="2757"/>
      <c r="BW22" s="2757"/>
      <c r="BX22" s="2757"/>
      <c r="BY22" s="2757"/>
      <c r="BZ22" s="2757"/>
      <c r="CA22" s="578"/>
      <c r="CB22" s="578"/>
      <c r="CC22" s="578"/>
      <c r="CD22" s="2770"/>
      <c r="CE22" s="2771"/>
      <c r="CF22" s="2771"/>
      <c r="CG22" s="2771"/>
      <c r="CH22" s="2771"/>
      <c r="CI22" s="2771"/>
      <c r="CJ22" s="2771"/>
      <c r="CK22" s="2771"/>
      <c r="CL22" s="2771"/>
      <c r="CM22" s="2771"/>
      <c r="CN22" s="2771"/>
      <c r="CO22" s="2771"/>
      <c r="CP22" s="2771"/>
      <c r="CQ22" s="2771"/>
      <c r="CR22" s="2771"/>
      <c r="CS22" s="2771"/>
      <c r="CT22" s="2771"/>
      <c r="CU22" s="2771"/>
      <c r="CV22" s="2771"/>
      <c r="CW22" s="2771"/>
      <c r="CX22" s="2771"/>
      <c r="CY22" s="2771"/>
      <c r="CZ22" s="2771"/>
      <c r="DA22" s="2771"/>
      <c r="DB22" s="2771"/>
      <c r="DC22" s="2771"/>
      <c r="DD22" s="2771"/>
      <c r="DE22" s="2771"/>
      <c r="DF22" s="2771"/>
      <c r="DG22" s="2771"/>
      <c r="DH22" s="2771"/>
      <c r="DI22" s="2771"/>
      <c r="DJ22" s="2771"/>
      <c r="DK22" s="2771"/>
      <c r="DL22" s="2771"/>
      <c r="DM22" s="2771"/>
      <c r="DN22" s="2771"/>
      <c r="DO22" s="2771"/>
      <c r="DP22" s="2771"/>
      <c r="DQ22" s="2771"/>
      <c r="DR22" s="2772"/>
      <c r="DS22" s="578"/>
      <c r="DT22" s="578"/>
      <c r="DU22" s="578"/>
      <c r="DV22" s="578"/>
      <c r="DW22" s="578"/>
      <c r="DX22" s="2784"/>
      <c r="DY22" s="2784"/>
      <c r="DZ22" s="2784"/>
      <c r="EA22" s="2784"/>
      <c r="EB22" s="2784"/>
      <c r="EC22" s="2784"/>
      <c r="ED22" s="2784"/>
      <c r="EE22" s="2784"/>
      <c r="EF22" s="2784"/>
      <c r="EG22" s="2784"/>
      <c r="EH22" s="2784"/>
      <c r="EI22" s="2784"/>
      <c r="EJ22" s="2784"/>
      <c r="EK22" s="2784"/>
      <c r="EL22" s="2784"/>
      <c r="EM22" s="2784"/>
      <c r="EN22" s="2784"/>
      <c r="EO22" s="2784"/>
      <c r="EP22" s="2784"/>
      <c r="EQ22" s="2784"/>
      <c r="ER22" s="2784"/>
      <c r="ES22" s="2784"/>
      <c r="ET22" s="2784"/>
      <c r="EU22" s="2784"/>
      <c r="EV22" s="2784"/>
      <c r="EW22" s="2784"/>
      <c r="EX22" s="2784"/>
      <c r="EY22" s="2784"/>
      <c r="EZ22" s="2784"/>
      <c r="FK22" s="6">
        <v>16</v>
      </c>
      <c r="FL22" s="36"/>
    </row>
    <row r="23" spans="1:168" s="35" customFormat="1" ht="13.5" customHeight="1">
      <c r="A23" s="578"/>
      <c r="B23" s="578"/>
      <c r="C23" s="578"/>
      <c r="D23" s="2770"/>
      <c r="E23" s="2771"/>
      <c r="F23" s="2771"/>
      <c r="G23" s="2771"/>
      <c r="H23" s="2771"/>
      <c r="I23" s="2771"/>
      <c r="J23" s="2771"/>
      <c r="K23" s="2771"/>
      <c r="L23" s="2771"/>
      <c r="M23" s="2771"/>
      <c r="N23" s="2771"/>
      <c r="O23" s="2771"/>
      <c r="P23" s="2771"/>
      <c r="Q23" s="2771"/>
      <c r="R23" s="2771"/>
      <c r="S23" s="2771"/>
      <c r="T23" s="2771"/>
      <c r="U23" s="2771"/>
      <c r="V23" s="2771"/>
      <c r="W23" s="2771"/>
      <c r="X23" s="2771"/>
      <c r="Y23" s="2771"/>
      <c r="Z23" s="2771"/>
      <c r="AA23" s="2771"/>
      <c r="AB23" s="2771"/>
      <c r="AC23" s="2771"/>
      <c r="AD23" s="2771"/>
      <c r="AE23" s="2771"/>
      <c r="AF23" s="2771"/>
      <c r="AG23" s="2771"/>
      <c r="AH23" s="2771"/>
      <c r="AI23" s="2771"/>
      <c r="AJ23" s="2771"/>
      <c r="AK23" s="2771"/>
      <c r="AL23" s="2771"/>
      <c r="AM23" s="2771"/>
      <c r="AN23" s="2771"/>
      <c r="AO23" s="2771"/>
      <c r="AP23" s="2771"/>
      <c r="AQ23" s="2771"/>
      <c r="AR23" s="2772"/>
      <c r="AS23" s="578"/>
      <c r="AT23" s="578"/>
      <c r="AU23" s="578"/>
      <c r="AV23" s="578"/>
      <c r="AW23" s="578"/>
      <c r="AX23" s="2784"/>
      <c r="AY23" s="2784"/>
      <c r="AZ23" s="2784"/>
      <c r="BA23" s="2784"/>
      <c r="BB23" s="2784"/>
      <c r="BC23" s="2784"/>
      <c r="BD23" s="2784"/>
      <c r="BE23" s="2784"/>
      <c r="BF23" s="2784"/>
      <c r="BG23" s="2784"/>
      <c r="BH23" s="2757"/>
      <c r="BI23" s="2757"/>
      <c r="BJ23" s="2757"/>
      <c r="BK23" s="2757"/>
      <c r="BL23" s="2757"/>
      <c r="BM23" s="2757"/>
      <c r="BN23" s="2757"/>
      <c r="BO23" s="2757"/>
      <c r="BP23" s="2757"/>
      <c r="BQ23" s="2757"/>
      <c r="BR23" s="2757"/>
      <c r="BS23" s="2757"/>
      <c r="BT23" s="2757"/>
      <c r="BU23" s="2757"/>
      <c r="BV23" s="2757"/>
      <c r="BW23" s="2757"/>
      <c r="BX23" s="2757"/>
      <c r="BY23" s="2757"/>
      <c r="BZ23" s="2757"/>
      <c r="CA23" s="578"/>
      <c r="CB23" s="578"/>
      <c r="CC23" s="578"/>
      <c r="CD23" s="2770"/>
      <c r="CE23" s="2771"/>
      <c r="CF23" s="2771"/>
      <c r="CG23" s="2771"/>
      <c r="CH23" s="2771"/>
      <c r="CI23" s="2771"/>
      <c r="CJ23" s="2771"/>
      <c r="CK23" s="2771"/>
      <c r="CL23" s="2771"/>
      <c r="CM23" s="2771"/>
      <c r="CN23" s="2771"/>
      <c r="CO23" s="2771"/>
      <c r="CP23" s="2771"/>
      <c r="CQ23" s="2771"/>
      <c r="CR23" s="2771"/>
      <c r="CS23" s="2771"/>
      <c r="CT23" s="2771"/>
      <c r="CU23" s="2771"/>
      <c r="CV23" s="2771"/>
      <c r="CW23" s="2771"/>
      <c r="CX23" s="2771"/>
      <c r="CY23" s="2771"/>
      <c r="CZ23" s="2771"/>
      <c r="DA23" s="2771"/>
      <c r="DB23" s="2771"/>
      <c r="DC23" s="2771"/>
      <c r="DD23" s="2771"/>
      <c r="DE23" s="2771"/>
      <c r="DF23" s="2771"/>
      <c r="DG23" s="2771"/>
      <c r="DH23" s="2771"/>
      <c r="DI23" s="2771"/>
      <c r="DJ23" s="2771"/>
      <c r="DK23" s="2771"/>
      <c r="DL23" s="2771"/>
      <c r="DM23" s="2771"/>
      <c r="DN23" s="2771"/>
      <c r="DO23" s="2771"/>
      <c r="DP23" s="2771"/>
      <c r="DQ23" s="2771"/>
      <c r="DR23" s="2772"/>
      <c r="DS23" s="578"/>
      <c r="DT23" s="578"/>
      <c r="DU23" s="578"/>
      <c r="DV23" s="578"/>
      <c r="DW23" s="578"/>
      <c r="DX23" s="2784"/>
      <c r="DY23" s="2784"/>
      <c r="DZ23" s="2784"/>
      <c r="EA23" s="2784"/>
      <c r="EB23" s="2784"/>
      <c r="EC23" s="2784"/>
      <c r="ED23" s="2784"/>
      <c r="EE23" s="2784"/>
      <c r="EF23" s="2784"/>
      <c r="EG23" s="2784"/>
      <c r="EH23" s="2784"/>
      <c r="EI23" s="2784"/>
      <c r="EJ23" s="2784"/>
      <c r="EK23" s="2784"/>
      <c r="EL23" s="2784"/>
      <c r="EM23" s="2784"/>
      <c r="EN23" s="2784"/>
      <c r="EO23" s="2784"/>
      <c r="EP23" s="2784"/>
      <c r="EQ23" s="2784"/>
      <c r="ER23" s="2784"/>
      <c r="ES23" s="2784"/>
      <c r="ET23" s="2784"/>
      <c r="EU23" s="2784"/>
      <c r="EV23" s="2784"/>
      <c r="EW23" s="2784"/>
      <c r="EX23" s="2784"/>
      <c r="EY23" s="2784"/>
      <c r="EZ23" s="2784"/>
      <c r="FK23" s="6">
        <v>17</v>
      </c>
      <c r="FL23" s="6"/>
    </row>
    <row r="24" spans="1:168" s="35" customFormat="1" ht="13.5" customHeight="1">
      <c r="A24" s="578"/>
      <c r="B24" s="578"/>
      <c r="C24" s="578"/>
      <c r="D24" s="2770"/>
      <c r="E24" s="2771"/>
      <c r="F24" s="2771"/>
      <c r="G24" s="2771"/>
      <c r="H24" s="2771"/>
      <c r="I24" s="2771"/>
      <c r="J24" s="2771"/>
      <c r="K24" s="2771"/>
      <c r="L24" s="2771"/>
      <c r="M24" s="2771"/>
      <c r="N24" s="2771"/>
      <c r="O24" s="2771"/>
      <c r="P24" s="2771"/>
      <c r="Q24" s="2771"/>
      <c r="R24" s="2771"/>
      <c r="S24" s="2771"/>
      <c r="T24" s="2771"/>
      <c r="U24" s="2771"/>
      <c r="V24" s="2771"/>
      <c r="W24" s="2771"/>
      <c r="X24" s="2771"/>
      <c r="Y24" s="2771"/>
      <c r="Z24" s="2771"/>
      <c r="AA24" s="2771"/>
      <c r="AB24" s="2771"/>
      <c r="AC24" s="2771"/>
      <c r="AD24" s="2771"/>
      <c r="AE24" s="2771"/>
      <c r="AF24" s="2771"/>
      <c r="AG24" s="2771"/>
      <c r="AH24" s="2771"/>
      <c r="AI24" s="2771"/>
      <c r="AJ24" s="2771"/>
      <c r="AK24" s="2771"/>
      <c r="AL24" s="2771"/>
      <c r="AM24" s="2771"/>
      <c r="AN24" s="2771"/>
      <c r="AO24" s="2771"/>
      <c r="AP24" s="2771"/>
      <c r="AQ24" s="2771"/>
      <c r="AR24" s="2772"/>
      <c r="AS24" s="578"/>
      <c r="AT24" s="578"/>
      <c r="AU24" s="578"/>
      <c r="AV24" s="578"/>
      <c r="AW24" s="578"/>
      <c r="AX24" s="2784"/>
      <c r="AY24" s="2784"/>
      <c r="AZ24" s="2784"/>
      <c r="BA24" s="2784"/>
      <c r="BB24" s="2784"/>
      <c r="BC24" s="2784"/>
      <c r="BD24" s="2784"/>
      <c r="BE24" s="2784"/>
      <c r="BF24" s="2784"/>
      <c r="BG24" s="2784"/>
      <c r="BH24" s="2757"/>
      <c r="BI24" s="2757"/>
      <c r="BJ24" s="2757"/>
      <c r="BK24" s="2757"/>
      <c r="BL24" s="2757"/>
      <c r="BM24" s="2757"/>
      <c r="BN24" s="2757"/>
      <c r="BO24" s="2757"/>
      <c r="BP24" s="2757"/>
      <c r="BQ24" s="2757"/>
      <c r="BR24" s="2757"/>
      <c r="BS24" s="2757"/>
      <c r="BT24" s="2757"/>
      <c r="BU24" s="2757"/>
      <c r="BV24" s="2757"/>
      <c r="BW24" s="2757"/>
      <c r="BX24" s="2757"/>
      <c r="BY24" s="2757"/>
      <c r="BZ24" s="2757"/>
      <c r="CA24" s="578"/>
      <c r="CB24" s="578"/>
      <c r="CC24" s="578"/>
      <c r="CD24" s="2770"/>
      <c r="CE24" s="2771"/>
      <c r="CF24" s="2771"/>
      <c r="CG24" s="2771"/>
      <c r="CH24" s="2771"/>
      <c r="CI24" s="2771"/>
      <c r="CJ24" s="2771"/>
      <c r="CK24" s="2771"/>
      <c r="CL24" s="2771"/>
      <c r="CM24" s="2771"/>
      <c r="CN24" s="2771"/>
      <c r="CO24" s="2771"/>
      <c r="CP24" s="2771"/>
      <c r="CQ24" s="2771"/>
      <c r="CR24" s="2771"/>
      <c r="CS24" s="2771"/>
      <c r="CT24" s="2771"/>
      <c r="CU24" s="2771"/>
      <c r="CV24" s="2771"/>
      <c r="CW24" s="2771"/>
      <c r="CX24" s="2771"/>
      <c r="CY24" s="2771"/>
      <c r="CZ24" s="2771"/>
      <c r="DA24" s="2771"/>
      <c r="DB24" s="2771"/>
      <c r="DC24" s="2771"/>
      <c r="DD24" s="2771"/>
      <c r="DE24" s="2771"/>
      <c r="DF24" s="2771"/>
      <c r="DG24" s="2771"/>
      <c r="DH24" s="2771"/>
      <c r="DI24" s="2771"/>
      <c r="DJ24" s="2771"/>
      <c r="DK24" s="2771"/>
      <c r="DL24" s="2771"/>
      <c r="DM24" s="2771"/>
      <c r="DN24" s="2771"/>
      <c r="DO24" s="2771"/>
      <c r="DP24" s="2771"/>
      <c r="DQ24" s="2771"/>
      <c r="DR24" s="2772"/>
      <c r="DS24" s="578"/>
      <c r="DT24" s="578"/>
      <c r="DU24" s="578"/>
      <c r="DV24" s="578"/>
      <c r="DW24" s="578"/>
      <c r="DX24" s="2784"/>
      <c r="DY24" s="2784"/>
      <c r="DZ24" s="2784"/>
      <c r="EA24" s="2784"/>
      <c r="EB24" s="2784"/>
      <c r="EC24" s="2784"/>
      <c r="ED24" s="2784"/>
      <c r="EE24" s="2784"/>
      <c r="EF24" s="2784"/>
      <c r="EG24" s="2784"/>
      <c r="EH24" s="2784"/>
      <c r="EI24" s="2784"/>
      <c r="EJ24" s="2784"/>
      <c r="EK24" s="2784"/>
      <c r="EL24" s="2784"/>
      <c r="EM24" s="2784"/>
      <c r="EN24" s="2784"/>
      <c r="EO24" s="2784"/>
      <c r="EP24" s="2784"/>
      <c r="EQ24" s="2784"/>
      <c r="ER24" s="2784"/>
      <c r="ES24" s="2784"/>
      <c r="ET24" s="2784"/>
      <c r="EU24" s="2784"/>
      <c r="EV24" s="2784"/>
      <c r="EW24" s="2784"/>
      <c r="EX24" s="2784"/>
      <c r="EY24" s="2784"/>
      <c r="EZ24" s="2784"/>
      <c r="FK24" s="6">
        <v>18</v>
      </c>
      <c r="FL24" s="6"/>
    </row>
    <row r="25" spans="1:168" s="35" customFormat="1" ht="13.5" customHeight="1">
      <c r="A25" s="578"/>
      <c r="B25" s="578"/>
      <c r="C25" s="578"/>
      <c r="D25" s="2770"/>
      <c r="E25" s="2771"/>
      <c r="F25" s="2771"/>
      <c r="G25" s="2771"/>
      <c r="H25" s="2771"/>
      <c r="I25" s="2771"/>
      <c r="J25" s="2771"/>
      <c r="K25" s="2771"/>
      <c r="L25" s="2771"/>
      <c r="M25" s="2771"/>
      <c r="N25" s="2771"/>
      <c r="O25" s="2771"/>
      <c r="P25" s="2771"/>
      <c r="Q25" s="2771"/>
      <c r="R25" s="2771"/>
      <c r="S25" s="2771"/>
      <c r="T25" s="2771"/>
      <c r="U25" s="2771"/>
      <c r="V25" s="2771"/>
      <c r="W25" s="2771"/>
      <c r="X25" s="2771"/>
      <c r="Y25" s="2771"/>
      <c r="Z25" s="2771"/>
      <c r="AA25" s="2771"/>
      <c r="AB25" s="2771"/>
      <c r="AC25" s="2771"/>
      <c r="AD25" s="2771"/>
      <c r="AE25" s="2771"/>
      <c r="AF25" s="2771"/>
      <c r="AG25" s="2771"/>
      <c r="AH25" s="2771"/>
      <c r="AI25" s="2771"/>
      <c r="AJ25" s="2771"/>
      <c r="AK25" s="2771"/>
      <c r="AL25" s="2771"/>
      <c r="AM25" s="2771"/>
      <c r="AN25" s="2771"/>
      <c r="AO25" s="2771"/>
      <c r="AP25" s="2771"/>
      <c r="AQ25" s="2771"/>
      <c r="AR25" s="2772"/>
      <c r="AS25" s="578"/>
      <c r="AT25" s="578"/>
      <c r="AU25" s="578"/>
      <c r="AV25" s="578"/>
      <c r="AW25" s="578"/>
      <c r="AX25" s="2784"/>
      <c r="AY25" s="2784"/>
      <c r="AZ25" s="2784"/>
      <c r="BA25" s="2784"/>
      <c r="BB25" s="2784"/>
      <c r="BC25" s="2784"/>
      <c r="BD25" s="2784"/>
      <c r="BE25" s="2784"/>
      <c r="BF25" s="2784"/>
      <c r="BG25" s="2784"/>
      <c r="BH25" s="2757"/>
      <c r="BI25" s="2757"/>
      <c r="BJ25" s="2757"/>
      <c r="BK25" s="2757"/>
      <c r="BL25" s="2757"/>
      <c r="BM25" s="2757"/>
      <c r="BN25" s="2757"/>
      <c r="BO25" s="2757"/>
      <c r="BP25" s="2757"/>
      <c r="BQ25" s="2757"/>
      <c r="BR25" s="2757"/>
      <c r="BS25" s="2757"/>
      <c r="BT25" s="2757"/>
      <c r="BU25" s="2757"/>
      <c r="BV25" s="2757"/>
      <c r="BW25" s="2757"/>
      <c r="BX25" s="2757"/>
      <c r="BY25" s="2757"/>
      <c r="BZ25" s="2757"/>
      <c r="CA25" s="578"/>
      <c r="CB25" s="578"/>
      <c r="CC25" s="578"/>
      <c r="CD25" s="2770"/>
      <c r="CE25" s="2771"/>
      <c r="CF25" s="2771"/>
      <c r="CG25" s="2771"/>
      <c r="CH25" s="2771"/>
      <c r="CI25" s="2771"/>
      <c r="CJ25" s="2771"/>
      <c r="CK25" s="2771"/>
      <c r="CL25" s="2771"/>
      <c r="CM25" s="2771"/>
      <c r="CN25" s="2771"/>
      <c r="CO25" s="2771"/>
      <c r="CP25" s="2771"/>
      <c r="CQ25" s="2771"/>
      <c r="CR25" s="2771"/>
      <c r="CS25" s="2771"/>
      <c r="CT25" s="2771"/>
      <c r="CU25" s="2771"/>
      <c r="CV25" s="2771"/>
      <c r="CW25" s="2771"/>
      <c r="CX25" s="2771"/>
      <c r="CY25" s="2771"/>
      <c r="CZ25" s="2771"/>
      <c r="DA25" s="2771"/>
      <c r="DB25" s="2771"/>
      <c r="DC25" s="2771"/>
      <c r="DD25" s="2771"/>
      <c r="DE25" s="2771"/>
      <c r="DF25" s="2771"/>
      <c r="DG25" s="2771"/>
      <c r="DH25" s="2771"/>
      <c r="DI25" s="2771"/>
      <c r="DJ25" s="2771"/>
      <c r="DK25" s="2771"/>
      <c r="DL25" s="2771"/>
      <c r="DM25" s="2771"/>
      <c r="DN25" s="2771"/>
      <c r="DO25" s="2771"/>
      <c r="DP25" s="2771"/>
      <c r="DQ25" s="2771"/>
      <c r="DR25" s="2772"/>
      <c r="DS25" s="578"/>
      <c r="DT25" s="578"/>
      <c r="DU25" s="578"/>
      <c r="DV25" s="578"/>
      <c r="DW25" s="578"/>
      <c r="DX25" s="2784"/>
      <c r="DY25" s="2784"/>
      <c r="DZ25" s="2784"/>
      <c r="EA25" s="2784"/>
      <c r="EB25" s="2784"/>
      <c r="EC25" s="2784"/>
      <c r="ED25" s="2784"/>
      <c r="EE25" s="2784"/>
      <c r="EF25" s="2784"/>
      <c r="EG25" s="2784"/>
      <c r="EH25" s="2784"/>
      <c r="EI25" s="2784"/>
      <c r="EJ25" s="2784"/>
      <c r="EK25" s="2784"/>
      <c r="EL25" s="2784"/>
      <c r="EM25" s="2784"/>
      <c r="EN25" s="2784"/>
      <c r="EO25" s="2784"/>
      <c r="EP25" s="2784"/>
      <c r="EQ25" s="2784"/>
      <c r="ER25" s="2784"/>
      <c r="ES25" s="2784"/>
      <c r="ET25" s="2784"/>
      <c r="EU25" s="2784"/>
      <c r="EV25" s="2784"/>
      <c r="EW25" s="2784"/>
      <c r="EX25" s="2784"/>
      <c r="EY25" s="2784"/>
      <c r="EZ25" s="2784"/>
      <c r="FK25" s="6">
        <v>19</v>
      </c>
      <c r="FL25" s="6"/>
    </row>
    <row r="26" spans="1:168" s="35" customFormat="1" ht="13.5" customHeight="1">
      <c r="A26" s="578"/>
      <c r="B26" s="578"/>
      <c r="C26" s="578"/>
      <c r="D26" s="2770"/>
      <c r="E26" s="2771"/>
      <c r="F26" s="2771"/>
      <c r="G26" s="2771"/>
      <c r="H26" s="2771"/>
      <c r="I26" s="2771"/>
      <c r="J26" s="2771"/>
      <c r="K26" s="2771"/>
      <c r="L26" s="2771"/>
      <c r="M26" s="2771"/>
      <c r="N26" s="2771"/>
      <c r="O26" s="2771"/>
      <c r="P26" s="2771"/>
      <c r="Q26" s="2771"/>
      <c r="R26" s="2771"/>
      <c r="S26" s="2771"/>
      <c r="T26" s="2771"/>
      <c r="U26" s="2771"/>
      <c r="V26" s="2771"/>
      <c r="W26" s="2771"/>
      <c r="X26" s="2771"/>
      <c r="Y26" s="2771"/>
      <c r="Z26" s="2771"/>
      <c r="AA26" s="2771"/>
      <c r="AB26" s="2771"/>
      <c r="AC26" s="2771"/>
      <c r="AD26" s="2771"/>
      <c r="AE26" s="2771"/>
      <c r="AF26" s="2771"/>
      <c r="AG26" s="2771"/>
      <c r="AH26" s="2771"/>
      <c r="AI26" s="2771"/>
      <c r="AJ26" s="2771"/>
      <c r="AK26" s="2771"/>
      <c r="AL26" s="2771"/>
      <c r="AM26" s="2771"/>
      <c r="AN26" s="2771"/>
      <c r="AO26" s="2771"/>
      <c r="AP26" s="2771"/>
      <c r="AQ26" s="2771"/>
      <c r="AR26" s="2772"/>
      <c r="AS26" s="578"/>
      <c r="AT26" s="578"/>
      <c r="AU26" s="578"/>
      <c r="AV26" s="578"/>
      <c r="AW26" s="578"/>
      <c r="AX26" s="2784"/>
      <c r="AY26" s="2784"/>
      <c r="AZ26" s="2784"/>
      <c r="BA26" s="2784"/>
      <c r="BB26" s="2784"/>
      <c r="BC26" s="2784"/>
      <c r="BD26" s="2784"/>
      <c r="BE26" s="2784"/>
      <c r="BF26" s="2784"/>
      <c r="BG26" s="2784"/>
      <c r="BH26" s="2757"/>
      <c r="BI26" s="2757"/>
      <c r="BJ26" s="2757"/>
      <c r="BK26" s="2757"/>
      <c r="BL26" s="2757"/>
      <c r="BM26" s="2757"/>
      <c r="BN26" s="2757"/>
      <c r="BO26" s="2757"/>
      <c r="BP26" s="2757"/>
      <c r="BQ26" s="2757"/>
      <c r="BR26" s="2757"/>
      <c r="BS26" s="2757"/>
      <c r="BT26" s="2757"/>
      <c r="BU26" s="2757"/>
      <c r="BV26" s="2757"/>
      <c r="BW26" s="2757"/>
      <c r="BX26" s="2757"/>
      <c r="BY26" s="2757"/>
      <c r="BZ26" s="2757"/>
      <c r="CA26" s="578"/>
      <c r="CB26" s="578"/>
      <c r="CC26" s="578"/>
      <c r="CD26" s="2770"/>
      <c r="CE26" s="2771"/>
      <c r="CF26" s="2771"/>
      <c r="CG26" s="2771"/>
      <c r="CH26" s="2771"/>
      <c r="CI26" s="2771"/>
      <c r="CJ26" s="2771"/>
      <c r="CK26" s="2771"/>
      <c r="CL26" s="2771"/>
      <c r="CM26" s="2771"/>
      <c r="CN26" s="2771"/>
      <c r="CO26" s="2771"/>
      <c r="CP26" s="2771"/>
      <c r="CQ26" s="2771"/>
      <c r="CR26" s="2771"/>
      <c r="CS26" s="2771"/>
      <c r="CT26" s="2771"/>
      <c r="CU26" s="2771"/>
      <c r="CV26" s="2771"/>
      <c r="CW26" s="2771"/>
      <c r="CX26" s="2771"/>
      <c r="CY26" s="2771"/>
      <c r="CZ26" s="2771"/>
      <c r="DA26" s="2771"/>
      <c r="DB26" s="2771"/>
      <c r="DC26" s="2771"/>
      <c r="DD26" s="2771"/>
      <c r="DE26" s="2771"/>
      <c r="DF26" s="2771"/>
      <c r="DG26" s="2771"/>
      <c r="DH26" s="2771"/>
      <c r="DI26" s="2771"/>
      <c r="DJ26" s="2771"/>
      <c r="DK26" s="2771"/>
      <c r="DL26" s="2771"/>
      <c r="DM26" s="2771"/>
      <c r="DN26" s="2771"/>
      <c r="DO26" s="2771"/>
      <c r="DP26" s="2771"/>
      <c r="DQ26" s="2771"/>
      <c r="DR26" s="2772"/>
      <c r="DS26" s="578"/>
      <c r="DT26" s="578"/>
      <c r="DU26" s="578"/>
      <c r="DV26" s="578"/>
      <c r="DW26" s="578"/>
      <c r="DX26" s="2784"/>
      <c r="DY26" s="2784"/>
      <c r="DZ26" s="2784"/>
      <c r="EA26" s="2784"/>
      <c r="EB26" s="2784"/>
      <c r="EC26" s="2784"/>
      <c r="ED26" s="2784"/>
      <c r="EE26" s="2784"/>
      <c r="EF26" s="2784"/>
      <c r="EG26" s="2784"/>
      <c r="EH26" s="2788"/>
      <c r="EI26" s="2788"/>
      <c r="EJ26" s="2788"/>
      <c r="EK26" s="2788"/>
      <c r="EL26" s="2788"/>
      <c r="EM26" s="2788"/>
      <c r="EN26" s="2788"/>
      <c r="EO26" s="2788"/>
      <c r="EP26" s="2788"/>
      <c r="EQ26" s="2788"/>
      <c r="ER26" s="2788"/>
      <c r="ES26" s="2788"/>
      <c r="ET26" s="2788"/>
      <c r="EU26" s="2788"/>
      <c r="EV26" s="2788"/>
      <c r="EW26" s="2788"/>
      <c r="EX26" s="2788"/>
      <c r="EY26" s="2788"/>
      <c r="EZ26" s="2788"/>
      <c r="FK26" s="6">
        <v>20</v>
      </c>
      <c r="FL26" s="6"/>
    </row>
    <row r="27" spans="1:168" s="35" customFormat="1" ht="13.5" customHeight="1" thickBot="1">
      <c r="A27" s="578"/>
      <c r="B27" s="578"/>
      <c r="C27" s="578"/>
      <c r="D27" s="2770"/>
      <c r="E27" s="2771"/>
      <c r="F27" s="2771"/>
      <c r="G27" s="2771"/>
      <c r="H27" s="2771"/>
      <c r="I27" s="2771"/>
      <c r="J27" s="2771"/>
      <c r="K27" s="2771"/>
      <c r="L27" s="2771"/>
      <c r="M27" s="2771"/>
      <c r="N27" s="2771"/>
      <c r="O27" s="2771"/>
      <c r="P27" s="2771"/>
      <c r="Q27" s="2771"/>
      <c r="R27" s="2771"/>
      <c r="S27" s="2771"/>
      <c r="T27" s="2771"/>
      <c r="U27" s="2771"/>
      <c r="V27" s="2771"/>
      <c r="W27" s="2771"/>
      <c r="X27" s="2771"/>
      <c r="Y27" s="2771"/>
      <c r="Z27" s="2771"/>
      <c r="AA27" s="2771"/>
      <c r="AB27" s="2771"/>
      <c r="AC27" s="2771"/>
      <c r="AD27" s="2771"/>
      <c r="AE27" s="2771"/>
      <c r="AF27" s="2771"/>
      <c r="AG27" s="2771"/>
      <c r="AH27" s="2771"/>
      <c r="AI27" s="2771"/>
      <c r="AJ27" s="2771"/>
      <c r="AK27" s="2771"/>
      <c r="AL27" s="2771"/>
      <c r="AM27" s="2771"/>
      <c r="AN27" s="2771"/>
      <c r="AO27" s="2771"/>
      <c r="AP27" s="2771"/>
      <c r="AQ27" s="2771"/>
      <c r="AR27" s="2772"/>
      <c r="AS27" s="578"/>
      <c r="AT27" s="578"/>
      <c r="AU27" s="578"/>
      <c r="AV27" s="578"/>
      <c r="AW27" s="578"/>
      <c r="AX27" s="2784"/>
      <c r="AY27" s="2784"/>
      <c r="AZ27" s="2784"/>
      <c r="BA27" s="2784"/>
      <c r="BB27" s="2784"/>
      <c r="BC27" s="2784"/>
      <c r="BD27" s="2784"/>
      <c r="BE27" s="2784"/>
      <c r="BF27" s="2784"/>
      <c r="BG27" s="2784"/>
      <c r="BH27" s="2758"/>
      <c r="BI27" s="2758"/>
      <c r="BJ27" s="2758"/>
      <c r="BK27" s="2758"/>
      <c r="BL27" s="2758"/>
      <c r="BM27" s="2758"/>
      <c r="BN27" s="2758"/>
      <c r="BO27" s="2758"/>
      <c r="BP27" s="2758"/>
      <c r="BQ27" s="2758"/>
      <c r="BR27" s="2758"/>
      <c r="BS27" s="2758"/>
      <c r="BT27" s="2758"/>
      <c r="BU27" s="2758"/>
      <c r="BV27" s="2758"/>
      <c r="BW27" s="2758"/>
      <c r="BX27" s="2758"/>
      <c r="BY27" s="2758"/>
      <c r="BZ27" s="2758"/>
      <c r="CA27" s="578"/>
      <c r="CB27" s="578"/>
      <c r="CC27" s="578"/>
      <c r="CD27" s="2773"/>
      <c r="CE27" s="2774"/>
      <c r="CF27" s="2774"/>
      <c r="CG27" s="2774"/>
      <c r="CH27" s="2774"/>
      <c r="CI27" s="2774"/>
      <c r="CJ27" s="2774"/>
      <c r="CK27" s="2774"/>
      <c r="CL27" s="2774"/>
      <c r="CM27" s="2774"/>
      <c r="CN27" s="2774"/>
      <c r="CO27" s="2774"/>
      <c r="CP27" s="2774"/>
      <c r="CQ27" s="2774"/>
      <c r="CR27" s="2774"/>
      <c r="CS27" s="2774"/>
      <c r="CT27" s="2774"/>
      <c r="CU27" s="2774"/>
      <c r="CV27" s="2774"/>
      <c r="CW27" s="2774"/>
      <c r="CX27" s="2774"/>
      <c r="CY27" s="2774"/>
      <c r="CZ27" s="2774"/>
      <c r="DA27" s="2774"/>
      <c r="DB27" s="2774"/>
      <c r="DC27" s="2774"/>
      <c r="DD27" s="2774"/>
      <c r="DE27" s="2774"/>
      <c r="DF27" s="2774"/>
      <c r="DG27" s="2774"/>
      <c r="DH27" s="2774"/>
      <c r="DI27" s="2774"/>
      <c r="DJ27" s="2774"/>
      <c r="DK27" s="2774"/>
      <c r="DL27" s="2774"/>
      <c r="DM27" s="2774"/>
      <c r="DN27" s="2774"/>
      <c r="DO27" s="2774"/>
      <c r="DP27" s="2774"/>
      <c r="DQ27" s="2774"/>
      <c r="DR27" s="2775"/>
      <c r="DS27" s="578"/>
      <c r="DT27" s="578"/>
      <c r="DU27" s="578"/>
      <c r="DV27" s="578"/>
      <c r="DW27" s="578"/>
      <c r="DX27" s="578"/>
      <c r="DY27" s="578"/>
      <c r="DZ27" s="578"/>
      <c r="EA27" s="578"/>
      <c r="EB27" s="578"/>
      <c r="EC27" s="578"/>
      <c r="ED27" s="578"/>
      <c r="EE27" s="578"/>
      <c r="EF27" s="578"/>
      <c r="EG27" s="578"/>
      <c r="EH27" s="578"/>
      <c r="EI27" s="578"/>
      <c r="EJ27" s="578"/>
      <c r="EK27" s="578"/>
      <c r="EL27" s="578"/>
      <c r="EM27" s="578"/>
      <c r="EN27" s="578"/>
      <c r="EO27" s="578"/>
      <c r="EP27" s="578"/>
      <c r="EQ27" s="578"/>
      <c r="ER27" s="578"/>
      <c r="ES27" s="578"/>
      <c r="ET27" s="578"/>
      <c r="EU27" s="578"/>
      <c r="EV27" s="578"/>
      <c r="EW27" s="578"/>
      <c r="EX27" s="578"/>
      <c r="EY27" s="578"/>
      <c r="EZ27" s="578"/>
      <c r="FK27" s="6">
        <v>21</v>
      </c>
      <c r="FL27" s="6"/>
    </row>
    <row r="28" spans="1:168" s="35" customFormat="1" ht="13.5" customHeight="1" thickBot="1">
      <c r="A28" s="578"/>
      <c r="B28" s="578"/>
      <c r="C28" s="578"/>
      <c r="D28" s="2773"/>
      <c r="E28" s="2774"/>
      <c r="F28" s="2774"/>
      <c r="G28" s="2774"/>
      <c r="H28" s="2774"/>
      <c r="I28" s="2774"/>
      <c r="J28" s="2774"/>
      <c r="K28" s="2774"/>
      <c r="L28" s="2774"/>
      <c r="M28" s="2774"/>
      <c r="N28" s="2774"/>
      <c r="O28" s="2774"/>
      <c r="P28" s="2774"/>
      <c r="Q28" s="2774"/>
      <c r="R28" s="2774"/>
      <c r="S28" s="2774"/>
      <c r="T28" s="2774"/>
      <c r="U28" s="2774"/>
      <c r="V28" s="2774"/>
      <c r="W28" s="2774"/>
      <c r="X28" s="2774"/>
      <c r="Y28" s="2774"/>
      <c r="Z28" s="2774"/>
      <c r="AA28" s="2774"/>
      <c r="AB28" s="2774"/>
      <c r="AC28" s="2774"/>
      <c r="AD28" s="2774"/>
      <c r="AE28" s="2774"/>
      <c r="AF28" s="2774"/>
      <c r="AG28" s="2774"/>
      <c r="AH28" s="2774"/>
      <c r="AI28" s="2774"/>
      <c r="AJ28" s="2774"/>
      <c r="AK28" s="2774"/>
      <c r="AL28" s="2774"/>
      <c r="AM28" s="2774"/>
      <c r="AN28" s="2774"/>
      <c r="AO28" s="2774"/>
      <c r="AP28" s="2774"/>
      <c r="AQ28" s="2774"/>
      <c r="AR28" s="2775"/>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c r="BP28" s="578"/>
      <c r="BQ28" s="578"/>
      <c r="BR28" s="578"/>
      <c r="BS28" s="578"/>
      <c r="BT28" s="578"/>
      <c r="BU28" s="578"/>
      <c r="BV28" s="578"/>
      <c r="BW28" s="578"/>
      <c r="BX28" s="578"/>
      <c r="BY28" s="578"/>
      <c r="BZ28" s="578"/>
      <c r="CA28" s="578"/>
      <c r="CB28" s="578"/>
      <c r="CC28" s="578"/>
      <c r="CD28" s="578"/>
      <c r="CE28" s="578"/>
      <c r="CF28" s="578"/>
      <c r="CG28" s="578"/>
      <c r="CH28" s="578"/>
      <c r="CI28" s="578"/>
      <c r="CJ28" s="578"/>
      <c r="CK28" s="578"/>
      <c r="CL28" s="578"/>
      <c r="CM28" s="578"/>
      <c r="CN28" s="578"/>
      <c r="CO28" s="578"/>
      <c r="CP28" s="578"/>
      <c r="CQ28" s="578"/>
      <c r="CR28" s="578"/>
      <c r="CS28" s="578"/>
      <c r="CT28" s="578"/>
      <c r="CU28" s="578"/>
      <c r="CV28" s="578"/>
      <c r="CW28" s="578"/>
      <c r="CX28" s="578"/>
      <c r="CY28" s="578"/>
      <c r="CZ28" s="578"/>
      <c r="DA28" s="578"/>
      <c r="DB28" s="578"/>
      <c r="DC28" s="578"/>
      <c r="DD28" s="578"/>
      <c r="DE28" s="578"/>
      <c r="DF28" s="578"/>
      <c r="DG28" s="578"/>
      <c r="DH28" s="578"/>
      <c r="DI28" s="578"/>
      <c r="DJ28" s="578"/>
      <c r="DK28" s="578"/>
      <c r="DL28" s="578"/>
      <c r="DM28" s="578"/>
      <c r="DN28" s="578"/>
      <c r="DO28" s="578"/>
      <c r="DP28" s="578"/>
      <c r="DQ28" s="578"/>
      <c r="DR28" s="578"/>
      <c r="DS28" s="578"/>
      <c r="DT28" s="578"/>
      <c r="DU28" s="578"/>
      <c r="DV28" s="578"/>
      <c r="DW28" s="578"/>
      <c r="DX28" s="578"/>
      <c r="DY28" s="578"/>
      <c r="DZ28" s="578"/>
      <c r="EA28" s="578"/>
      <c r="EB28" s="578"/>
      <c r="EC28" s="578"/>
      <c r="ED28" s="578"/>
      <c r="EE28" s="578"/>
      <c r="EF28" s="578"/>
      <c r="EG28" s="578"/>
      <c r="EH28" s="578"/>
      <c r="EI28" s="578"/>
      <c r="EJ28" s="578"/>
      <c r="EK28" s="578"/>
      <c r="EL28" s="578"/>
      <c r="EM28" s="578"/>
      <c r="EN28" s="578"/>
      <c r="EO28" s="578"/>
      <c r="EP28" s="578"/>
      <c r="EQ28" s="578"/>
      <c r="ER28" s="578"/>
      <c r="ES28" s="578"/>
      <c r="ET28" s="578"/>
      <c r="EU28" s="578"/>
      <c r="EV28" s="578"/>
      <c r="EW28" s="578"/>
      <c r="EX28" s="578"/>
      <c r="EY28" s="578"/>
      <c r="EZ28" s="578"/>
      <c r="FK28" s="6">
        <v>22</v>
      </c>
      <c r="FL28" s="6"/>
    </row>
    <row r="29" spans="1:168" s="35" customFormat="1" ht="13.5" customHeight="1">
      <c r="A29" s="578"/>
      <c r="B29" s="578"/>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8"/>
      <c r="AL29" s="578"/>
      <c r="AM29" s="578"/>
      <c r="AN29" s="578"/>
      <c r="AO29" s="578"/>
      <c r="AP29" s="578"/>
      <c r="AQ29" s="578"/>
      <c r="AR29" s="578"/>
      <c r="AS29" s="578"/>
      <c r="AT29" s="578"/>
      <c r="AU29" s="578"/>
      <c r="AV29" s="578"/>
      <c r="AW29" s="578"/>
      <c r="AX29" s="578"/>
      <c r="AY29" s="578"/>
      <c r="AZ29" s="578"/>
      <c r="BA29" s="578"/>
      <c r="BB29" s="578"/>
      <c r="BC29" s="578"/>
      <c r="BD29" s="578"/>
      <c r="BE29" s="578"/>
      <c r="BF29" s="578"/>
      <c r="BG29" s="578"/>
      <c r="BH29" s="578"/>
      <c r="BI29" s="578"/>
      <c r="BJ29" s="578"/>
      <c r="BK29" s="578"/>
      <c r="BL29" s="578"/>
      <c r="BM29" s="578"/>
      <c r="BN29" s="578"/>
      <c r="BO29" s="578"/>
      <c r="BP29" s="578"/>
      <c r="BQ29" s="578"/>
      <c r="BR29" s="578"/>
      <c r="BS29" s="578"/>
      <c r="BT29" s="578"/>
      <c r="BU29" s="578"/>
      <c r="BV29" s="578"/>
      <c r="BW29" s="578"/>
      <c r="BX29" s="578"/>
      <c r="BY29" s="578"/>
      <c r="BZ29" s="578"/>
      <c r="CA29" s="2759" t="s">
        <v>278</v>
      </c>
      <c r="CB29" s="2759"/>
      <c r="CC29" s="2759"/>
      <c r="CD29" s="2759"/>
      <c r="CE29" s="2759"/>
      <c r="CF29" s="2759"/>
      <c r="CG29" s="2759"/>
      <c r="CH29" s="2759"/>
      <c r="CI29" s="2759"/>
      <c r="CJ29" s="2759"/>
      <c r="CK29" s="2759"/>
      <c r="CL29" s="2759"/>
      <c r="CM29" s="2759"/>
      <c r="CN29" s="2759"/>
      <c r="CO29" s="2759"/>
      <c r="CP29" s="2759"/>
      <c r="CQ29" s="2759"/>
      <c r="CR29" s="2759"/>
      <c r="CS29" s="2759"/>
      <c r="CT29" s="2759"/>
      <c r="CU29" s="2759"/>
      <c r="CV29" s="2759"/>
      <c r="CW29" s="2759"/>
      <c r="CX29" s="2759"/>
      <c r="CY29" s="2759"/>
      <c r="CZ29" s="2759"/>
      <c r="DA29" s="2759"/>
      <c r="DB29" s="2759"/>
      <c r="DC29" s="2759"/>
      <c r="DD29" s="2759"/>
      <c r="DE29" s="2759"/>
      <c r="DF29" s="2759"/>
      <c r="DG29" s="2759"/>
      <c r="DH29" s="2759"/>
      <c r="DI29" s="2759"/>
      <c r="DJ29" s="2759"/>
      <c r="DK29" s="2759"/>
      <c r="DL29" s="2759"/>
      <c r="DM29" s="2759"/>
      <c r="DN29" s="2759"/>
      <c r="DO29" s="2759"/>
      <c r="DP29" s="2759"/>
      <c r="DQ29" s="2759"/>
      <c r="DR29" s="2759"/>
      <c r="DS29" s="2759"/>
      <c r="DT29" s="2759"/>
      <c r="DU29" s="2759"/>
      <c r="DV29" s="2759"/>
      <c r="DW29" s="2759"/>
      <c r="DX29" s="2759"/>
      <c r="DY29" s="2759"/>
      <c r="DZ29" s="2759"/>
      <c r="EA29" s="2759"/>
      <c r="EB29" s="2759"/>
      <c r="EC29" s="2759"/>
      <c r="ED29" s="2759"/>
      <c r="EE29" s="2759"/>
      <c r="EF29" s="2759"/>
      <c r="EG29" s="2759"/>
      <c r="EH29" s="2759"/>
      <c r="EI29" s="2759"/>
      <c r="EJ29" s="2759"/>
      <c r="EK29" s="2759"/>
      <c r="EL29" s="2759"/>
      <c r="EM29" s="2759"/>
      <c r="EN29" s="2759"/>
      <c r="EO29" s="2759"/>
      <c r="EP29" s="2759"/>
      <c r="EQ29" s="2759"/>
      <c r="ER29" s="2759"/>
      <c r="ES29" s="2759"/>
      <c r="ET29" s="2759"/>
      <c r="EU29" s="2759"/>
      <c r="EV29" s="2759"/>
      <c r="EW29" s="2759"/>
      <c r="EX29" s="2759"/>
      <c r="EY29" s="2759"/>
      <c r="EZ29" s="2759"/>
      <c r="FK29" s="6">
        <v>23</v>
      </c>
      <c r="FL29" s="6"/>
    </row>
    <row r="30" spans="1:168" s="35" customFormat="1" ht="13.5" customHeight="1">
      <c r="A30" s="2759" t="s">
        <v>2975</v>
      </c>
      <c r="B30" s="2759"/>
      <c r="C30" s="2759"/>
      <c r="D30" s="2759"/>
      <c r="E30" s="2759"/>
      <c r="F30" s="2759"/>
      <c r="G30" s="2759"/>
      <c r="H30" s="2759"/>
      <c r="I30" s="2759"/>
      <c r="J30" s="2759"/>
      <c r="K30" s="2759"/>
      <c r="L30" s="2759"/>
      <c r="M30" s="2759"/>
      <c r="N30" s="2759"/>
      <c r="O30" s="2759"/>
      <c r="P30" s="2759"/>
      <c r="Q30" s="2759"/>
      <c r="R30" s="2759"/>
      <c r="S30" s="2759"/>
      <c r="T30" s="2759"/>
      <c r="U30" s="2759"/>
      <c r="V30" s="2759"/>
      <c r="W30" s="2759"/>
      <c r="X30" s="2759"/>
      <c r="Y30" s="2759"/>
      <c r="Z30" s="2759"/>
      <c r="AA30" s="2759"/>
      <c r="AB30" s="2759"/>
      <c r="AC30" s="2759"/>
      <c r="AD30" s="2759"/>
      <c r="AE30" s="2759"/>
      <c r="AF30" s="2759"/>
      <c r="AG30" s="2759"/>
      <c r="AH30" s="2759"/>
      <c r="AI30" s="2759"/>
      <c r="AJ30" s="2759"/>
      <c r="AK30" s="2759"/>
      <c r="AL30" s="2759"/>
      <c r="AM30" s="2759"/>
      <c r="AN30" s="2759"/>
      <c r="AO30" s="2759"/>
      <c r="AP30" s="2759"/>
      <c r="AQ30" s="2759"/>
      <c r="AR30" s="2759"/>
      <c r="AS30" s="2759"/>
      <c r="AT30" s="2759"/>
      <c r="AU30" s="2759"/>
      <c r="AV30" s="2759"/>
      <c r="AW30" s="2759"/>
      <c r="AX30" s="2759"/>
      <c r="AY30" s="2759"/>
      <c r="AZ30" s="2759"/>
      <c r="BA30" s="2759"/>
      <c r="BB30" s="2759"/>
      <c r="BC30" s="2759"/>
      <c r="BD30" s="2759"/>
      <c r="BE30" s="2759"/>
      <c r="BF30" s="2759"/>
      <c r="BG30" s="2759"/>
      <c r="BH30" s="2759"/>
      <c r="BI30" s="2759"/>
      <c r="BJ30" s="2759"/>
      <c r="BK30" s="2759"/>
      <c r="BL30" s="2759"/>
      <c r="BM30" s="2759"/>
      <c r="BN30" s="2759"/>
      <c r="BO30" s="2759"/>
      <c r="BP30" s="2759"/>
      <c r="BQ30" s="2759"/>
      <c r="BR30" s="2759"/>
      <c r="BS30" s="2759"/>
      <c r="BT30" s="2759"/>
      <c r="BU30" s="2759"/>
      <c r="BV30" s="2759"/>
      <c r="BW30" s="2759"/>
      <c r="BX30" s="2759"/>
      <c r="BY30" s="2759"/>
      <c r="BZ30" s="2759"/>
      <c r="CA30" s="2759"/>
      <c r="CB30" s="2759"/>
      <c r="CC30" s="2759"/>
      <c r="CD30" s="2759"/>
      <c r="CE30" s="2759"/>
      <c r="CF30" s="2759"/>
      <c r="CG30" s="2759"/>
      <c r="CH30" s="2759"/>
      <c r="CI30" s="2759"/>
      <c r="CJ30" s="2759"/>
      <c r="CK30" s="2759"/>
      <c r="CL30" s="2759"/>
      <c r="CM30" s="2759"/>
      <c r="CN30" s="2759"/>
      <c r="CO30" s="2759"/>
      <c r="CP30" s="2759"/>
      <c r="CQ30" s="2759"/>
      <c r="CR30" s="2759"/>
      <c r="CS30" s="2759"/>
      <c r="CT30" s="2759"/>
      <c r="CU30" s="2759"/>
      <c r="CV30" s="2759"/>
      <c r="CW30" s="2759"/>
      <c r="CX30" s="2759"/>
      <c r="CY30" s="2759"/>
      <c r="CZ30" s="2759"/>
      <c r="DA30" s="2759"/>
      <c r="DB30" s="2759"/>
      <c r="DC30" s="2759"/>
      <c r="DD30" s="2759"/>
      <c r="DE30" s="2759"/>
      <c r="DF30" s="2759"/>
      <c r="DG30" s="2759"/>
      <c r="DH30" s="2759"/>
      <c r="DI30" s="2759"/>
      <c r="DJ30" s="2759"/>
      <c r="DK30" s="2759"/>
      <c r="DL30" s="2759"/>
      <c r="DM30" s="2759"/>
      <c r="DN30" s="2759"/>
      <c r="DO30" s="2759"/>
      <c r="DP30" s="2759"/>
      <c r="DQ30" s="2759"/>
      <c r="DR30" s="2759"/>
      <c r="DS30" s="2759"/>
      <c r="DT30" s="2759"/>
      <c r="DU30" s="2759"/>
      <c r="DV30" s="2759"/>
      <c r="DW30" s="2759"/>
      <c r="DX30" s="2759"/>
      <c r="DY30" s="2759"/>
      <c r="DZ30" s="2759"/>
      <c r="EA30" s="2759"/>
      <c r="EB30" s="2759"/>
      <c r="EC30" s="2759"/>
      <c r="ED30" s="2759"/>
      <c r="EE30" s="2759"/>
      <c r="EF30" s="2759"/>
      <c r="EG30" s="2759"/>
      <c r="EH30" s="2759"/>
      <c r="EI30" s="2759"/>
      <c r="EJ30" s="2759"/>
      <c r="EK30" s="2759"/>
      <c r="EL30" s="2759"/>
      <c r="EM30" s="2759"/>
      <c r="EN30" s="2759"/>
      <c r="EO30" s="2759"/>
      <c r="EP30" s="2759"/>
      <c r="EQ30" s="2759"/>
      <c r="ER30" s="2759"/>
      <c r="ES30" s="2759"/>
      <c r="ET30" s="2759"/>
      <c r="EU30" s="2759"/>
      <c r="EV30" s="2759"/>
      <c r="EW30" s="2759"/>
      <c r="EX30" s="2759"/>
      <c r="EY30" s="2759"/>
      <c r="EZ30" s="2759"/>
      <c r="FK30" s="6">
        <v>24</v>
      </c>
      <c r="FL30" s="6"/>
    </row>
    <row r="31" spans="1:168" s="35" customFormat="1" ht="13.5" customHeight="1">
      <c r="A31" s="2759"/>
      <c r="B31" s="2759"/>
      <c r="C31" s="2759"/>
      <c r="D31" s="2759"/>
      <c r="E31" s="2759"/>
      <c r="F31" s="2759"/>
      <c r="G31" s="2759"/>
      <c r="H31" s="2759"/>
      <c r="I31" s="2759"/>
      <c r="J31" s="2759"/>
      <c r="K31" s="2759"/>
      <c r="L31" s="2759"/>
      <c r="M31" s="2759"/>
      <c r="N31" s="2759"/>
      <c r="O31" s="2759"/>
      <c r="P31" s="2759"/>
      <c r="Q31" s="2759"/>
      <c r="R31" s="2759"/>
      <c r="S31" s="2759"/>
      <c r="T31" s="2759"/>
      <c r="U31" s="2759"/>
      <c r="V31" s="2759"/>
      <c r="W31" s="2759"/>
      <c r="X31" s="2759"/>
      <c r="Y31" s="2759"/>
      <c r="Z31" s="2759"/>
      <c r="AA31" s="2759"/>
      <c r="AB31" s="2759"/>
      <c r="AC31" s="2759"/>
      <c r="AD31" s="2759"/>
      <c r="AE31" s="2759"/>
      <c r="AF31" s="2759"/>
      <c r="AG31" s="2759"/>
      <c r="AH31" s="2759"/>
      <c r="AI31" s="2759"/>
      <c r="AJ31" s="2759"/>
      <c r="AK31" s="2759"/>
      <c r="AL31" s="2759"/>
      <c r="AM31" s="2759"/>
      <c r="AN31" s="2759"/>
      <c r="AO31" s="2759"/>
      <c r="AP31" s="2759"/>
      <c r="AQ31" s="2759"/>
      <c r="AR31" s="2759"/>
      <c r="AS31" s="2759"/>
      <c r="AT31" s="2759"/>
      <c r="AU31" s="2759"/>
      <c r="AV31" s="2759"/>
      <c r="AW31" s="2759"/>
      <c r="AX31" s="2759"/>
      <c r="AY31" s="2759"/>
      <c r="AZ31" s="2759"/>
      <c r="BA31" s="2759"/>
      <c r="BB31" s="2759"/>
      <c r="BC31" s="2759"/>
      <c r="BD31" s="2759"/>
      <c r="BE31" s="2759"/>
      <c r="BF31" s="2759"/>
      <c r="BG31" s="2759"/>
      <c r="BH31" s="2759"/>
      <c r="BI31" s="2759"/>
      <c r="BJ31" s="2759"/>
      <c r="BK31" s="2759"/>
      <c r="BL31" s="2759"/>
      <c r="BM31" s="2759"/>
      <c r="BN31" s="2759"/>
      <c r="BO31" s="2759"/>
      <c r="BP31" s="2759"/>
      <c r="BQ31" s="2759"/>
      <c r="BR31" s="2759"/>
      <c r="BS31" s="2759"/>
      <c r="BT31" s="2759"/>
      <c r="BU31" s="2759"/>
      <c r="BV31" s="2759"/>
      <c r="BW31" s="2759"/>
      <c r="BX31" s="2759"/>
      <c r="BY31" s="2759"/>
      <c r="BZ31" s="2759"/>
      <c r="CA31" s="2759" t="s">
        <v>279</v>
      </c>
      <c r="CB31" s="2759"/>
      <c r="CC31" s="2759"/>
      <c r="CD31" s="2759"/>
      <c r="CE31" s="2759"/>
      <c r="CF31" s="2759"/>
      <c r="CG31" s="2759"/>
      <c r="CH31" s="2759"/>
      <c r="CI31" s="2759"/>
      <c r="CJ31" s="2759"/>
      <c r="CK31" s="2759"/>
      <c r="CL31" s="2759"/>
      <c r="CM31" s="2759"/>
      <c r="CN31" s="2759"/>
      <c r="CO31" s="2759"/>
      <c r="CP31" s="2759"/>
      <c r="CQ31" s="2759"/>
      <c r="CR31" s="2759"/>
      <c r="CS31" s="2759"/>
      <c r="CT31" s="2759"/>
      <c r="CU31" s="2759"/>
      <c r="CV31" s="2759"/>
      <c r="CW31" s="2759"/>
      <c r="CX31" s="2759"/>
      <c r="CY31" s="2759"/>
      <c r="CZ31" s="2759"/>
      <c r="DA31" s="2759"/>
      <c r="DB31" s="2759"/>
      <c r="DC31" s="2759"/>
      <c r="DD31" s="2759"/>
      <c r="DE31" s="2759"/>
      <c r="DF31" s="2759"/>
      <c r="DG31" s="2759"/>
      <c r="DH31" s="2759"/>
      <c r="DI31" s="2759"/>
      <c r="DJ31" s="2759"/>
      <c r="DK31" s="2759"/>
      <c r="DL31" s="2759"/>
      <c r="DM31" s="2759"/>
      <c r="DN31" s="2759"/>
      <c r="DO31" s="2759"/>
      <c r="DP31" s="2759"/>
      <c r="DQ31" s="2759"/>
      <c r="DR31" s="2759"/>
      <c r="DS31" s="2759"/>
      <c r="DT31" s="2759"/>
      <c r="DU31" s="2759"/>
      <c r="DV31" s="2759"/>
      <c r="DW31" s="2759"/>
      <c r="DX31" s="2759"/>
      <c r="DY31" s="2759"/>
      <c r="DZ31" s="2759"/>
      <c r="EA31" s="2759"/>
      <c r="EB31" s="2759"/>
      <c r="EC31" s="2759"/>
      <c r="ED31" s="2759"/>
      <c r="EE31" s="2759"/>
      <c r="EF31" s="2759"/>
      <c r="EG31" s="2759"/>
      <c r="EH31" s="2759"/>
      <c r="EI31" s="2759"/>
      <c r="EJ31" s="2759"/>
      <c r="EK31" s="2759"/>
      <c r="EL31" s="2759"/>
      <c r="EM31" s="2759"/>
      <c r="EN31" s="2759"/>
      <c r="EO31" s="2759"/>
      <c r="EP31" s="2759"/>
      <c r="EQ31" s="2759"/>
      <c r="ER31" s="2759"/>
      <c r="ES31" s="2759"/>
      <c r="ET31" s="2759"/>
      <c r="EU31" s="2759"/>
      <c r="EV31" s="2759"/>
      <c r="EW31" s="2759"/>
      <c r="EX31" s="2759"/>
      <c r="EY31" s="2759"/>
      <c r="EZ31" s="2759"/>
      <c r="FK31" s="6">
        <v>25</v>
      </c>
      <c r="FL31" s="6"/>
    </row>
    <row r="32" spans="1:168" s="35" customFormat="1" ht="13.5" customHeight="1">
      <c r="A32" s="2759" t="s">
        <v>2976</v>
      </c>
      <c r="B32" s="2759"/>
      <c r="C32" s="2759"/>
      <c r="D32" s="2759"/>
      <c r="E32" s="2759"/>
      <c r="F32" s="2759"/>
      <c r="G32" s="2759"/>
      <c r="H32" s="2759"/>
      <c r="I32" s="2759"/>
      <c r="J32" s="2759"/>
      <c r="K32" s="2759"/>
      <c r="L32" s="2759"/>
      <c r="M32" s="2759"/>
      <c r="N32" s="2759"/>
      <c r="O32" s="2759"/>
      <c r="P32" s="2759"/>
      <c r="Q32" s="2759"/>
      <c r="R32" s="2759"/>
      <c r="S32" s="2759"/>
      <c r="T32" s="2759"/>
      <c r="U32" s="2759"/>
      <c r="V32" s="2759"/>
      <c r="W32" s="2759"/>
      <c r="X32" s="2759"/>
      <c r="Y32" s="2759"/>
      <c r="Z32" s="2759"/>
      <c r="AA32" s="2759"/>
      <c r="AB32" s="2759"/>
      <c r="AC32" s="2759"/>
      <c r="AD32" s="2759"/>
      <c r="AE32" s="2759"/>
      <c r="AF32" s="2759"/>
      <c r="AG32" s="2759"/>
      <c r="AH32" s="2759"/>
      <c r="AI32" s="2759"/>
      <c r="AJ32" s="2759"/>
      <c r="AK32" s="2759"/>
      <c r="AL32" s="2759"/>
      <c r="AM32" s="2759"/>
      <c r="AN32" s="2759"/>
      <c r="AO32" s="2759"/>
      <c r="AP32" s="2759"/>
      <c r="AQ32" s="2759"/>
      <c r="AR32" s="2759"/>
      <c r="AS32" s="2759"/>
      <c r="AT32" s="2759"/>
      <c r="AU32" s="2759"/>
      <c r="AV32" s="2759"/>
      <c r="AW32" s="2759"/>
      <c r="AX32" s="2759"/>
      <c r="AY32" s="2759"/>
      <c r="AZ32" s="2759"/>
      <c r="BA32" s="2759"/>
      <c r="BB32" s="2759"/>
      <c r="BC32" s="2759"/>
      <c r="BD32" s="2759"/>
      <c r="BE32" s="2759"/>
      <c r="BF32" s="2759"/>
      <c r="BG32" s="2759"/>
      <c r="BH32" s="2759"/>
      <c r="BI32" s="2759"/>
      <c r="BJ32" s="2759"/>
      <c r="BK32" s="2759"/>
      <c r="BL32" s="2759"/>
      <c r="BM32" s="2759"/>
      <c r="BN32" s="2759"/>
      <c r="BO32" s="2759"/>
      <c r="BP32" s="2759"/>
      <c r="BQ32" s="2759"/>
      <c r="BR32" s="2759"/>
      <c r="BS32" s="2759"/>
      <c r="BT32" s="2759"/>
      <c r="BU32" s="2759"/>
      <c r="BV32" s="2759"/>
      <c r="BW32" s="2759"/>
      <c r="BX32" s="2759"/>
      <c r="BY32" s="2759"/>
      <c r="BZ32" s="2759"/>
      <c r="CA32" s="2759"/>
      <c r="CB32" s="2759"/>
      <c r="CC32" s="2759"/>
      <c r="CD32" s="2759"/>
      <c r="CE32" s="2759"/>
      <c r="CF32" s="2759"/>
      <c r="CG32" s="2759"/>
      <c r="CH32" s="2759"/>
      <c r="CI32" s="2759"/>
      <c r="CJ32" s="2759"/>
      <c r="CK32" s="2759"/>
      <c r="CL32" s="2759"/>
      <c r="CM32" s="2759"/>
      <c r="CN32" s="2759"/>
      <c r="CO32" s="2759"/>
      <c r="CP32" s="2759"/>
      <c r="CQ32" s="2759"/>
      <c r="CR32" s="2759"/>
      <c r="CS32" s="2759"/>
      <c r="CT32" s="2759"/>
      <c r="CU32" s="2759"/>
      <c r="CV32" s="2759"/>
      <c r="CW32" s="2759"/>
      <c r="CX32" s="2759"/>
      <c r="CY32" s="2759"/>
      <c r="CZ32" s="2759"/>
      <c r="DA32" s="2759"/>
      <c r="DB32" s="2759"/>
      <c r="DC32" s="2759"/>
      <c r="DD32" s="2759"/>
      <c r="DE32" s="2759"/>
      <c r="DF32" s="2759"/>
      <c r="DG32" s="2759"/>
      <c r="DH32" s="2759"/>
      <c r="DI32" s="2759"/>
      <c r="DJ32" s="2759"/>
      <c r="DK32" s="2759"/>
      <c r="DL32" s="2759"/>
      <c r="DM32" s="2759"/>
      <c r="DN32" s="2759"/>
      <c r="DO32" s="2759"/>
      <c r="DP32" s="2759"/>
      <c r="DQ32" s="2759"/>
      <c r="DR32" s="2759"/>
      <c r="DS32" s="2759"/>
      <c r="DT32" s="2759"/>
      <c r="DU32" s="2759"/>
      <c r="DV32" s="2759"/>
      <c r="DW32" s="2759"/>
      <c r="DX32" s="2759"/>
      <c r="DY32" s="2759"/>
      <c r="DZ32" s="2759"/>
      <c r="EA32" s="2759"/>
      <c r="EB32" s="2759"/>
      <c r="EC32" s="2759"/>
      <c r="ED32" s="2759"/>
      <c r="EE32" s="2759"/>
      <c r="EF32" s="2759"/>
      <c r="EG32" s="2759"/>
      <c r="EH32" s="2759"/>
      <c r="EI32" s="2759"/>
      <c r="EJ32" s="2759"/>
      <c r="EK32" s="2759"/>
      <c r="EL32" s="2759"/>
      <c r="EM32" s="2759"/>
      <c r="EN32" s="2759"/>
      <c r="EO32" s="2759"/>
      <c r="EP32" s="2759"/>
      <c r="EQ32" s="2759"/>
      <c r="ER32" s="2759"/>
      <c r="ES32" s="2759"/>
      <c r="ET32" s="2759"/>
      <c r="EU32" s="2759"/>
      <c r="EV32" s="2759"/>
      <c r="EW32" s="2759"/>
      <c r="EX32" s="2759"/>
      <c r="EY32" s="2759"/>
      <c r="EZ32" s="2759"/>
      <c r="FK32" s="6">
        <v>26</v>
      </c>
      <c r="FL32" s="6"/>
    </row>
    <row r="33" spans="1:168" s="35" customFormat="1" ht="13.5" customHeight="1">
      <c r="A33" s="2759"/>
      <c r="B33" s="2759"/>
      <c r="C33" s="2759"/>
      <c r="D33" s="2759"/>
      <c r="E33" s="2759"/>
      <c r="F33" s="2759"/>
      <c r="G33" s="2759"/>
      <c r="H33" s="2759"/>
      <c r="I33" s="2759"/>
      <c r="J33" s="2759"/>
      <c r="K33" s="2759"/>
      <c r="L33" s="2759"/>
      <c r="M33" s="2759"/>
      <c r="N33" s="2759"/>
      <c r="O33" s="2759"/>
      <c r="P33" s="2759"/>
      <c r="Q33" s="2759"/>
      <c r="R33" s="2759"/>
      <c r="S33" s="2759"/>
      <c r="T33" s="2759"/>
      <c r="U33" s="2759"/>
      <c r="V33" s="2759"/>
      <c r="W33" s="2759"/>
      <c r="X33" s="2759"/>
      <c r="Y33" s="2759"/>
      <c r="Z33" s="2759"/>
      <c r="AA33" s="2759"/>
      <c r="AB33" s="2759"/>
      <c r="AC33" s="2759"/>
      <c r="AD33" s="2759"/>
      <c r="AE33" s="2759"/>
      <c r="AF33" s="2759"/>
      <c r="AG33" s="2759"/>
      <c r="AH33" s="2759"/>
      <c r="AI33" s="2759"/>
      <c r="AJ33" s="2759"/>
      <c r="AK33" s="2759"/>
      <c r="AL33" s="2759"/>
      <c r="AM33" s="2759"/>
      <c r="AN33" s="2759"/>
      <c r="AO33" s="2759"/>
      <c r="AP33" s="2759"/>
      <c r="AQ33" s="2759"/>
      <c r="AR33" s="2759"/>
      <c r="AS33" s="2759"/>
      <c r="AT33" s="2759"/>
      <c r="AU33" s="2759"/>
      <c r="AV33" s="2759"/>
      <c r="AW33" s="2759"/>
      <c r="AX33" s="2759"/>
      <c r="AY33" s="2759"/>
      <c r="AZ33" s="2759"/>
      <c r="BA33" s="2759"/>
      <c r="BB33" s="2759"/>
      <c r="BC33" s="2759"/>
      <c r="BD33" s="2759"/>
      <c r="BE33" s="2759"/>
      <c r="BF33" s="2759"/>
      <c r="BG33" s="2759"/>
      <c r="BH33" s="2759"/>
      <c r="BI33" s="2759"/>
      <c r="BJ33" s="2759"/>
      <c r="BK33" s="2759"/>
      <c r="BL33" s="2759"/>
      <c r="BM33" s="2759"/>
      <c r="BN33" s="2759"/>
      <c r="BO33" s="2759"/>
      <c r="BP33" s="2759"/>
      <c r="BQ33" s="2759"/>
      <c r="BR33" s="2759"/>
      <c r="BS33" s="2759"/>
      <c r="BT33" s="2759"/>
      <c r="BU33" s="2759"/>
      <c r="BV33" s="2759"/>
      <c r="BW33" s="2759"/>
      <c r="BX33" s="2759"/>
      <c r="BY33" s="2759"/>
      <c r="BZ33" s="2759"/>
      <c r="CA33" s="579"/>
      <c r="CB33" s="579"/>
      <c r="CC33" s="579"/>
      <c r="CD33" s="579"/>
      <c r="CE33" s="579"/>
      <c r="CF33" s="579"/>
      <c r="CG33" s="579"/>
      <c r="CH33" s="579"/>
      <c r="CI33" s="579"/>
      <c r="CJ33" s="579"/>
      <c r="CK33" s="579"/>
      <c r="CL33" s="579"/>
      <c r="CM33" s="579"/>
      <c r="CN33" s="579"/>
      <c r="CO33" s="579"/>
      <c r="CP33" s="579"/>
      <c r="CQ33" s="579"/>
      <c r="CR33" s="579"/>
      <c r="CS33" s="579"/>
      <c r="CT33" s="579"/>
      <c r="CU33" s="579"/>
      <c r="CV33" s="579"/>
      <c r="CW33" s="579"/>
      <c r="CX33" s="579"/>
      <c r="CY33" s="579"/>
      <c r="CZ33" s="579"/>
      <c r="DA33" s="579"/>
      <c r="DB33" s="579"/>
      <c r="DC33" s="579"/>
      <c r="DD33" s="579"/>
      <c r="DE33" s="579"/>
      <c r="DF33" s="579"/>
      <c r="DG33" s="579"/>
      <c r="DH33" s="579"/>
      <c r="DI33" s="579"/>
      <c r="DJ33" s="579"/>
      <c r="DK33" s="579"/>
      <c r="DL33" s="579"/>
      <c r="DM33" s="579"/>
      <c r="DN33" s="579"/>
      <c r="DO33" s="579"/>
      <c r="DP33" s="579"/>
      <c r="DQ33" s="579"/>
      <c r="DR33" s="579"/>
      <c r="DS33" s="579"/>
      <c r="DT33" s="579"/>
      <c r="DU33" s="579"/>
      <c r="DV33" s="579"/>
      <c r="DW33" s="579"/>
      <c r="DX33" s="579"/>
      <c r="DY33" s="579"/>
      <c r="DZ33" s="579"/>
      <c r="EA33" s="579"/>
      <c r="EB33" s="579"/>
      <c r="EC33" s="579"/>
      <c r="ED33" s="579"/>
      <c r="EE33" s="579"/>
      <c r="EF33" s="579"/>
      <c r="EG33" s="579"/>
      <c r="EH33" s="579"/>
      <c r="EI33" s="579"/>
      <c r="EJ33" s="579"/>
      <c r="EK33" s="579"/>
      <c r="EL33" s="579"/>
      <c r="EM33" s="579"/>
      <c r="EN33" s="579"/>
      <c r="EO33" s="579"/>
      <c r="EP33" s="579"/>
      <c r="EQ33" s="579"/>
      <c r="ER33" s="579"/>
      <c r="ES33" s="579"/>
      <c r="ET33" s="579"/>
      <c r="EU33" s="579"/>
      <c r="EV33" s="579"/>
      <c r="EW33" s="579"/>
      <c r="EX33" s="579"/>
      <c r="EY33" s="579"/>
      <c r="EZ33" s="579"/>
      <c r="FK33" s="6">
        <v>27</v>
      </c>
      <c r="FL33" s="6"/>
    </row>
    <row r="34" spans="1:168" s="35" customFormat="1" ht="13.5" customHeight="1">
      <c r="A34" s="579"/>
      <c r="B34" s="579"/>
      <c r="C34" s="579"/>
      <c r="D34" s="579"/>
      <c r="E34" s="579"/>
      <c r="F34" s="579"/>
      <c r="G34" s="579"/>
      <c r="H34" s="579"/>
      <c r="I34" s="579"/>
      <c r="J34" s="579"/>
      <c r="K34" s="579"/>
      <c r="L34" s="579"/>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9"/>
      <c r="AL34" s="579"/>
      <c r="AM34" s="579"/>
      <c r="AN34" s="579"/>
      <c r="AO34" s="579"/>
      <c r="AP34" s="579"/>
      <c r="AQ34" s="579"/>
      <c r="AR34" s="579"/>
      <c r="AS34" s="579"/>
      <c r="AT34" s="579"/>
      <c r="AU34" s="579"/>
      <c r="AV34" s="579"/>
      <c r="AW34" s="579"/>
      <c r="AX34" s="579"/>
      <c r="AY34" s="579"/>
      <c r="AZ34" s="579"/>
      <c r="BA34" s="579"/>
      <c r="BB34" s="579"/>
      <c r="BC34" s="579"/>
      <c r="BD34" s="579"/>
      <c r="BE34" s="579"/>
      <c r="BF34" s="579"/>
      <c r="BG34" s="579"/>
      <c r="BH34" s="579"/>
      <c r="BI34" s="579"/>
      <c r="BJ34" s="579"/>
      <c r="BK34" s="579"/>
      <c r="BL34" s="579"/>
      <c r="BM34" s="579"/>
      <c r="BN34" s="579"/>
      <c r="BO34" s="579"/>
      <c r="BP34" s="579"/>
      <c r="BQ34" s="579"/>
      <c r="BR34" s="579"/>
      <c r="BS34" s="579"/>
      <c r="BT34" s="579"/>
      <c r="BU34" s="579"/>
      <c r="BV34" s="579"/>
      <c r="BW34" s="579"/>
      <c r="BX34" s="579"/>
      <c r="BY34" s="579"/>
      <c r="BZ34" s="579"/>
      <c r="CA34" s="2760" t="s">
        <v>2955</v>
      </c>
      <c r="CB34" s="2760"/>
      <c r="CC34" s="2760"/>
      <c r="CD34" s="2760"/>
      <c r="CE34" s="2760"/>
      <c r="CF34" s="2760"/>
      <c r="CG34" s="2760"/>
      <c r="CH34" s="2760"/>
      <c r="CI34" s="2760"/>
      <c r="CJ34" s="2760"/>
      <c r="CK34" s="2760"/>
      <c r="CL34" s="2760"/>
      <c r="CM34" s="2760"/>
      <c r="CN34" s="2760"/>
      <c r="CO34" s="2760"/>
      <c r="CP34" s="2760"/>
      <c r="CQ34" s="2760"/>
      <c r="CR34" s="2760"/>
      <c r="CS34" s="2760"/>
      <c r="CT34" s="2760"/>
      <c r="CU34" s="2760"/>
      <c r="CV34" s="2760"/>
      <c r="CW34" s="2760"/>
      <c r="CX34" s="2760"/>
      <c r="CY34" s="2760"/>
      <c r="CZ34" s="2760"/>
      <c r="DA34" s="2760"/>
      <c r="DB34" s="2760"/>
      <c r="DC34" s="2760"/>
      <c r="DD34" s="2760"/>
      <c r="DE34" s="2760"/>
      <c r="DF34" s="2760"/>
      <c r="DG34" s="2760"/>
      <c r="DH34" s="2760"/>
      <c r="DI34" s="2760"/>
      <c r="DJ34" s="2760"/>
      <c r="DK34" s="2760"/>
      <c r="DL34" s="2760"/>
      <c r="DM34" s="2760"/>
      <c r="DN34" s="2760"/>
      <c r="DO34" s="2760"/>
      <c r="DP34" s="2760"/>
      <c r="DQ34" s="2760"/>
      <c r="DR34" s="2760"/>
      <c r="DS34" s="2760"/>
      <c r="DT34" s="2760"/>
      <c r="DU34" s="2760"/>
      <c r="DV34" s="2760"/>
      <c r="DW34" s="2760"/>
      <c r="DX34" s="2760"/>
      <c r="DY34" s="2760"/>
      <c r="DZ34" s="2760"/>
      <c r="EA34" s="2760"/>
      <c r="EB34" s="2760"/>
      <c r="EC34" s="2760"/>
      <c r="ED34" s="2760"/>
      <c r="EE34" s="2760"/>
      <c r="EF34" s="2760"/>
      <c r="EG34" s="2760"/>
      <c r="EH34" s="2760"/>
      <c r="EI34" s="2760"/>
      <c r="EJ34" s="2760"/>
      <c r="EK34" s="2760"/>
      <c r="EL34" s="2760"/>
      <c r="EM34" s="2760"/>
      <c r="EN34" s="2760"/>
      <c r="EO34" s="2760"/>
      <c r="EP34" s="2760"/>
      <c r="EQ34" s="2760"/>
      <c r="ER34" s="2760"/>
      <c r="ES34" s="2760"/>
      <c r="ET34" s="2760"/>
      <c r="EU34" s="2760"/>
      <c r="EV34" s="2760"/>
      <c r="EW34" s="2760"/>
      <c r="EX34" s="2760"/>
      <c r="EY34" s="2760"/>
      <c r="EZ34" s="2760"/>
      <c r="FK34" s="6">
        <v>28</v>
      </c>
      <c r="FL34" s="6"/>
    </row>
    <row r="35" spans="1:168" s="35" customFormat="1" ht="13.5" customHeight="1">
      <c r="A35" s="2760" t="s">
        <v>2955</v>
      </c>
      <c r="B35" s="2760"/>
      <c r="C35" s="2760"/>
      <c r="D35" s="2760"/>
      <c r="E35" s="2760"/>
      <c r="F35" s="2760"/>
      <c r="G35" s="2760"/>
      <c r="H35" s="2760"/>
      <c r="I35" s="2760"/>
      <c r="J35" s="2760"/>
      <c r="K35" s="2760"/>
      <c r="L35" s="2760"/>
      <c r="M35" s="2760"/>
      <c r="N35" s="2760"/>
      <c r="O35" s="2760"/>
      <c r="P35" s="2760"/>
      <c r="Q35" s="2760"/>
      <c r="R35" s="2760"/>
      <c r="S35" s="2760"/>
      <c r="T35" s="2760"/>
      <c r="U35" s="2760"/>
      <c r="V35" s="2760"/>
      <c r="W35" s="2760"/>
      <c r="X35" s="2760"/>
      <c r="Y35" s="2760"/>
      <c r="Z35" s="2760"/>
      <c r="AA35" s="2760"/>
      <c r="AB35" s="2760"/>
      <c r="AC35" s="2760"/>
      <c r="AD35" s="2760"/>
      <c r="AE35" s="2760"/>
      <c r="AF35" s="2760"/>
      <c r="AG35" s="2760"/>
      <c r="AH35" s="2760"/>
      <c r="AI35" s="2760"/>
      <c r="AJ35" s="2760"/>
      <c r="AK35" s="2760"/>
      <c r="AL35" s="2760"/>
      <c r="AM35" s="2760"/>
      <c r="AN35" s="2760"/>
      <c r="AO35" s="2760"/>
      <c r="AP35" s="2760"/>
      <c r="AQ35" s="2760"/>
      <c r="AR35" s="2760"/>
      <c r="AS35" s="2760"/>
      <c r="AT35" s="2760"/>
      <c r="AU35" s="2760"/>
      <c r="AV35" s="2760"/>
      <c r="AW35" s="2760"/>
      <c r="AX35" s="2760"/>
      <c r="AY35" s="2760"/>
      <c r="AZ35" s="2760"/>
      <c r="BA35" s="2760"/>
      <c r="BB35" s="2760"/>
      <c r="BC35" s="2760"/>
      <c r="BD35" s="2760"/>
      <c r="BE35" s="2760"/>
      <c r="BF35" s="2760"/>
      <c r="BG35" s="2760"/>
      <c r="BH35" s="2760"/>
      <c r="BI35" s="2760"/>
      <c r="BJ35" s="2760"/>
      <c r="BK35" s="2760"/>
      <c r="BL35" s="2760"/>
      <c r="BM35" s="2760"/>
      <c r="BN35" s="2760"/>
      <c r="BO35" s="2760"/>
      <c r="BP35" s="2760"/>
      <c r="BQ35" s="2760"/>
      <c r="BR35" s="2760"/>
      <c r="BS35" s="2760"/>
      <c r="BT35" s="2760"/>
      <c r="BU35" s="2760"/>
      <c r="BV35" s="2760"/>
      <c r="BW35" s="2760"/>
      <c r="BX35" s="2760"/>
      <c r="BY35" s="2760"/>
      <c r="BZ35" s="2760"/>
      <c r="CA35" s="2760"/>
      <c r="CB35" s="2760"/>
      <c r="CC35" s="2760"/>
      <c r="CD35" s="2760"/>
      <c r="CE35" s="2760"/>
      <c r="CF35" s="2760"/>
      <c r="CG35" s="2760"/>
      <c r="CH35" s="2760"/>
      <c r="CI35" s="2760"/>
      <c r="CJ35" s="2760"/>
      <c r="CK35" s="2760"/>
      <c r="CL35" s="2760"/>
      <c r="CM35" s="2760"/>
      <c r="CN35" s="2760"/>
      <c r="CO35" s="2760"/>
      <c r="CP35" s="2760"/>
      <c r="CQ35" s="2760"/>
      <c r="CR35" s="2760"/>
      <c r="CS35" s="2760"/>
      <c r="CT35" s="2760"/>
      <c r="CU35" s="2760"/>
      <c r="CV35" s="2760"/>
      <c r="CW35" s="2760"/>
      <c r="CX35" s="2760"/>
      <c r="CY35" s="2760"/>
      <c r="CZ35" s="2760"/>
      <c r="DA35" s="2760"/>
      <c r="DB35" s="2760"/>
      <c r="DC35" s="2760"/>
      <c r="DD35" s="2760"/>
      <c r="DE35" s="2760"/>
      <c r="DF35" s="2760"/>
      <c r="DG35" s="2760"/>
      <c r="DH35" s="2760"/>
      <c r="DI35" s="2760"/>
      <c r="DJ35" s="2760"/>
      <c r="DK35" s="2760"/>
      <c r="DL35" s="2760"/>
      <c r="DM35" s="2760"/>
      <c r="DN35" s="2760"/>
      <c r="DO35" s="2760"/>
      <c r="DP35" s="2760"/>
      <c r="DQ35" s="2760"/>
      <c r="DR35" s="2760"/>
      <c r="DS35" s="2760"/>
      <c r="DT35" s="2760"/>
      <c r="DU35" s="2760"/>
      <c r="DV35" s="2760"/>
      <c r="DW35" s="2760"/>
      <c r="DX35" s="2760"/>
      <c r="DY35" s="2760"/>
      <c r="DZ35" s="2760"/>
      <c r="EA35" s="2760"/>
      <c r="EB35" s="2760"/>
      <c r="EC35" s="2760"/>
      <c r="ED35" s="2760"/>
      <c r="EE35" s="2760"/>
      <c r="EF35" s="2760"/>
      <c r="EG35" s="2760"/>
      <c r="EH35" s="2760"/>
      <c r="EI35" s="2760"/>
      <c r="EJ35" s="2760"/>
      <c r="EK35" s="2760"/>
      <c r="EL35" s="2760"/>
      <c r="EM35" s="2760"/>
      <c r="EN35" s="2760"/>
      <c r="EO35" s="2760"/>
      <c r="EP35" s="2760"/>
      <c r="EQ35" s="2760"/>
      <c r="ER35" s="2760"/>
      <c r="ES35" s="2760"/>
      <c r="ET35" s="2760"/>
      <c r="EU35" s="2760"/>
      <c r="EV35" s="2760"/>
      <c r="EW35" s="2760"/>
      <c r="EX35" s="2760"/>
      <c r="EY35" s="2760"/>
      <c r="EZ35" s="2760"/>
      <c r="FK35" s="6">
        <v>29</v>
      </c>
      <c r="FL35" s="6"/>
    </row>
    <row r="36" spans="1:168" s="35" customFormat="1" ht="13.5" customHeight="1">
      <c r="A36" s="2760"/>
      <c r="B36" s="2760"/>
      <c r="C36" s="2760"/>
      <c r="D36" s="2760"/>
      <c r="E36" s="2760"/>
      <c r="F36" s="2760"/>
      <c r="G36" s="2760"/>
      <c r="H36" s="2760"/>
      <c r="I36" s="2760"/>
      <c r="J36" s="2760"/>
      <c r="K36" s="2760"/>
      <c r="L36" s="2760"/>
      <c r="M36" s="2760"/>
      <c r="N36" s="2760"/>
      <c r="O36" s="2760"/>
      <c r="P36" s="2760"/>
      <c r="Q36" s="2760"/>
      <c r="R36" s="2760"/>
      <c r="S36" s="2760"/>
      <c r="T36" s="2760"/>
      <c r="U36" s="2760"/>
      <c r="V36" s="2760"/>
      <c r="W36" s="2760"/>
      <c r="X36" s="2760"/>
      <c r="Y36" s="2760"/>
      <c r="Z36" s="2760"/>
      <c r="AA36" s="2760"/>
      <c r="AB36" s="2760"/>
      <c r="AC36" s="2760"/>
      <c r="AD36" s="2760"/>
      <c r="AE36" s="2760"/>
      <c r="AF36" s="2760"/>
      <c r="AG36" s="2760"/>
      <c r="AH36" s="2760"/>
      <c r="AI36" s="2760"/>
      <c r="AJ36" s="2760"/>
      <c r="AK36" s="2760"/>
      <c r="AL36" s="2760"/>
      <c r="AM36" s="2760"/>
      <c r="AN36" s="2760"/>
      <c r="AO36" s="2760"/>
      <c r="AP36" s="2760"/>
      <c r="AQ36" s="2760"/>
      <c r="AR36" s="2760"/>
      <c r="AS36" s="2760"/>
      <c r="AT36" s="2760"/>
      <c r="AU36" s="2760"/>
      <c r="AV36" s="2760"/>
      <c r="AW36" s="2760"/>
      <c r="AX36" s="2760"/>
      <c r="AY36" s="2760"/>
      <c r="AZ36" s="2760"/>
      <c r="BA36" s="2760"/>
      <c r="BB36" s="2760"/>
      <c r="BC36" s="2760"/>
      <c r="BD36" s="2760"/>
      <c r="BE36" s="2760"/>
      <c r="BF36" s="2760"/>
      <c r="BG36" s="2760"/>
      <c r="BH36" s="2760"/>
      <c r="BI36" s="2760"/>
      <c r="BJ36" s="2760"/>
      <c r="BK36" s="2760"/>
      <c r="BL36" s="2760"/>
      <c r="BM36" s="2760"/>
      <c r="BN36" s="2760"/>
      <c r="BO36" s="2760"/>
      <c r="BP36" s="2760"/>
      <c r="BQ36" s="2760"/>
      <c r="BR36" s="2760"/>
      <c r="BS36" s="2760"/>
      <c r="BT36" s="2760"/>
      <c r="BU36" s="2760"/>
      <c r="BV36" s="2760"/>
      <c r="BW36" s="2760"/>
      <c r="BX36" s="2760"/>
      <c r="BY36" s="2760"/>
      <c r="BZ36" s="2760"/>
      <c r="CA36" s="2760"/>
      <c r="CB36" s="2760"/>
      <c r="CC36" s="2760"/>
      <c r="CD36" s="2760"/>
      <c r="CE36" s="2760"/>
      <c r="CF36" s="2760"/>
      <c r="CG36" s="2760"/>
      <c r="CH36" s="2760"/>
      <c r="CI36" s="2760"/>
      <c r="CJ36" s="2760"/>
      <c r="CK36" s="2760"/>
      <c r="CL36" s="2760"/>
      <c r="CM36" s="2760"/>
      <c r="CN36" s="2760"/>
      <c r="CO36" s="2760"/>
      <c r="CP36" s="2760"/>
      <c r="CQ36" s="2760"/>
      <c r="CR36" s="2760"/>
      <c r="CS36" s="2760"/>
      <c r="CT36" s="2760"/>
      <c r="CU36" s="2760"/>
      <c r="CV36" s="2760"/>
      <c r="CW36" s="2760"/>
      <c r="CX36" s="2760"/>
      <c r="CY36" s="2760"/>
      <c r="CZ36" s="2760"/>
      <c r="DA36" s="2760"/>
      <c r="DB36" s="2760"/>
      <c r="DC36" s="2760"/>
      <c r="DD36" s="2760"/>
      <c r="DE36" s="2760"/>
      <c r="DF36" s="2760"/>
      <c r="DG36" s="2760"/>
      <c r="DH36" s="2760"/>
      <c r="DI36" s="2760"/>
      <c r="DJ36" s="2760"/>
      <c r="DK36" s="2760"/>
      <c r="DL36" s="2760"/>
      <c r="DM36" s="2760"/>
      <c r="DN36" s="2760"/>
      <c r="DO36" s="2760"/>
      <c r="DP36" s="2760"/>
      <c r="DQ36" s="2760"/>
      <c r="DR36" s="2760"/>
      <c r="DS36" s="2760"/>
      <c r="DT36" s="2760"/>
      <c r="DU36" s="2760"/>
      <c r="DV36" s="2760"/>
      <c r="DW36" s="2760"/>
      <c r="DX36" s="2760"/>
      <c r="DY36" s="2760"/>
      <c r="DZ36" s="2760"/>
      <c r="EA36" s="2760"/>
      <c r="EB36" s="2760"/>
      <c r="EC36" s="2760"/>
      <c r="ED36" s="2760"/>
      <c r="EE36" s="2760"/>
      <c r="EF36" s="2760"/>
      <c r="EG36" s="2760"/>
      <c r="EH36" s="2760"/>
      <c r="EI36" s="2760"/>
      <c r="EJ36" s="2760"/>
      <c r="EK36" s="2760"/>
      <c r="EL36" s="2760"/>
      <c r="EM36" s="2760"/>
      <c r="EN36" s="2760"/>
      <c r="EO36" s="2760"/>
      <c r="EP36" s="2760"/>
      <c r="EQ36" s="2760"/>
      <c r="ER36" s="2760"/>
      <c r="ES36" s="2760"/>
      <c r="ET36" s="2760"/>
      <c r="EU36" s="2760"/>
      <c r="EV36" s="2760"/>
      <c r="EW36" s="2760"/>
      <c r="EX36" s="2760"/>
      <c r="EY36" s="2760"/>
      <c r="EZ36" s="2760"/>
      <c r="FK36" s="6">
        <v>30</v>
      </c>
      <c r="FL36" s="6"/>
    </row>
    <row r="37" spans="1:168" s="35" customFormat="1" ht="13.5" customHeight="1">
      <c r="A37" s="2760"/>
      <c r="B37" s="2760"/>
      <c r="C37" s="2760"/>
      <c r="D37" s="2760"/>
      <c r="E37" s="2760"/>
      <c r="F37" s="2760"/>
      <c r="G37" s="2760"/>
      <c r="H37" s="2760"/>
      <c r="I37" s="2760"/>
      <c r="J37" s="2760"/>
      <c r="K37" s="2760"/>
      <c r="L37" s="2760"/>
      <c r="M37" s="2760"/>
      <c r="N37" s="2760"/>
      <c r="O37" s="2760"/>
      <c r="P37" s="2760"/>
      <c r="Q37" s="2760"/>
      <c r="R37" s="2760"/>
      <c r="S37" s="2760"/>
      <c r="T37" s="2760"/>
      <c r="U37" s="2760"/>
      <c r="V37" s="2760"/>
      <c r="W37" s="2760"/>
      <c r="X37" s="2760"/>
      <c r="Y37" s="2760"/>
      <c r="Z37" s="2760"/>
      <c r="AA37" s="2760"/>
      <c r="AB37" s="2760"/>
      <c r="AC37" s="2760"/>
      <c r="AD37" s="2760"/>
      <c r="AE37" s="2760"/>
      <c r="AF37" s="2760"/>
      <c r="AG37" s="2760"/>
      <c r="AH37" s="2760"/>
      <c r="AI37" s="2760"/>
      <c r="AJ37" s="2760"/>
      <c r="AK37" s="2760"/>
      <c r="AL37" s="2760"/>
      <c r="AM37" s="2760"/>
      <c r="AN37" s="2760"/>
      <c r="AO37" s="2760"/>
      <c r="AP37" s="2760"/>
      <c r="AQ37" s="2760"/>
      <c r="AR37" s="2760"/>
      <c r="AS37" s="2760"/>
      <c r="AT37" s="2760"/>
      <c r="AU37" s="2760"/>
      <c r="AV37" s="2760"/>
      <c r="AW37" s="2760"/>
      <c r="AX37" s="2760"/>
      <c r="AY37" s="2760"/>
      <c r="AZ37" s="2760"/>
      <c r="BA37" s="2760"/>
      <c r="BB37" s="2760"/>
      <c r="BC37" s="2760"/>
      <c r="BD37" s="2760"/>
      <c r="BE37" s="2760"/>
      <c r="BF37" s="2760"/>
      <c r="BG37" s="2760"/>
      <c r="BH37" s="2760"/>
      <c r="BI37" s="2760"/>
      <c r="BJ37" s="2760"/>
      <c r="BK37" s="2760"/>
      <c r="BL37" s="2760"/>
      <c r="BM37" s="2760"/>
      <c r="BN37" s="2760"/>
      <c r="BO37" s="2760"/>
      <c r="BP37" s="2760"/>
      <c r="BQ37" s="2760"/>
      <c r="BR37" s="2760"/>
      <c r="BS37" s="2760"/>
      <c r="BT37" s="2760"/>
      <c r="BU37" s="2760"/>
      <c r="BV37" s="2760"/>
      <c r="BW37" s="2760"/>
      <c r="BX37" s="2760"/>
      <c r="BY37" s="2760"/>
      <c r="BZ37" s="2760"/>
      <c r="CA37" s="2760"/>
      <c r="CB37" s="2760"/>
      <c r="CC37" s="2760"/>
      <c r="CD37" s="2760"/>
      <c r="CE37" s="2760"/>
      <c r="CF37" s="2760"/>
      <c r="CG37" s="2760"/>
      <c r="CH37" s="2760"/>
      <c r="CI37" s="2760"/>
      <c r="CJ37" s="2760"/>
      <c r="CK37" s="2760"/>
      <c r="CL37" s="2760"/>
      <c r="CM37" s="2760"/>
      <c r="CN37" s="2760"/>
      <c r="CO37" s="2760"/>
      <c r="CP37" s="2760"/>
      <c r="CQ37" s="2760"/>
      <c r="CR37" s="2760"/>
      <c r="CS37" s="2760"/>
      <c r="CT37" s="2760"/>
      <c r="CU37" s="2760"/>
      <c r="CV37" s="2760"/>
      <c r="CW37" s="2760"/>
      <c r="CX37" s="2760"/>
      <c r="CY37" s="2760"/>
      <c r="CZ37" s="2760"/>
      <c r="DA37" s="2760"/>
      <c r="DB37" s="2760"/>
      <c r="DC37" s="2760"/>
      <c r="DD37" s="2760"/>
      <c r="DE37" s="2760"/>
      <c r="DF37" s="2760"/>
      <c r="DG37" s="2760"/>
      <c r="DH37" s="2760"/>
      <c r="DI37" s="2760"/>
      <c r="DJ37" s="2760"/>
      <c r="DK37" s="2760"/>
      <c r="DL37" s="2760"/>
      <c r="DM37" s="2760"/>
      <c r="DN37" s="2760"/>
      <c r="DO37" s="2760"/>
      <c r="DP37" s="2760"/>
      <c r="DQ37" s="2760"/>
      <c r="DR37" s="2760"/>
      <c r="DS37" s="2760"/>
      <c r="DT37" s="2760"/>
      <c r="DU37" s="2760"/>
      <c r="DV37" s="2760"/>
      <c r="DW37" s="2760"/>
      <c r="DX37" s="2760"/>
      <c r="DY37" s="2760"/>
      <c r="DZ37" s="2760"/>
      <c r="EA37" s="2760"/>
      <c r="EB37" s="2760"/>
      <c r="EC37" s="2760"/>
      <c r="ED37" s="2760"/>
      <c r="EE37" s="2760"/>
      <c r="EF37" s="2760"/>
      <c r="EG37" s="2760"/>
      <c r="EH37" s="2760"/>
      <c r="EI37" s="2760"/>
      <c r="EJ37" s="2760"/>
      <c r="EK37" s="2760"/>
      <c r="EL37" s="2760"/>
      <c r="EM37" s="2760"/>
      <c r="EN37" s="2760"/>
      <c r="EO37" s="2760"/>
      <c r="EP37" s="2760"/>
      <c r="EQ37" s="2760"/>
      <c r="ER37" s="2760"/>
      <c r="ES37" s="2760"/>
      <c r="ET37" s="2760"/>
      <c r="EU37" s="2760"/>
      <c r="EV37" s="2760"/>
      <c r="EW37" s="2760"/>
      <c r="EX37" s="2760"/>
      <c r="EY37" s="2760"/>
      <c r="EZ37" s="2760"/>
      <c r="FK37" s="6">
        <v>31</v>
      </c>
      <c r="FL37" s="6"/>
    </row>
    <row r="38" spans="1:168" s="35" customFormat="1" ht="13.5" customHeight="1">
      <c r="A38" s="2760"/>
      <c r="B38" s="2760"/>
      <c r="C38" s="2760"/>
      <c r="D38" s="2760"/>
      <c r="E38" s="2760"/>
      <c r="F38" s="2760"/>
      <c r="G38" s="2760"/>
      <c r="H38" s="2760"/>
      <c r="I38" s="2760"/>
      <c r="J38" s="2760"/>
      <c r="K38" s="2760"/>
      <c r="L38" s="2760"/>
      <c r="M38" s="2760"/>
      <c r="N38" s="2760"/>
      <c r="O38" s="2760"/>
      <c r="P38" s="2760"/>
      <c r="Q38" s="2760"/>
      <c r="R38" s="2760"/>
      <c r="S38" s="2760"/>
      <c r="T38" s="2760"/>
      <c r="U38" s="2760"/>
      <c r="V38" s="2760"/>
      <c r="W38" s="2760"/>
      <c r="X38" s="2760"/>
      <c r="Y38" s="2760"/>
      <c r="Z38" s="2760"/>
      <c r="AA38" s="2760"/>
      <c r="AB38" s="2760"/>
      <c r="AC38" s="2760"/>
      <c r="AD38" s="2760"/>
      <c r="AE38" s="2760"/>
      <c r="AF38" s="2760"/>
      <c r="AG38" s="2760"/>
      <c r="AH38" s="2760"/>
      <c r="AI38" s="2760"/>
      <c r="AJ38" s="2760"/>
      <c r="AK38" s="2760"/>
      <c r="AL38" s="2760"/>
      <c r="AM38" s="2760"/>
      <c r="AN38" s="2760"/>
      <c r="AO38" s="2760"/>
      <c r="AP38" s="2760"/>
      <c r="AQ38" s="2760"/>
      <c r="AR38" s="2760"/>
      <c r="AS38" s="2760"/>
      <c r="AT38" s="2760"/>
      <c r="AU38" s="2760"/>
      <c r="AV38" s="2760"/>
      <c r="AW38" s="2760"/>
      <c r="AX38" s="2760"/>
      <c r="AY38" s="2760"/>
      <c r="AZ38" s="2760"/>
      <c r="BA38" s="2760"/>
      <c r="BB38" s="2760"/>
      <c r="BC38" s="2760"/>
      <c r="BD38" s="2760"/>
      <c r="BE38" s="2760"/>
      <c r="BF38" s="2760"/>
      <c r="BG38" s="2760"/>
      <c r="BH38" s="2760"/>
      <c r="BI38" s="2760"/>
      <c r="BJ38" s="2760"/>
      <c r="BK38" s="2760"/>
      <c r="BL38" s="2760"/>
      <c r="BM38" s="2760"/>
      <c r="BN38" s="2760"/>
      <c r="BO38" s="2760"/>
      <c r="BP38" s="2760"/>
      <c r="BQ38" s="2760"/>
      <c r="BR38" s="2760"/>
      <c r="BS38" s="2760"/>
      <c r="BT38" s="2760"/>
      <c r="BU38" s="2760"/>
      <c r="BV38" s="2760"/>
      <c r="BW38" s="2760"/>
      <c r="BX38" s="2760"/>
      <c r="BY38" s="2760"/>
      <c r="BZ38" s="2760"/>
      <c r="CA38" s="2760"/>
      <c r="CB38" s="2760"/>
      <c r="CC38" s="2760"/>
      <c r="CD38" s="2760"/>
      <c r="CE38" s="2760"/>
      <c r="CF38" s="2760"/>
      <c r="CG38" s="2760"/>
      <c r="CH38" s="2760"/>
      <c r="CI38" s="2760"/>
      <c r="CJ38" s="2760"/>
      <c r="CK38" s="2760"/>
      <c r="CL38" s="2760"/>
      <c r="CM38" s="2760"/>
      <c r="CN38" s="2760"/>
      <c r="CO38" s="2760"/>
      <c r="CP38" s="2760"/>
      <c r="CQ38" s="2760"/>
      <c r="CR38" s="2760"/>
      <c r="CS38" s="2760"/>
      <c r="CT38" s="2760"/>
      <c r="CU38" s="2760"/>
      <c r="CV38" s="2760"/>
      <c r="CW38" s="2760"/>
      <c r="CX38" s="2760"/>
      <c r="CY38" s="2760"/>
      <c r="CZ38" s="2760"/>
      <c r="DA38" s="2760"/>
      <c r="DB38" s="2760"/>
      <c r="DC38" s="2760"/>
      <c r="DD38" s="2760"/>
      <c r="DE38" s="2760"/>
      <c r="DF38" s="2760"/>
      <c r="DG38" s="2760"/>
      <c r="DH38" s="2760"/>
      <c r="DI38" s="2760"/>
      <c r="DJ38" s="2760"/>
      <c r="DK38" s="2760"/>
      <c r="DL38" s="2760"/>
      <c r="DM38" s="2760"/>
      <c r="DN38" s="2760"/>
      <c r="DO38" s="2760"/>
      <c r="DP38" s="2760"/>
      <c r="DQ38" s="2760"/>
      <c r="DR38" s="2760"/>
      <c r="DS38" s="2760"/>
      <c r="DT38" s="2760"/>
      <c r="DU38" s="2760"/>
      <c r="DV38" s="2760"/>
      <c r="DW38" s="2760"/>
      <c r="DX38" s="2760"/>
      <c r="DY38" s="2760"/>
      <c r="DZ38" s="2760"/>
      <c r="EA38" s="2760"/>
      <c r="EB38" s="2760"/>
      <c r="EC38" s="2760"/>
      <c r="ED38" s="2760"/>
      <c r="EE38" s="2760"/>
      <c r="EF38" s="2760"/>
      <c r="EG38" s="2760"/>
      <c r="EH38" s="2760"/>
      <c r="EI38" s="2760"/>
      <c r="EJ38" s="2760"/>
      <c r="EK38" s="2760"/>
      <c r="EL38" s="2760"/>
      <c r="EM38" s="2760"/>
      <c r="EN38" s="2760"/>
      <c r="EO38" s="2760"/>
      <c r="EP38" s="2760"/>
      <c r="EQ38" s="2760"/>
      <c r="ER38" s="2760"/>
      <c r="ES38" s="2760"/>
      <c r="ET38" s="2760"/>
      <c r="EU38" s="2760"/>
      <c r="EV38" s="2760"/>
      <c r="EW38" s="2760"/>
      <c r="EX38" s="2760"/>
      <c r="EY38" s="2760"/>
      <c r="EZ38" s="2760"/>
    </row>
    <row r="39" spans="1:168" s="35" customFormat="1" ht="13.5" customHeight="1">
      <c r="A39" s="2760"/>
      <c r="B39" s="2760"/>
      <c r="C39" s="2760"/>
      <c r="D39" s="2760"/>
      <c r="E39" s="2760"/>
      <c r="F39" s="2760"/>
      <c r="G39" s="2760"/>
      <c r="H39" s="2760"/>
      <c r="I39" s="2760"/>
      <c r="J39" s="2760"/>
      <c r="K39" s="2760"/>
      <c r="L39" s="2760"/>
      <c r="M39" s="2760"/>
      <c r="N39" s="2760"/>
      <c r="O39" s="2760"/>
      <c r="P39" s="2760"/>
      <c r="Q39" s="2760"/>
      <c r="R39" s="2760"/>
      <c r="S39" s="2760"/>
      <c r="T39" s="2760"/>
      <c r="U39" s="2760"/>
      <c r="V39" s="2760"/>
      <c r="W39" s="2760"/>
      <c r="X39" s="2760"/>
      <c r="Y39" s="2760"/>
      <c r="Z39" s="2760"/>
      <c r="AA39" s="2760"/>
      <c r="AB39" s="2760"/>
      <c r="AC39" s="2760"/>
      <c r="AD39" s="2760"/>
      <c r="AE39" s="2760"/>
      <c r="AF39" s="2760"/>
      <c r="AG39" s="2760"/>
      <c r="AH39" s="2760"/>
      <c r="AI39" s="2760"/>
      <c r="AJ39" s="2760"/>
      <c r="AK39" s="2760"/>
      <c r="AL39" s="2760"/>
      <c r="AM39" s="2760"/>
      <c r="AN39" s="2760"/>
      <c r="AO39" s="2760"/>
      <c r="AP39" s="2760"/>
      <c r="AQ39" s="2760"/>
      <c r="AR39" s="2760"/>
      <c r="AS39" s="2760"/>
      <c r="AT39" s="2760"/>
      <c r="AU39" s="2760"/>
      <c r="AV39" s="2760"/>
      <c r="AW39" s="2760"/>
      <c r="AX39" s="2760"/>
      <c r="AY39" s="2760"/>
      <c r="AZ39" s="2760"/>
      <c r="BA39" s="2760"/>
      <c r="BB39" s="2760"/>
      <c r="BC39" s="2760"/>
      <c r="BD39" s="2760"/>
      <c r="BE39" s="2760"/>
      <c r="BF39" s="2760"/>
      <c r="BG39" s="2760"/>
      <c r="BH39" s="2760"/>
      <c r="BI39" s="2760"/>
      <c r="BJ39" s="2760"/>
      <c r="BK39" s="2760"/>
      <c r="BL39" s="2760"/>
      <c r="BM39" s="2760"/>
      <c r="BN39" s="2760"/>
      <c r="BO39" s="2760"/>
      <c r="BP39" s="2760"/>
      <c r="BQ39" s="2760"/>
      <c r="BR39" s="2760"/>
      <c r="BS39" s="2760"/>
      <c r="BT39" s="2760"/>
      <c r="BU39" s="2760"/>
      <c r="BV39" s="2760"/>
      <c r="BW39" s="2760"/>
      <c r="BX39" s="2760"/>
      <c r="BY39" s="2760"/>
      <c r="BZ39" s="2760"/>
      <c r="CA39" s="2760"/>
      <c r="CB39" s="2760"/>
      <c r="CC39" s="2760"/>
      <c r="CD39" s="2760"/>
      <c r="CE39" s="2760"/>
      <c r="CF39" s="2760"/>
      <c r="CG39" s="2760"/>
      <c r="CH39" s="2760"/>
      <c r="CI39" s="2760"/>
      <c r="CJ39" s="2760"/>
      <c r="CK39" s="2760"/>
      <c r="CL39" s="2760"/>
      <c r="CM39" s="2760"/>
      <c r="CN39" s="2760"/>
      <c r="CO39" s="2760"/>
      <c r="CP39" s="2760"/>
      <c r="CQ39" s="2760"/>
      <c r="CR39" s="2760"/>
      <c r="CS39" s="2760"/>
      <c r="CT39" s="2760"/>
      <c r="CU39" s="2760"/>
      <c r="CV39" s="2760"/>
      <c r="CW39" s="2760"/>
      <c r="CX39" s="2760"/>
      <c r="CY39" s="2760"/>
      <c r="CZ39" s="2760"/>
      <c r="DA39" s="2760"/>
      <c r="DB39" s="2760"/>
      <c r="DC39" s="2760"/>
      <c r="DD39" s="2760"/>
      <c r="DE39" s="2760"/>
      <c r="DF39" s="2760"/>
      <c r="DG39" s="2760"/>
      <c r="DH39" s="2760"/>
      <c r="DI39" s="2760"/>
      <c r="DJ39" s="2760"/>
      <c r="DK39" s="2760"/>
      <c r="DL39" s="2760"/>
      <c r="DM39" s="2760"/>
      <c r="DN39" s="2760"/>
      <c r="DO39" s="2760"/>
      <c r="DP39" s="2760"/>
      <c r="DQ39" s="2760"/>
      <c r="DR39" s="2760"/>
      <c r="DS39" s="2760"/>
      <c r="DT39" s="2760"/>
      <c r="DU39" s="2760"/>
      <c r="DV39" s="2760"/>
      <c r="DW39" s="2760"/>
      <c r="DX39" s="2760"/>
      <c r="DY39" s="2760"/>
      <c r="DZ39" s="2760"/>
      <c r="EA39" s="2760"/>
      <c r="EB39" s="2760"/>
      <c r="EC39" s="2760"/>
      <c r="ED39" s="2760"/>
      <c r="EE39" s="2760"/>
      <c r="EF39" s="2760"/>
      <c r="EG39" s="2760"/>
      <c r="EH39" s="2760"/>
      <c r="EI39" s="2760"/>
      <c r="EJ39" s="2760"/>
      <c r="EK39" s="2760"/>
      <c r="EL39" s="2760"/>
      <c r="EM39" s="2760"/>
      <c r="EN39" s="2760"/>
      <c r="EO39" s="2760"/>
      <c r="EP39" s="2760"/>
      <c r="EQ39" s="2760"/>
      <c r="ER39" s="2760"/>
      <c r="ES39" s="2760"/>
      <c r="ET39" s="2760"/>
      <c r="EU39" s="2760"/>
      <c r="EV39" s="2760"/>
      <c r="EW39" s="2760"/>
      <c r="EX39" s="2760"/>
      <c r="EY39" s="2760"/>
      <c r="EZ39" s="2760"/>
    </row>
    <row r="40" spans="1:168" s="35" customFormat="1" ht="13.5" customHeight="1">
      <c r="A40" s="2760"/>
      <c r="B40" s="2760"/>
      <c r="C40" s="2760"/>
      <c r="D40" s="2760"/>
      <c r="E40" s="2760"/>
      <c r="F40" s="2760"/>
      <c r="G40" s="2760"/>
      <c r="H40" s="2760"/>
      <c r="I40" s="2760"/>
      <c r="J40" s="2760"/>
      <c r="K40" s="2760"/>
      <c r="L40" s="2760"/>
      <c r="M40" s="2760"/>
      <c r="N40" s="2760"/>
      <c r="O40" s="2760"/>
      <c r="P40" s="2760"/>
      <c r="Q40" s="2760"/>
      <c r="R40" s="2760"/>
      <c r="S40" s="2760"/>
      <c r="T40" s="2760"/>
      <c r="U40" s="2760"/>
      <c r="V40" s="2760"/>
      <c r="W40" s="2760"/>
      <c r="X40" s="2760"/>
      <c r="Y40" s="2760"/>
      <c r="Z40" s="2760"/>
      <c r="AA40" s="2760"/>
      <c r="AB40" s="2760"/>
      <c r="AC40" s="2760"/>
      <c r="AD40" s="2760"/>
      <c r="AE40" s="2760"/>
      <c r="AF40" s="2760"/>
      <c r="AG40" s="2760"/>
      <c r="AH40" s="2760"/>
      <c r="AI40" s="2760"/>
      <c r="AJ40" s="2760"/>
      <c r="AK40" s="2760"/>
      <c r="AL40" s="2760"/>
      <c r="AM40" s="2760"/>
      <c r="AN40" s="2760"/>
      <c r="AO40" s="2760"/>
      <c r="AP40" s="2760"/>
      <c r="AQ40" s="2760"/>
      <c r="AR40" s="2760"/>
      <c r="AS40" s="2760"/>
      <c r="AT40" s="2760"/>
      <c r="AU40" s="2760"/>
      <c r="AV40" s="2760"/>
      <c r="AW40" s="2760"/>
      <c r="AX40" s="2760"/>
      <c r="AY40" s="2760"/>
      <c r="AZ40" s="2760"/>
      <c r="BA40" s="2760"/>
      <c r="BB40" s="2760"/>
      <c r="BC40" s="2760"/>
      <c r="BD40" s="2760"/>
      <c r="BE40" s="2760"/>
      <c r="BF40" s="2760"/>
      <c r="BG40" s="2760"/>
      <c r="BH40" s="2760"/>
      <c r="BI40" s="2760"/>
      <c r="BJ40" s="2760"/>
      <c r="BK40" s="2760"/>
      <c r="BL40" s="2760"/>
      <c r="BM40" s="2760"/>
      <c r="BN40" s="2760"/>
      <c r="BO40" s="2760"/>
      <c r="BP40" s="2760"/>
      <c r="BQ40" s="2760"/>
      <c r="BR40" s="2760"/>
      <c r="BS40" s="2760"/>
      <c r="BT40" s="2760"/>
      <c r="BU40" s="2760"/>
      <c r="BV40" s="2760"/>
      <c r="BW40" s="2760"/>
      <c r="BX40" s="2760"/>
      <c r="BY40" s="2760"/>
      <c r="BZ40" s="2760"/>
      <c r="CA40" s="2760"/>
      <c r="CB40" s="2760"/>
      <c r="CC40" s="2760"/>
      <c r="CD40" s="2760"/>
      <c r="CE40" s="2760"/>
      <c r="CF40" s="2760"/>
      <c r="CG40" s="2760"/>
      <c r="CH40" s="2760"/>
      <c r="CI40" s="2760"/>
      <c r="CJ40" s="2760"/>
      <c r="CK40" s="2760"/>
      <c r="CL40" s="2760"/>
      <c r="CM40" s="2760"/>
      <c r="CN40" s="2760"/>
      <c r="CO40" s="2760"/>
      <c r="CP40" s="2760"/>
      <c r="CQ40" s="2760"/>
      <c r="CR40" s="2760"/>
      <c r="CS40" s="2760"/>
      <c r="CT40" s="2760"/>
      <c r="CU40" s="2760"/>
      <c r="CV40" s="2760"/>
      <c r="CW40" s="2760"/>
      <c r="CX40" s="2760"/>
      <c r="CY40" s="2760"/>
      <c r="CZ40" s="2760"/>
      <c r="DA40" s="2760"/>
      <c r="DB40" s="2760"/>
      <c r="DC40" s="2760"/>
      <c r="DD40" s="2760"/>
      <c r="DE40" s="2760"/>
      <c r="DF40" s="2760"/>
      <c r="DG40" s="2760"/>
      <c r="DH40" s="2760"/>
      <c r="DI40" s="2760"/>
      <c r="DJ40" s="2760"/>
      <c r="DK40" s="2760"/>
      <c r="DL40" s="2760"/>
      <c r="DM40" s="2760"/>
      <c r="DN40" s="2760"/>
      <c r="DO40" s="2760"/>
      <c r="DP40" s="2760"/>
      <c r="DQ40" s="2760"/>
      <c r="DR40" s="2760"/>
      <c r="DS40" s="2760"/>
      <c r="DT40" s="2760"/>
      <c r="DU40" s="2760"/>
      <c r="DV40" s="2760"/>
      <c r="DW40" s="2760"/>
      <c r="DX40" s="2760"/>
      <c r="DY40" s="2760"/>
      <c r="DZ40" s="2760"/>
      <c r="EA40" s="2760"/>
      <c r="EB40" s="2760"/>
      <c r="EC40" s="2760"/>
      <c r="ED40" s="2760"/>
      <c r="EE40" s="2760"/>
      <c r="EF40" s="2760"/>
      <c r="EG40" s="2760"/>
      <c r="EH40" s="2760"/>
      <c r="EI40" s="2760"/>
      <c r="EJ40" s="2760"/>
      <c r="EK40" s="2760"/>
      <c r="EL40" s="2760"/>
      <c r="EM40" s="2760"/>
      <c r="EN40" s="2760"/>
      <c r="EO40" s="2760"/>
      <c r="EP40" s="2760"/>
      <c r="EQ40" s="2760"/>
      <c r="ER40" s="2760"/>
      <c r="ES40" s="2760"/>
      <c r="ET40" s="2760"/>
      <c r="EU40" s="2760"/>
      <c r="EV40" s="2760"/>
      <c r="EW40" s="2760"/>
      <c r="EX40" s="2760"/>
      <c r="EY40" s="2760"/>
      <c r="EZ40" s="2760"/>
    </row>
    <row r="41" spans="1:168" s="35" customFormat="1" ht="13.5" customHeight="1">
      <c r="A41" s="2760"/>
      <c r="B41" s="2760"/>
      <c r="C41" s="2760"/>
      <c r="D41" s="2760"/>
      <c r="E41" s="2760"/>
      <c r="F41" s="2760"/>
      <c r="G41" s="2760"/>
      <c r="H41" s="2760"/>
      <c r="I41" s="2760"/>
      <c r="J41" s="2760"/>
      <c r="K41" s="2760"/>
      <c r="L41" s="2760"/>
      <c r="M41" s="2760"/>
      <c r="N41" s="2760"/>
      <c r="O41" s="2760"/>
      <c r="P41" s="2760"/>
      <c r="Q41" s="2760"/>
      <c r="R41" s="2760"/>
      <c r="S41" s="2760"/>
      <c r="T41" s="2760"/>
      <c r="U41" s="2760"/>
      <c r="V41" s="2760"/>
      <c r="W41" s="2760"/>
      <c r="X41" s="2760"/>
      <c r="Y41" s="2760"/>
      <c r="Z41" s="2760"/>
      <c r="AA41" s="2760"/>
      <c r="AB41" s="2760"/>
      <c r="AC41" s="2760"/>
      <c r="AD41" s="2760"/>
      <c r="AE41" s="2760"/>
      <c r="AF41" s="2760"/>
      <c r="AG41" s="2760"/>
      <c r="AH41" s="2760"/>
      <c r="AI41" s="2760"/>
      <c r="AJ41" s="2760"/>
      <c r="AK41" s="2760"/>
      <c r="AL41" s="2760"/>
      <c r="AM41" s="2760"/>
      <c r="AN41" s="2760"/>
      <c r="AO41" s="2760"/>
      <c r="AP41" s="2760"/>
      <c r="AQ41" s="2760"/>
      <c r="AR41" s="2760"/>
      <c r="AS41" s="2760"/>
      <c r="AT41" s="2760"/>
      <c r="AU41" s="2760"/>
      <c r="AV41" s="2760"/>
      <c r="AW41" s="2760"/>
      <c r="AX41" s="2760"/>
      <c r="AY41" s="2760"/>
      <c r="AZ41" s="2760"/>
      <c r="BA41" s="2760"/>
      <c r="BB41" s="2760"/>
      <c r="BC41" s="2760"/>
      <c r="BD41" s="2760"/>
      <c r="BE41" s="2760"/>
      <c r="BF41" s="2760"/>
      <c r="BG41" s="2760"/>
      <c r="BH41" s="2760"/>
      <c r="BI41" s="2760"/>
      <c r="BJ41" s="2760"/>
      <c r="BK41" s="2760"/>
      <c r="BL41" s="2760"/>
      <c r="BM41" s="2760"/>
      <c r="BN41" s="2760"/>
      <c r="BO41" s="2760"/>
      <c r="BP41" s="2760"/>
      <c r="BQ41" s="2760"/>
      <c r="BR41" s="2760"/>
      <c r="BS41" s="2760"/>
      <c r="BT41" s="2760"/>
      <c r="BU41" s="2760"/>
      <c r="BV41" s="2760"/>
      <c r="BW41" s="2760"/>
      <c r="BX41" s="2760"/>
      <c r="BY41" s="2760"/>
      <c r="BZ41" s="2760"/>
      <c r="CA41" s="2760"/>
      <c r="CB41" s="2760"/>
      <c r="CC41" s="2760"/>
      <c r="CD41" s="2760"/>
      <c r="CE41" s="2760"/>
      <c r="CF41" s="2760"/>
      <c r="CG41" s="2760"/>
      <c r="CH41" s="2760"/>
      <c r="CI41" s="2760"/>
      <c r="CJ41" s="2760"/>
      <c r="CK41" s="2760"/>
      <c r="CL41" s="2760"/>
      <c r="CM41" s="2760"/>
      <c r="CN41" s="2760"/>
      <c r="CO41" s="2760"/>
      <c r="CP41" s="2760"/>
      <c r="CQ41" s="2760"/>
      <c r="CR41" s="2760"/>
      <c r="CS41" s="2760"/>
      <c r="CT41" s="2760"/>
      <c r="CU41" s="2760"/>
      <c r="CV41" s="2760"/>
      <c r="CW41" s="2760"/>
      <c r="CX41" s="2760"/>
      <c r="CY41" s="2760"/>
      <c r="CZ41" s="2760"/>
      <c r="DA41" s="2760"/>
      <c r="DB41" s="2760"/>
      <c r="DC41" s="2760"/>
      <c r="DD41" s="2760"/>
      <c r="DE41" s="2760"/>
      <c r="DF41" s="2760"/>
      <c r="DG41" s="2760"/>
      <c r="DH41" s="2760"/>
      <c r="DI41" s="2760"/>
      <c r="DJ41" s="2760"/>
      <c r="DK41" s="2760"/>
      <c r="DL41" s="2760"/>
      <c r="DM41" s="2760"/>
      <c r="DN41" s="2760"/>
      <c r="DO41" s="2760"/>
      <c r="DP41" s="2760"/>
      <c r="DQ41" s="2760"/>
      <c r="DR41" s="2760"/>
      <c r="DS41" s="2760"/>
      <c r="DT41" s="2760"/>
      <c r="DU41" s="2760"/>
      <c r="DV41" s="2760"/>
      <c r="DW41" s="2760"/>
      <c r="DX41" s="2760"/>
      <c r="DY41" s="2760"/>
      <c r="DZ41" s="2760"/>
      <c r="EA41" s="2760"/>
      <c r="EB41" s="2760"/>
      <c r="EC41" s="2760"/>
      <c r="ED41" s="2760"/>
      <c r="EE41" s="2760"/>
      <c r="EF41" s="2760"/>
      <c r="EG41" s="2760"/>
      <c r="EH41" s="2760"/>
      <c r="EI41" s="2760"/>
      <c r="EJ41" s="2760"/>
      <c r="EK41" s="2760"/>
      <c r="EL41" s="2760"/>
      <c r="EM41" s="2760"/>
      <c r="EN41" s="2760"/>
      <c r="EO41" s="2760"/>
      <c r="EP41" s="2760"/>
      <c r="EQ41" s="2760"/>
      <c r="ER41" s="2760"/>
      <c r="ES41" s="2760"/>
      <c r="ET41" s="2760"/>
      <c r="EU41" s="2760"/>
      <c r="EV41" s="2760"/>
      <c r="EW41" s="2760"/>
      <c r="EX41" s="2760"/>
      <c r="EY41" s="2760"/>
      <c r="EZ41" s="2760"/>
    </row>
    <row r="42" spans="1:168" s="35" customFormat="1" ht="13.5" customHeight="1">
      <c r="A42" s="2760"/>
      <c r="B42" s="2760"/>
      <c r="C42" s="2760"/>
      <c r="D42" s="2760"/>
      <c r="E42" s="2760"/>
      <c r="F42" s="2760"/>
      <c r="G42" s="2760"/>
      <c r="H42" s="2760"/>
      <c r="I42" s="2760"/>
      <c r="J42" s="2760"/>
      <c r="K42" s="2760"/>
      <c r="L42" s="2760"/>
      <c r="M42" s="2760"/>
      <c r="N42" s="2760"/>
      <c r="O42" s="2760"/>
      <c r="P42" s="2760"/>
      <c r="Q42" s="2760"/>
      <c r="R42" s="2760"/>
      <c r="S42" s="2760"/>
      <c r="T42" s="2760"/>
      <c r="U42" s="2760"/>
      <c r="V42" s="2760"/>
      <c r="W42" s="2760"/>
      <c r="X42" s="2760"/>
      <c r="Y42" s="2760"/>
      <c r="Z42" s="2760"/>
      <c r="AA42" s="2760"/>
      <c r="AB42" s="2760"/>
      <c r="AC42" s="2760"/>
      <c r="AD42" s="2760"/>
      <c r="AE42" s="2760"/>
      <c r="AF42" s="2760"/>
      <c r="AG42" s="2760"/>
      <c r="AH42" s="2760"/>
      <c r="AI42" s="2760"/>
      <c r="AJ42" s="2760"/>
      <c r="AK42" s="2760"/>
      <c r="AL42" s="2760"/>
      <c r="AM42" s="2760"/>
      <c r="AN42" s="2760"/>
      <c r="AO42" s="2760"/>
      <c r="AP42" s="2760"/>
      <c r="AQ42" s="2760"/>
      <c r="AR42" s="2760"/>
      <c r="AS42" s="2760"/>
      <c r="AT42" s="2760"/>
      <c r="AU42" s="2760"/>
      <c r="AV42" s="2760"/>
      <c r="AW42" s="2760"/>
      <c r="AX42" s="2760"/>
      <c r="AY42" s="2760"/>
      <c r="AZ42" s="2760"/>
      <c r="BA42" s="2760"/>
      <c r="BB42" s="2760"/>
      <c r="BC42" s="2760"/>
      <c r="BD42" s="2760"/>
      <c r="BE42" s="2760"/>
      <c r="BF42" s="2760"/>
      <c r="BG42" s="2760"/>
      <c r="BH42" s="2760"/>
      <c r="BI42" s="2760"/>
      <c r="BJ42" s="2760"/>
      <c r="BK42" s="2760"/>
      <c r="BL42" s="2760"/>
      <c r="BM42" s="2760"/>
      <c r="BN42" s="2760"/>
      <c r="BO42" s="2760"/>
      <c r="BP42" s="2760"/>
      <c r="BQ42" s="2760"/>
      <c r="BR42" s="2760"/>
      <c r="BS42" s="2760"/>
      <c r="BT42" s="2760"/>
      <c r="BU42" s="2760"/>
      <c r="BV42" s="2760"/>
      <c r="BW42" s="2760"/>
      <c r="BX42" s="2760"/>
      <c r="BY42" s="2760"/>
      <c r="BZ42" s="2760"/>
      <c r="CA42" s="580"/>
      <c r="CB42" s="580"/>
      <c r="CC42" s="580"/>
      <c r="CD42" s="580"/>
      <c r="CE42" s="580"/>
      <c r="CF42" s="580"/>
      <c r="CG42" s="580"/>
      <c r="CH42" s="580"/>
      <c r="CI42" s="580"/>
      <c r="CJ42" s="580"/>
      <c r="CK42" s="580"/>
      <c r="CL42" s="580"/>
      <c r="CM42" s="580"/>
      <c r="CN42" s="580"/>
      <c r="CO42" s="580"/>
      <c r="CP42" s="580"/>
      <c r="CQ42" s="580"/>
      <c r="CR42" s="580"/>
      <c r="CS42" s="580"/>
      <c r="CT42" s="580"/>
      <c r="CU42" s="580"/>
      <c r="CV42" s="580"/>
      <c r="CW42" s="580"/>
      <c r="CX42" s="580"/>
      <c r="CY42" s="580"/>
      <c r="CZ42" s="580"/>
      <c r="DA42" s="580"/>
      <c r="DB42" s="580"/>
      <c r="DC42" s="580"/>
      <c r="DD42" s="580"/>
      <c r="DE42" s="580"/>
      <c r="DF42" s="580"/>
      <c r="DG42" s="580"/>
      <c r="DH42" s="580"/>
      <c r="DI42" s="580"/>
      <c r="DJ42" s="580"/>
      <c r="DK42" s="580"/>
      <c r="DL42" s="580"/>
      <c r="DM42" s="580"/>
      <c r="DN42" s="580"/>
      <c r="DO42" s="580"/>
      <c r="DP42" s="580"/>
      <c r="DQ42" s="580"/>
      <c r="DR42" s="580"/>
      <c r="DS42" s="580"/>
      <c r="DT42" s="580"/>
      <c r="DU42" s="580"/>
      <c r="DV42" s="580"/>
      <c r="DW42" s="580"/>
      <c r="DX42" s="580"/>
      <c r="DY42" s="580"/>
      <c r="DZ42" s="580"/>
      <c r="EA42" s="580"/>
      <c r="EB42" s="580"/>
      <c r="EC42" s="580"/>
      <c r="ED42" s="580"/>
      <c r="EE42" s="580"/>
      <c r="EF42" s="580"/>
      <c r="EG42" s="580"/>
      <c r="EH42" s="580"/>
      <c r="EI42" s="580"/>
      <c r="EJ42" s="580"/>
      <c r="EK42" s="580"/>
      <c r="EL42" s="580"/>
      <c r="EM42" s="580"/>
      <c r="EN42" s="580"/>
      <c r="EO42" s="580"/>
      <c r="EP42" s="580"/>
      <c r="EQ42" s="580"/>
      <c r="ER42" s="580"/>
      <c r="ES42" s="580"/>
      <c r="ET42" s="580"/>
      <c r="EU42" s="580"/>
      <c r="EV42" s="580"/>
      <c r="EW42" s="580"/>
      <c r="EX42" s="580"/>
      <c r="EY42" s="580"/>
      <c r="EZ42" s="580"/>
    </row>
    <row r="43" spans="1:168" s="35" customFormat="1" ht="13.5" customHeight="1">
      <c r="A43" s="580"/>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0"/>
      <c r="AL43" s="580"/>
      <c r="AM43" s="580"/>
      <c r="AN43" s="580"/>
      <c r="AO43" s="580"/>
      <c r="AP43" s="580"/>
      <c r="AQ43" s="580"/>
      <c r="AR43" s="580"/>
      <c r="AS43" s="580"/>
      <c r="AT43" s="580"/>
      <c r="AU43" s="580"/>
      <c r="AV43" s="580"/>
      <c r="AW43" s="580"/>
      <c r="AX43" s="580"/>
      <c r="AY43" s="580"/>
      <c r="AZ43" s="580"/>
      <c r="BA43" s="580"/>
      <c r="BB43" s="580"/>
      <c r="BC43" s="580"/>
      <c r="BD43" s="580"/>
      <c r="BE43" s="580"/>
      <c r="BF43" s="580"/>
      <c r="BG43" s="580"/>
      <c r="BH43" s="580"/>
      <c r="BI43" s="580"/>
      <c r="BJ43" s="580"/>
      <c r="BK43" s="580"/>
      <c r="BL43" s="580"/>
      <c r="BM43" s="580"/>
      <c r="BN43" s="580"/>
      <c r="BO43" s="580"/>
      <c r="BP43" s="580"/>
      <c r="BQ43" s="580"/>
      <c r="BR43" s="580"/>
      <c r="BS43" s="580"/>
      <c r="BT43" s="580"/>
      <c r="BU43" s="580"/>
      <c r="BV43" s="580"/>
      <c r="BW43" s="580"/>
      <c r="BX43" s="580"/>
      <c r="BY43" s="580"/>
      <c r="BZ43" s="580"/>
      <c r="CA43" s="2759" t="s">
        <v>280</v>
      </c>
      <c r="CB43" s="2759"/>
      <c r="CC43" s="2759"/>
      <c r="CD43" s="2759"/>
      <c r="CE43" s="2759"/>
      <c r="CF43" s="2759"/>
      <c r="CG43" s="2759"/>
      <c r="CH43" s="2759"/>
      <c r="CI43" s="2759"/>
      <c r="CJ43" s="2759"/>
      <c r="CK43" s="2759"/>
      <c r="CL43" s="2759"/>
      <c r="CM43" s="2759"/>
      <c r="CN43" s="2759"/>
      <c r="CO43" s="2759"/>
      <c r="CP43" s="2759"/>
      <c r="CQ43" s="2759"/>
      <c r="CR43" s="2759"/>
      <c r="CS43" s="2759"/>
      <c r="CT43" s="2759"/>
      <c r="CU43" s="2759"/>
      <c r="CV43" s="2759"/>
      <c r="CW43" s="2759"/>
      <c r="CX43" s="2759"/>
      <c r="CY43" s="2759"/>
      <c r="CZ43" s="2759"/>
      <c r="DA43" s="2759"/>
      <c r="DB43" s="2759"/>
      <c r="DC43" s="2759"/>
      <c r="DD43" s="2759"/>
      <c r="DE43" s="2759"/>
      <c r="DF43" s="2759"/>
      <c r="DG43" s="2759"/>
      <c r="DH43" s="2759"/>
      <c r="DI43" s="2759"/>
      <c r="DJ43" s="2759"/>
      <c r="DK43" s="2759"/>
      <c r="DL43" s="2759"/>
      <c r="DM43" s="2759"/>
      <c r="DN43" s="2759"/>
      <c r="DO43" s="2759"/>
      <c r="DP43" s="2759"/>
      <c r="DQ43" s="2759"/>
      <c r="DR43" s="2759"/>
      <c r="DS43" s="2759"/>
      <c r="DT43" s="2759"/>
      <c r="DU43" s="2759"/>
      <c r="DV43" s="2759"/>
      <c r="DW43" s="2759"/>
      <c r="DX43" s="2759"/>
      <c r="DY43" s="2759"/>
      <c r="DZ43" s="2759"/>
      <c r="EA43" s="2759"/>
      <c r="EB43" s="2759"/>
      <c r="EC43" s="2759"/>
      <c r="ED43" s="2759"/>
      <c r="EE43" s="2759"/>
      <c r="EF43" s="2759"/>
      <c r="EG43" s="2759"/>
      <c r="EH43" s="2759"/>
      <c r="EI43" s="2759"/>
      <c r="EJ43" s="2759"/>
      <c r="EK43" s="2759"/>
      <c r="EL43" s="2759"/>
      <c r="EM43" s="2759"/>
      <c r="EN43" s="2759"/>
      <c r="EO43" s="2759"/>
      <c r="EP43" s="2759"/>
      <c r="EQ43" s="2759"/>
      <c r="ER43" s="2759"/>
      <c r="ES43" s="2759"/>
      <c r="ET43" s="2759"/>
      <c r="EU43" s="2759"/>
      <c r="EV43" s="2759"/>
      <c r="EW43" s="2759"/>
      <c r="EX43" s="2759"/>
      <c r="EY43" s="2759"/>
      <c r="EZ43" s="2759"/>
    </row>
    <row r="44" spans="1:168" s="35" customFormat="1" ht="13.5" customHeight="1">
      <c r="A44" s="2759" t="s">
        <v>280</v>
      </c>
      <c r="B44" s="2759"/>
      <c r="C44" s="2759"/>
      <c r="D44" s="2759"/>
      <c r="E44" s="2759"/>
      <c r="F44" s="2759"/>
      <c r="G44" s="2759"/>
      <c r="H44" s="2759"/>
      <c r="I44" s="2759"/>
      <c r="J44" s="2759"/>
      <c r="K44" s="2759"/>
      <c r="L44" s="2759"/>
      <c r="M44" s="2759"/>
      <c r="N44" s="2759"/>
      <c r="O44" s="2759"/>
      <c r="P44" s="2759"/>
      <c r="Q44" s="2759"/>
      <c r="R44" s="2759"/>
      <c r="S44" s="2759"/>
      <c r="T44" s="2759"/>
      <c r="U44" s="2759"/>
      <c r="V44" s="2759"/>
      <c r="W44" s="2759"/>
      <c r="X44" s="2759"/>
      <c r="Y44" s="2759"/>
      <c r="Z44" s="2759"/>
      <c r="AA44" s="2759"/>
      <c r="AB44" s="2759"/>
      <c r="AC44" s="2759"/>
      <c r="AD44" s="2759"/>
      <c r="AE44" s="2759"/>
      <c r="AF44" s="2759"/>
      <c r="AG44" s="2759"/>
      <c r="AH44" s="2759"/>
      <c r="AI44" s="2759"/>
      <c r="AJ44" s="2759"/>
      <c r="AK44" s="2759"/>
      <c r="AL44" s="2759"/>
      <c r="AM44" s="2759"/>
      <c r="AN44" s="2759"/>
      <c r="AO44" s="2759"/>
      <c r="AP44" s="2759"/>
      <c r="AQ44" s="2759"/>
      <c r="AR44" s="2759"/>
      <c r="AS44" s="2759"/>
      <c r="AT44" s="2759"/>
      <c r="AU44" s="2759"/>
      <c r="AV44" s="2759"/>
      <c r="AW44" s="2759"/>
      <c r="AX44" s="2759"/>
      <c r="AY44" s="2759"/>
      <c r="AZ44" s="2759"/>
      <c r="BA44" s="2759"/>
      <c r="BB44" s="2759"/>
      <c r="BC44" s="2759"/>
      <c r="BD44" s="2759"/>
      <c r="BE44" s="2759"/>
      <c r="BF44" s="2759"/>
      <c r="BG44" s="2759"/>
      <c r="BH44" s="2759"/>
      <c r="BI44" s="2759"/>
      <c r="BJ44" s="2759"/>
      <c r="BK44" s="2759"/>
      <c r="BL44" s="2759"/>
      <c r="BM44" s="2759"/>
      <c r="BN44" s="2759"/>
      <c r="BO44" s="2759"/>
      <c r="BP44" s="2759"/>
      <c r="BQ44" s="2759"/>
      <c r="BR44" s="2759"/>
      <c r="BS44" s="2759"/>
      <c r="BT44" s="2759"/>
      <c r="BU44" s="2759"/>
      <c r="BV44" s="2759"/>
      <c r="BW44" s="2759"/>
      <c r="BX44" s="2759"/>
      <c r="BY44" s="2759"/>
      <c r="BZ44" s="2759"/>
      <c r="CA44" s="2759"/>
      <c r="CB44" s="2759"/>
      <c r="CC44" s="2759"/>
      <c r="CD44" s="2759"/>
      <c r="CE44" s="2759"/>
      <c r="CF44" s="2759"/>
      <c r="CG44" s="2759"/>
      <c r="CH44" s="2759"/>
      <c r="CI44" s="2759"/>
      <c r="CJ44" s="2759"/>
      <c r="CK44" s="2759"/>
      <c r="CL44" s="2759"/>
      <c r="CM44" s="2759"/>
      <c r="CN44" s="2759"/>
      <c r="CO44" s="2759"/>
      <c r="CP44" s="2759"/>
      <c r="CQ44" s="2759"/>
      <c r="CR44" s="2759"/>
      <c r="CS44" s="2759"/>
      <c r="CT44" s="2759"/>
      <c r="CU44" s="2759"/>
      <c r="CV44" s="2759"/>
      <c r="CW44" s="2759"/>
      <c r="CX44" s="2759"/>
      <c r="CY44" s="2759"/>
      <c r="CZ44" s="2759"/>
      <c r="DA44" s="2759"/>
      <c r="DB44" s="2759"/>
      <c r="DC44" s="2759"/>
      <c r="DD44" s="2759"/>
      <c r="DE44" s="2759"/>
      <c r="DF44" s="2759"/>
      <c r="DG44" s="2759"/>
      <c r="DH44" s="2759"/>
      <c r="DI44" s="2759"/>
      <c r="DJ44" s="2759"/>
      <c r="DK44" s="2759"/>
      <c r="DL44" s="2759"/>
      <c r="DM44" s="2759"/>
      <c r="DN44" s="2759"/>
      <c r="DO44" s="2759"/>
      <c r="DP44" s="2759"/>
      <c r="DQ44" s="2759"/>
      <c r="DR44" s="2759"/>
      <c r="DS44" s="2759"/>
      <c r="DT44" s="2759"/>
      <c r="DU44" s="2759"/>
      <c r="DV44" s="2759"/>
      <c r="DW44" s="2759"/>
      <c r="DX44" s="2759"/>
      <c r="DY44" s="2759"/>
      <c r="DZ44" s="2759"/>
      <c r="EA44" s="2759"/>
      <c r="EB44" s="2759"/>
      <c r="EC44" s="2759"/>
      <c r="ED44" s="2759"/>
      <c r="EE44" s="2759"/>
      <c r="EF44" s="2759"/>
      <c r="EG44" s="2759"/>
      <c r="EH44" s="2759"/>
      <c r="EI44" s="2759"/>
      <c r="EJ44" s="2759"/>
      <c r="EK44" s="2759"/>
      <c r="EL44" s="2759"/>
      <c r="EM44" s="2759"/>
      <c r="EN44" s="2759"/>
      <c r="EO44" s="2759"/>
      <c r="EP44" s="2759"/>
      <c r="EQ44" s="2759"/>
      <c r="ER44" s="2759"/>
      <c r="ES44" s="2759"/>
      <c r="ET44" s="2759"/>
      <c r="EU44" s="2759"/>
      <c r="EV44" s="2759"/>
      <c r="EW44" s="2759"/>
      <c r="EX44" s="2759"/>
      <c r="EY44" s="2759"/>
      <c r="EZ44" s="2759"/>
    </row>
    <row r="45" spans="1:168" s="35" customFormat="1" ht="13.5" customHeight="1">
      <c r="A45" s="2759"/>
      <c r="B45" s="2759"/>
      <c r="C45" s="2759"/>
      <c r="D45" s="2759"/>
      <c r="E45" s="2759"/>
      <c r="F45" s="2759"/>
      <c r="G45" s="2759"/>
      <c r="H45" s="2759"/>
      <c r="I45" s="2759"/>
      <c r="J45" s="2759"/>
      <c r="K45" s="2759"/>
      <c r="L45" s="2759"/>
      <c r="M45" s="2759"/>
      <c r="N45" s="2759"/>
      <c r="O45" s="2759"/>
      <c r="P45" s="2759"/>
      <c r="Q45" s="2759"/>
      <c r="R45" s="2759"/>
      <c r="S45" s="2759"/>
      <c r="T45" s="2759"/>
      <c r="U45" s="2759"/>
      <c r="V45" s="2759"/>
      <c r="W45" s="2759"/>
      <c r="X45" s="2759"/>
      <c r="Y45" s="2759"/>
      <c r="Z45" s="2759"/>
      <c r="AA45" s="2759"/>
      <c r="AB45" s="2759"/>
      <c r="AC45" s="2759"/>
      <c r="AD45" s="2759"/>
      <c r="AE45" s="2759"/>
      <c r="AF45" s="2759"/>
      <c r="AG45" s="2759"/>
      <c r="AH45" s="2759"/>
      <c r="AI45" s="2759"/>
      <c r="AJ45" s="2759"/>
      <c r="AK45" s="2759"/>
      <c r="AL45" s="2759"/>
      <c r="AM45" s="2759"/>
      <c r="AN45" s="2759"/>
      <c r="AO45" s="2759"/>
      <c r="AP45" s="2759"/>
      <c r="AQ45" s="2759"/>
      <c r="AR45" s="2759"/>
      <c r="AS45" s="2759"/>
      <c r="AT45" s="2759"/>
      <c r="AU45" s="2759"/>
      <c r="AV45" s="2759"/>
      <c r="AW45" s="2759"/>
      <c r="AX45" s="2759"/>
      <c r="AY45" s="2759"/>
      <c r="AZ45" s="2759"/>
      <c r="BA45" s="2759"/>
      <c r="BB45" s="2759"/>
      <c r="BC45" s="2759"/>
      <c r="BD45" s="2759"/>
      <c r="BE45" s="2759"/>
      <c r="BF45" s="2759"/>
      <c r="BG45" s="2759"/>
      <c r="BH45" s="2759"/>
      <c r="BI45" s="2759"/>
      <c r="BJ45" s="2759"/>
      <c r="BK45" s="2759"/>
      <c r="BL45" s="2759"/>
      <c r="BM45" s="2759"/>
      <c r="BN45" s="2759"/>
      <c r="BO45" s="2759"/>
      <c r="BP45" s="2759"/>
      <c r="BQ45" s="2759"/>
      <c r="BR45" s="2759"/>
      <c r="BS45" s="2759"/>
      <c r="BT45" s="2759"/>
      <c r="BU45" s="2759"/>
      <c r="BV45" s="2759"/>
      <c r="BW45" s="2759"/>
      <c r="BX45" s="2759"/>
      <c r="BY45" s="2759"/>
      <c r="BZ45" s="2759"/>
      <c r="CA45" s="7"/>
      <c r="CB45" s="7"/>
      <c r="CC45" s="7"/>
      <c r="CD45" s="7"/>
      <c r="CE45" s="7"/>
      <c r="CF45" s="7"/>
      <c r="CG45" s="7"/>
      <c r="CH45" s="7"/>
    </row>
    <row r="46" spans="1:168" s="34" customFormat="1" ht="23.25">
      <c r="A46" s="1452" t="s">
        <v>274</v>
      </c>
      <c r="B46" s="1452"/>
      <c r="C46" s="1452"/>
      <c r="D46" s="1452"/>
      <c r="E46" s="1452"/>
      <c r="F46" s="1452"/>
      <c r="G46" s="1452"/>
      <c r="H46" s="1452"/>
      <c r="I46" s="1452"/>
      <c r="J46" s="1452"/>
      <c r="K46" s="1452"/>
      <c r="L46" s="1452"/>
      <c r="M46" s="1452"/>
      <c r="N46" s="1452"/>
      <c r="O46" s="1452"/>
      <c r="P46" s="1452"/>
      <c r="Q46" s="1452"/>
      <c r="R46" s="1452"/>
      <c r="S46" s="1452"/>
      <c r="T46" s="1452"/>
      <c r="U46" s="1452"/>
      <c r="V46" s="1452"/>
      <c r="W46" s="1452"/>
      <c r="X46" s="1452"/>
      <c r="Y46" s="1452"/>
      <c r="Z46" s="1452"/>
      <c r="AA46" s="1452"/>
      <c r="AB46" s="1452"/>
      <c r="AC46" s="1452"/>
      <c r="AD46" s="1452"/>
      <c r="AE46" s="1452"/>
      <c r="AF46" s="1452"/>
      <c r="AG46" s="1452"/>
      <c r="AH46" s="1452"/>
      <c r="AI46" s="1452"/>
      <c r="AJ46" s="1452"/>
      <c r="AK46" s="1452"/>
      <c r="AL46" s="1452"/>
      <c r="AM46" s="1452"/>
      <c r="AN46" s="1452"/>
      <c r="AO46" s="1452"/>
      <c r="AP46" s="1452"/>
      <c r="AQ46" s="1452"/>
      <c r="AR46" s="1452"/>
      <c r="AS46" s="1452"/>
      <c r="AT46" s="1452"/>
      <c r="AU46" s="1452"/>
      <c r="AV46" s="1452"/>
      <c r="AW46" s="1452"/>
      <c r="AX46" s="1452"/>
      <c r="AY46" s="1452"/>
      <c r="AZ46" s="1452"/>
      <c r="BA46" s="1452"/>
      <c r="BB46" s="1452"/>
      <c r="BC46" s="1452"/>
      <c r="BD46" s="1452"/>
      <c r="BE46" s="1452"/>
      <c r="BF46" s="1452"/>
      <c r="BG46" s="1452"/>
      <c r="BH46" s="1452"/>
      <c r="BI46" s="1452"/>
      <c r="BJ46" s="1452"/>
      <c r="BK46" s="1452"/>
      <c r="BL46" s="1452"/>
      <c r="BM46" s="1452"/>
      <c r="BN46" s="1452"/>
      <c r="BO46" s="1452"/>
      <c r="BP46" s="1452"/>
      <c r="BQ46" s="1452"/>
      <c r="BR46" s="1452"/>
      <c r="BS46" s="1452"/>
      <c r="BT46" s="1452"/>
      <c r="BU46" s="1452"/>
      <c r="BV46" s="1452"/>
      <c r="BW46" s="1452"/>
      <c r="BX46" s="1452"/>
      <c r="BY46" s="1452"/>
      <c r="BZ46" s="1452"/>
      <c r="CA46" s="33"/>
      <c r="CB46" s="33"/>
      <c r="CC46" s="33"/>
      <c r="CD46" s="33"/>
      <c r="CE46" s="33"/>
      <c r="CF46" s="33"/>
      <c r="CG46" s="33"/>
      <c r="CH46" s="33"/>
    </row>
    <row r="47" spans="1:168" s="35" customFormat="1" ht="13.5" customHeight="1">
      <c r="A47" s="1452"/>
      <c r="B47" s="1452"/>
      <c r="C47" s="1452"/>
      <c r="D47" s="1452"/>
      <c r="E47" s="1452"/>
      <c r="F47" s="1452"/>
      <c r="G47" s="1452"/>
      <c r="H47" s="1452"/>
      <c r="I47" s="1452"/>
      <c r="J47" s="1452"/>
      <c r="K47" s="1452"/>
      <c r="L47" s="1452"/>
      <c r="M47" s="1452"/>
      <c r="N47" s="1452"/>
      <c r="O47" s="1452"/>
      <c r="P47" s="1452"/>
      <c r="Q47" s="1452"/>
      <c r="R47" s="1452"/>
      <c r="S47" s="1452"/>
      <c r="T47" s="1452"/>
      <c r="U47" s="1452"/>
      <c r="V47" s="1452"/>
      <c r="W47" s="1452"/>
      <c r="X47" s="1452"/>
      <c r="Y47" s="1452"/>
      <c r="Z47" s="1452"/>
      <c r="AA47" s="1452"/>
      <c r="AB47" s="1452"/>
      <c r="AC47" s="1452"/>
      <c r="AD47" s="1452"/>
      <c r="AE47" s="1452"/>
      <c r="AF47" s="1452"/>
      <c r="AG47" s="1452"/>
      <c r="AH47" s="1452"/>
      <c r="AI47" s="1452"/>
      <c r="AJ47" s="1452"/>
      <c r="AK47" s="1452"/>
      <c r="AL47" s="1452"/>
      <c r="AM47" s="1452"/>
      <c r="AN47" s="1452"/>
      <c r="AO47" s="1452"/>
      <c r="AP47" s="1452"/>
      <c r="AQ47" s="1452"/>
      <c r="AR47" s="1452"/>
      <c r="AS47" s="1452"/>
      <c r="AT47" s="1452"/>
      <c r="AU47" s="1452"/>
      <c r="AV47" s="1452"/>
      <c r="AW47" s="1452"/>
      <c r="AX47" s="1452"/>
      <c r="AY47" s="1452"/>
      <c r="AZ47" s="1452"/>
      <c r="BA47" s="1452"/>
      <c r="BB47" s="1452"/>
      <c r="BC47" s="1452"/>
      <c r="BD47" s="1452"/>
      <c r="BE47" s="1452"/>
      <c r="BF47" s="1452"/>
      <c r="BG47" s="1452"/>
      <c r="BH47" s="1452"/>
      <c r="BI47" s="1452"/>
      <c r="BJ47" s="1452"/>
      <c r="BK47" s="1452"/>
      <c r="BL47" s="1452"/>
      <c r="BM47" s="1452"/>
      <c r="BN47" s="1452"/>
      <c r="BO47" s="1452"/>
      <c r="BP47" s="1452"/>
      <c r="BQ47" s="1452"/>
      <c r="BR47" s="1452"/>
      <c r="BS47" s="1452"/>
      <c r="BT47" s="1452"/>
      <c r="BU47" s="1452"/>
      <c r="BV47" s="1452"/>
      <c r="BW47" s="1452"/>
      <c r="BX47" s="1452"/>
      <c r="BY47" s="1452"/>
      <c r="BZ47" s="1452"/>
    </row>
    <row r="48" spans="1:168" s="35" customFormat="1" ht="13.5" customHeight="1">
      <c r="A48" s="2760" t="s">
        <v>275</v>
      </c>
      <c r="B48" s="2760"/>
      <c r="C48" s="2760"/>
      <c r="D48" s="2760"/>
      <c r="E48" s="2760"/>
      <c r="F48" s="2760"/>
      <c r="G48" s="2760"/>
      <c r="H48" s="2760"/>
      <c r="I48" s="2760"/>
      <c r="J48" s="2760"/>
      <c r="K48" s="2760"/>
      <c r="L48" s="2760"/>
      <c r="M48" s="2760"/>
      <c r="N48" s="2760"/>
      <c r="O48" s="2760"/>
      <c r="P48" s="2760"/>
      <c r="Q48" s="2760"/>
      <c r="R48" s="2789" t="str">
        <f>CONCATENATE('01 使用承認申請書'!C14)</f>
        <v/>
      </c>
      <c r="S48" s="2789"/>
      <c r="T48" s="2789"/>
      <c r="U48" s="2789"/>
      <c r="V48" s="2789"/>
      <c r="W48" s="2789"/>
      <c r="X48" s="2789"/>
      <c r="Y48" s="2789"/>
      <c r="Z48" s="2789"/>
      <c r="AA48" s="2789"/>
      <c r="AB48" s="2789"/>
      <c r="AC48" s="2760" t="s">
        <v>15</v>
      </c>
      <c r="AD48" s="2760"/>
      <c r="AE48" s="2760"/>
      <c r="AF48" s="2760"/>
      <c r="AG48" s="2760"/>
      <c r="AH48" s="2760"/>
      <c r="AI48" s="2760"/>
      <c r="AJ48" s="2760"/>
      <c r="AK48" s="2760"/>
      <c r="AL48" s="2760"/>
      <c r="AM48" s="2789" t="str">
        <f>CONCATENATE('01 使用承認申請書'!F14)</f>
        <v/>
      </c>
      <c r="AN48" s="2789"/>
      <c r="AO48" s="2789"/>
      <c r="AP48" s="2789"/>
      <c r="AQ48" s="2789"/>
      <c r="AR48" s="2789"/>
      <c r="AS48" s="2789"/>
      <c r="AT48" s="2789"/>
      <c r="AU48" s="2789"/>
      <c r="AV48" s="2789"/>
      <c r="AW48" s="2789"/>
      <c r="AX48" s="2760" t="s">
        <v>14</v>
      </c>
      <c r="AY48" s="2760"/>
      <c r="AZ48" s="2760"/>
      <c r="BA48" s="2760"/>
      <c r="BB48" s="2760"/>
      <c r="BC48" s="2760"/>
      <c r="BD48" s="2760"/>
      <c r="BE48" s="2760"/>
      <c r="BF48" s="2760"/>
      <c r="BG48" s="2760"/>
      <c r="BH48" s="2760" t="s">
        <v>38</v>
      </c>
      <c r="BI48" s="2760"/>
      <c r="BJ48" s="2760"/>
      <c r="BK48" s="2760"/>
      <c r="BL48" s="2761" t="str">
        <f>CONCATENATE('01 使用承認申請書'!J14)</f>
        <v/>
      </c>
      <c r="BM48" s="2761"/>
      <c r="BN48" s="2761"/>
      <c r="BO48" s="2761"/>
      <c r="BP48" s="2761"/>
      <c r="BQ48" s="2761"/>
      <c r="BR48" s="2761"/>
      <c r="BS48" s="2761"/>
      <c r="BT48" s="2761"/>
      <c r="BU48" s="2761"/>
      <c r="BV48" s="2761"/>
      <c r="BW48" s="2760" t="s">
        <v>37</v>
      </c>
      <c r="BX48" s="2760"/>
      <c r="BY48" s="2760"/>
      <c r="BZ48" s="2760"/>
    </row>
    <row r="49" spans="1:86" s="35" customFormat="1" ht="13.5" customHeight="1">
      <c r="A49" s="2760"/>
      <c r="B49" s="2760"/>
      <c r="C49" s="2760"/>
      <c r="D49" s="2760"/>
      <c r="E49" s="2760"/>
      <c r="F49" s="2760"/>
      <c r="G49" s="2760"/>
      <c r="H49" s="2760"/>
      <c r="I49" s="2760"/>
      <c r="J49" s="2760"/>
      <c r="K49" s="2760"/>
      <c r="L49" s="2760"/>
      <c r="M49" s="2760"/>
      <c r="N49" s="2760"/>
      <c r="O49" s="2760"/>
      <c r="P49" s="2760"/>
      <c r="Q49" s="2760"/>
      <c r="R49" s="2789"/>
      <c r="S49" s="2789"/>
      <c r="T49" s="2789"/>
      <c r="U49" s="2789"/>
      <c r="V49" s="2789"/>
      <c r="W49" s="2789"/>
      <c r="X49" s="2789"/>
      <c r="Y49" s="2789"/>
      <c r="Z49" s="2789"/>
      <c r="AA49" s="2789"/>
      <c r="AB49" s="2789"/>
      <c r="AC49" s="2760"/>
      <c r="AD49" s="2760"/>
      <c r="AE49" s="2760"/>
      <c r="AF49" s="2760"/>
      <c r="AG49" s="2760"/>
      <c r="AH49" s="2760"/>
      <c r="AI49" s="2760"/>
      <c r="AJ49" s="2760"/>
      <c r="AK49" s="2760"/>
      <c r="AL49" s="2760"/>
      <c r="AM49" s="2789"/>
      <c r="AN49" s="2789"/>
      <c r="AO49" s="2789"/>
      <c r="AP49" s="2789"/>
      <c r="AQ49" s="2789"/>
      <c r="AR49" s="2789"/>
      <c r="AS49" s="2789"/>
      <c r="AT49" s="2789"/>
      <c r="AU49" s="2789"/>
      <c r="AV49" s="2789"/>
      <c r="AW49" s="2789"/>
      <c r="AX49" s="2760"/>
      <c r="AY49" s="2760"/>
      <c r="AZ49" s="2760"/>
      <c r="BA49" s="2760"/>
      <c r="BB49" s="2760"/>
      <c r="BC49" s="2760"/>
      <c r="BD49" s="2760"/>
      <c r="BE49" s="2760"/>
      <c r="BF49" s="2760"/>
      <c r="BG49" s="2760"/>
      <c r="BH49" s="2760"/>
      <c r="BI49" s="2760"/>
      <c r="BJ49" s="2760"/>
      <c r="BK49" s="2760"/>
      <c r="BL49" s="2761"/>
      <c r="BM49" s="2761"/>
      <c r="BN49" s="2761"/>
      <c r="BO49" s="2761"/>
      <c r="BP49" s="2761"/>
      <c r="BQ49" s="2761"/>
      <c r="BR49" s="2761"/>
      <c r="BS49" s="2761"/>
      <c r="BT49" s="2761"/>
      <c r="BU49" s="2761"/>
      <c r="BV49" s="2761"/>
      <c r="BW49" s="2760"/>
      <c r="BX49" s="2760"/>
      <c r="BY49" s="2760"/>
      <c r="BZ49" s="2760"/>
      <c r="CA49" s="6"/>
      <c r="CB49" s="6"/>
      <c r="CC49" s="6"/>
      <c r="CD49" s="6"/>
      <c r="CE49" s="6"/>
      <c r="CF49" s="6"/>
      <c r="CG49" s="6"/>
      <c r="CH49" s="6"/>
    </row>
    <row r="50" spans="1:86" s="35" customFormat="1" ht="13.5" customHeight="1">
      <c r="A50" s="2760"/>
      <c r="B50" s="2760"/>
      <c r="C50" s="2760"/>
      <c r="D50" s="2760"/>
      <c r="E50" s="2760"/>
      <c r="F50" s="2760"/>
      <c r="G50" s="2760"/>
      <c r="H50" s="2760"/>
      <c r="I50" s="2760"/>
      <c r="J50" s="2760"/>
      <c r="K50" s="2760"/>
      <c r="L50" s="2760"/>
      <c r="M50" s="2760"/>
      <c r="N50" s="2760"/>
      <c r="O50" s="2760"/>
      <c r="P50" s="2760"/>
      <c r="Q50" s="2760"/>
      <c r="R50" s="2789"/>
      <c r="S50" s="2789"/>
      <c r="T50" s="2789"/>
      <c r="U50" s="2789"/>
      <c r="V50" s="2789"/>
      <c r="W50" s="2789"/>
      <c r="X50" s="2789"/>
      <c r="Y50" s="2789"/>
      <c r="Z50" s="2789"/>
      <c r="AA50" s="2789"/>
      <c r="AB50" s="2789"/>
      <c r="AC50" s="2760"/>
      <c r="AD50" s="2760"/>
      <c r="AE50" s="2760"/>
      <c r="AF50" s="2760"/>
      <c r="AG50" s="2760"/>
      <c r="AH50" s="2760"/>
      <c r="AI50" s="2760"/>
      <c r="AJ50" s="2760"/>
      <c r="AK50" s="2760"/>
      <c r="AL50" s="2760"/>
      <c r="AM50" s="2789"/>
      <c r="AN50" s="2789"/>
      <c r="AO50" s="2789"/>
      <c r="AP50" s="2789"/>
      <c r="AQ50" s="2789"/>
      <c r="AR50" s="2789"/>
      <c r="AS50" s="2789"/>
      <c r="AT50" s="2789"/>
      <c r="AU50" s="2789"/>
      <c r="AV50" s="2789"/>
      <c r="AW50" s="2789"/>
      <c r="AX50" s="2760"/>
      <c r="AY50" s="2760"/>
      <c r="AZ50" s="2760"/>
      <c r="BA50" s="2760"/>
      <c r="BB50" s="2760"/>
      <c r="BC50" s="2760"/>
      <c r="BD50" s="2760"/>
      <c r="BE50" s="2760"/>
      <c r="BF50" s="2760"/>
      <c r="BG50" s="2760"/>
      <c r="BH50" s="2760"/>
      <c r="BI50" s="2760"/>
      <c r="BJ50" s="2760"/>
      <c r="BK50" s="2760"/>
      <c r="BL50" s="2761"/>
      <c r="BM50" s="2761"/>
      <c r="BN50" s="2761"/>
      <c r="BO50" s="2761"/>
      <c r="BP50" s="2761"/>
      <c r="BQ50" s="2761"/>
      <c r="BR50" s="2761"/>
      <c r="BS50" s="2761"/>
      <c r="BT50" s="2761"/>
      <c r="BU50" s="2761"/>
      <c r="BV50" s="2761"/>
      <c r="BW50" s="2760"/>
      <c r="BX50" s="2760"/>
      <c r="BY50" s="2760"/>
      <c r="BZ50" s="2760"/>
      <c r="CA50" s="6"/>
      <c r="CB50" s="6"/>
      <c r="CC50" s="6"/>
      <c r="CD50" s="6"/>
      <c r="CE50" s="6"/>
      <c r="CF50" s="6"/>
      <c r="CG50" s="6"/>
      <c r="CH50" s="6"/>
    </row>
    <row r="51" spans="1:86" s="35" customFormat="1" ht="13.5" customHeight="1">
      <c r="A51" s="2760"/>
      <c r="B51" s="2760"/>
      <c r="C51" s="2760"/>
      <c r="D51" s="2760"/>
      <c r="E51" s="2760"/>
      <c r="F51" s="2760"/>
      <c r="G51" s="2760"/>
      <c r="H51" s="2760"/>
      <c r="I51" s="2760"/>
      <c r="J51" s="2760"/>
      <c r="K51" s="2760"/>
      <c r="L51" s="2760"/>
      <c r="M51" s="2760"/>
      <c r="N51" s="2760"/>
      <c r="O51" s="2760"/>
      <c r="P51" s="2760"/>
      <c r="Q51" s="2760"/>
      <c r="R51" s="2789"/>
      <c r="S51" s="2789"/>
      <c r="T51" s="2789"/>
      <c r="U51" s="2789"/>
      <c r="V51" s="2789"/>
      <c r="W51" s="2789"/>
      <c r="X51" s="2789"/>
      <c r="Y51" s="2789"/>
      <c r="Z51" s="2789"/>
      <c r="AA51" s="2789"/>
      <c r="AB51" s="2789"/>
      <c r="AC51" s="2760"/>
      <c r="AD51" s="2760"/>
      <c r="AE51" s="2760"/>
      <c r="AF51" s="2760"/>
      <c r="AG51" s="2760"/>
      <c r="AH51" s="2760"/>
      <c r="AI51" s="2760"/>
      <c r="AJ51" s="2760"/>
      <c r="AK51" s="2760"/>
      <c r="AL51" s="2760"/>
      <c r="AM51" s="2789"/>
      <c r="AN51" s="2789"/>
      <c r="AO51" s="2789"/>
      <c r="AP51" s="2789"/>
      <c r="AQ51" s="2789"/>
      <c r="AR51" s="2789"/>
      <c r="AS51" s="2789"/>
      <c r="AT51" s="2789"/>
      <c r="AU51" s="2789"/>
      <c r="AV51" s="2789"/>
      <c r="AW51" s="2789"/>
      <c r="AX51" s="2760"/>
      <c r="AY51" s="2760"/>
      <c r="AZ51" s="2760"/>
      <c r="BA51" s="2760"/>
      <c r="BB51" s="2760"/>
      <c r="BC51" s="2760"/>
      <c r="BD51" s="2760"/>
      <c r="BE51" s="2760"/>
      <c r="BF51" s="2760"/>
      <c r="BG51" s="2760"/>
      <c r="BH51" s="2760"/>
      <c r="BI51" s="2760"/>
      <c r="BJ51" s="2760"/>
      <c r="BK51" s="2760"/>
      <c r="BL51" s="2761"/>
      <c r="BM51" s="2761"/>
      <c r="BN51" s="2761"/>
      <c r="BO51" s="2761"/>
      <c r="BP51" s="2761"/>
      <c r="BQ51" s="2761"/>
      <c r="BR51" s="2761"/>
      <c r="BS51" s="2761"/>
      <c r="BT51" s="2761"/>
      <c r="BU51" s="2761"/>
      <c r="BV51" s="2761"/>
      <c r="BW51" s="2760"/>
      <c r="BX51" s="2760"/>
      <c r="BY51" s="2760"/>
      <c r="BZ51" s="2760"/>
      <c r="CA51" s="6"/>
      <c r="CB51" s="6"/>
      <c r="CC51" s="6"/>
      <c r="CD51" s="6"/>
      <c r="CE51" s="6"/>
      <c r="CF51" s="6"/>
      <c r="CG51" s="6"/>
      <c r="CH51" s="6"/>
    </row>
    <row r="52" spans="1:86" s="35" customFormat="1" ht="13.5" customHeight="1">
      <c r="A52" s="2760"/>
      <c r="B52" s="2760"/>
      <c r="C52" s="2760"/>
      <c r="D52" s="2760"/>
      <c r="E52" s="2760"/>
      <c r="F52" s="2760"/>
      <c r="G52" s="2760"/>
      <c r="H52" s="2760"/>
      <c r="I52" s="2760"/>
      <c r="J52" s="2760"/>
      <c r="K52" s="2760"/>
      <c r="L52" s="2760"/>
      <c r="M52" s="2760"/>
      <c r="N52" s="2760"/>
      <c r="O52" s="2760"/>
      <c r="P52" s="2760"/>
      <c r="Q52" s="2760"/>
      <c r="R52" s="2789"/>
      <c r="S52" s="2789"/>
      <c r="T52" s="2789"/>
      <c r="U52" s="2789"/>
      <c r="V52" s="2789"/>
      <c r="W52" s="2789"/>
      <c r="X52" s="2789"/>
      <c r="Y52" s="2789"/>
      <c r="Z52" s="2789"/>
      <c r="AA52" s="2789"/>
      <c r="AB52" s="2789"/>
      <c r="AC52" s="2760"/>
      <c r="AD52" s="2760"/>
      <c r="AE52" s="2760"/>
      <c r="AF52" s="2760"/>
      <c r="AG52" s="2760"/>
      <c r="AH52" s="2760"/>
      <c r="AI52" s="2760"/>
      <c r="AJ52" s="2760"/>
      <c r="AK52" s="2760"/>
      <c r="AL52" s="2760"/>
      <c r="AM52" s="2789"/>
      <c r="AN52" s="2789"/>
      <c r="AO52" s="2789"/>
      <c r="AP52" s="2789"/>
      <c r="AQ52" s="2789"/>
      <c r="AR52" s="2789"/>
      <c r="AS52" s="2789"/>
      <c r="AT52" s="2789"/>
      <c r="AU52" s="2789"/>
      <c r="AV52" s="2789"/>
      <c r="AW52" s="2789"/>
      <c r="AX52" s="2760"/>
      <c r="AY52" s="2760"/>
      <c r="AZ52" s="2760"/>
      <c r="BA52" s="2760"/>
      <c r="BB52" s="2760"/>
      <c r="BC52" s="2760"/>
      <c r="BD52" s="2760"/>
      <c r="BE52" s="2760"/>
      <c r="BF52" s="2760"/>
      <c r="BG52" s="2760"/>
      <c r="BH52" s="2760"/>
      <c r="BI52" s="2760"/>
      <c r="BJ52" s="2760"/>
      <c r="BK52" s="2760"/>
      <c r="BL52" s="2761"/>
      <c r="BM52" s="2761"/>
      <c r="BN52" s="2761"/>
      <c r="BO52" s="2761"/>
      <c r="BP52" s="2761"/>
      <c r="BQ52" s="2761"/>
      <c r="BR52" s="2761"/>
      <c r="BS52" s="2761"/>
      <c r="BT52" s="2761"/>
      <c r="BU52" s="2761"/>
      <c r="BV52" s="2761"/>
      <c r="BW52" s="2760"/>
      <c r="BX52" s="2760"/>
      <c r="BY52" s="2760"/>
      <c r="BZ52" s="2760"/>
      <c r="CA52" s="6"/>
      <c r="CB52" s="6"/>
      <c r="CC52" s="6"/>
      <c r="CD52" s="6"/>
      <c r="CE52" s="6"/>
      <c r="CF52" s="6"/>
      <c r="CG52" s="6"/>
      <c r="CH52" s="6"/>
    </row>
    <row r="53" spans="1:86" s="35" customFormat="1" ht="13.5" customHeight="1">
      <c r="A53" s="2760"/>
      <c r="B53" s="2760"/>
      <c r="C53" s="2760"/>
      <c r="D53" s="2760"/>
      <c r="E53" s="2760"/>
      <c r="F53" s="2760"/>
      <c r="G53" s="2760"/>
      <c r="H53" s="2760"/>
      <c r="I53" s="2760"/>
      <c r="J53" s="2760"/>
      <c r="K53" s="2760"/>
      <c r="L53" s="2760"/>
      <c r="M53" s="2760"/>
      <c r="N53" s="2760"/>
      <c r="O53" s="2760"/>
      <c r="P53" s="2760"/>
      <c r="Q53" s="2760"/>
      <c r="R53" s="2789"/>
      <c r="S53" s="2789"/>
      <c r="T53" s="2789"/>
      <c r="U53" s="2789"/>
      <c r="V53" s="2789"/>
      <c r="W53" s="2789"/>
      <c r="X53" s="2789"/>
      <c r="Y53" s="2789"/>
      <c r="Z53" s="2789"/>
      <c r="AA53" s="2789"/>
      <c r="AB53" s="2789"/>
      <c r="AC53" s="2760"/>
      <c r="AD53" s="2760"/>
      <c r="AE53" s="2760"/>
      <c r="AF53" s="2760"/>
      <c r="AG53" s="2760"/>
      <c r="AH53" s="2760"/>
      <c r="AI53" s="2760"/>
      <c r="AJ53" s="2760"/>
      <c r="AK53" s="2760"/>
      <c r="AL53" s="2760"/>
      <c r="AM53" s="2789"/>
      <c r="AN53" s="2789"/>
      <c r="AO53" s="2789"/>
      <c r="AP53" s="2789"/>
      <c r="AQ53" s="2789"/>
      <c r="AR53" s="2789"/>
      <c r="AS53" s="2789"/>
      <c r="AT53" s="2789"/>
      <c r="AU53" s="2789"/>
      <c r="AV53" s="2789"/>
      <c r="AW53" s="2789"/>
      <c r="AX53" s="2760"/>
      <c r="AY53" s="2760"/>
      <c r="AZ53" s="2760"/>
      <c r="BA53" s="2760"/>
      <c r="BB53" s="2760"/>
      <c r="BC53" s="2760"/>
      <c r="BD53" s="2760"/>
      <c r="BE53" s="2760"/>
      <c r="BF53" s="2760"/>
      <c r="BG53" s="2760"/>
      <c r="BH53" s="2760"/>
      <c r="BI53" s="2760"/>
      <c r="BJ53" s="2760"/>
      <c r="BK53" s="2760"/>
      <c r="BL53" s="2761"/>
      <c r="BM53" s="2761"/>
      <c r="BN53" s="2761"/>
      <c r="BO53" s="2761"/>
      <c r="BP53" s="2761"/>
      <c r="BQ53" s="2761"/>
      <c r="BR53" s="2761"/>
      <c r="BS53" s="2761"/>
      <c r="BT53" s="2761"/>
      <c r="BU53" s="2761"/>
      <c r="BV53" s="2761"/>
      <c r="BW53" s="2760"/>
      <c r="BX53" s="2760"/>
      <c r="BY53" s="2760"/>
      <c r="BZ53" s="2760"/>
      <c r="CA53" s="6"/>
      <c r="CB53" s="6"/>
      <c r="CC53" s="6"/>
      <c r="CD53" s="6"/>
      <c r="CE53" s="6"/>
      <c r="CF53" s="6"/>
      <c r="CG53" s="6"/>
      <c r="CH53" s="6"/>
    </row>
    <row r="54" spans="1:86" s="35" customFormat="1" ht="13.5" customHeight="1">
      <c r="A54" s="2760"/>
      <c r="B54" s="2760"/>
      <c r="C54" s="2760"/>
      <c r="D54" s="2760"/>
      <c r="E54" s="2760"/>
      <c r="F54" s="2760"/>
      <c r="G54" s="2760"/>
      <c r="H54" s="2760"/>
      <c r="I54" s="2760"/>
      <c r="J54" s="2760"/>
      <c r="K54" s="2760"/>
      <c r="L54" s="2760"/>
      <c r="M54" s="2760"/>
      <c r="N54" s="2760"/>
      <c r="O54" s="2760"/>
      <c r="P54" s="2760"/>
      <c r="Q54" s="2760"/>
      <c r="R54" s="2789"/>
      <c r="S54" s="2789"/>
      <c r="T54" s="2789"/>
      <c r="U54" s="2789"/>
      <c r="V54" s="2789"/>
      <c r="W54" s="2789"/>
      <c r="X54" s="2789"/>
      <c r="Y54" s="2789"/>
      <c r="Z54" s="2789"/>
      <c r="AA54" s="2789"/>
      <c r="AB54" s="2789"/>
      <c r="AC54" s="2760"/>
      <c r="AD54" s="2760"/>
      <c r="AE54" s="2760"/>
      <c r="AF54" s="2760"/>
      <c r="AG54" s="2760"/>
      <c r="AH54" s="2760"/>
      <c r="AI54" s="2760"/>
      <c r="AJ54" s="2760"/>
      <c r="AK54" s="2760"/>
      <c r="AL54" s="2760"/>
      <c r="AM54" s="2789"/>
      <c r="AN54" s="2789"/>
      <c r="AO54" s="2789"/>
      <c r="AP54" s="2789"/>
      <c r="AQ54" s="2789"/>
      <c r="AR54" s="2789"/>
      <c r="AS54" s="2789"/>
      <c r="AT54" s="2789"/>
      <c r="AU54" s="2789"/>
      <c r="AV54" s="2789"/>
      <c r="AW54" s="2789"/>
      <c r="AX54" s="2760"/>
      <c r="AY54" s="2760"/>
      <c r="AZ54" s="2760"/>
      <c r="BA54" s="2760"/>
      <c r="BB54" s="2760"/>
      <c r="BC54" s="2760"/>
      <c r="BD54" s="2760"/>
      <c r="BE54" s="2760"/>
      <c r="BF54" s="2760"/>
      <c r="BG54" s="2760"/>
      <c r="BH54" s="2760"/>
      <c r="BI54" s="2760"/>
      <c r="BJ54" s="2760"/>
      <c r="BK54" s="2760"/>
      <c r="BL54" s="2761"/>
      <c r="BM54" s="2761"/>
      <c r="BN54" s="2761"/>
      <c r="BO54" s="2761"/>
      <c r="BP54" s="2761"/>
      <c r="BQ54" s="2761"/>
      <c r="BR54" s="2761"/>
      <c r="BS54" s="2761"/>
      <c r="BT54" s="2761"/>
      <c r="BU54" s="2761"/>
      <c r="BV54" s="2761"/>
      <c r="BW54" s="2760"/>
      <c r="BX54" s="2760"/>
      <c r="BY54" s="2760"/>
      <c r="BZ54" s="2760"/>
      <c r="CA54" s="6"/>
      <c r="CB54" s="6"/>
      <c r="CC54" s="6"/>
      <c r="CD54" s="6"/>
      <c r="CE54" s="6"/>
      <c r="CF54" s="6"/>
      <c r="CG54" s="6"/>
      <c r="CH54" s="6"/>
    </row>
    <row r="55" spans="1:86" s="35" customFormat="1" ht="13.5" customHeight="1">
      <c r="A55" s="2760"/>
      <c r="B55" s="2760"/>
      <c r="C55" s="2760"/>
      <c r="D55" s="2760"/>
      <c r="E55" s="2760"/>
      <c r="F55" s="2760"/>
      <c r="G55" s="2760"/>
      <c r="H55" s="2760"/>
      <c r="I55" s="2760"/>
      <c r="J55" s="2760"/>
      <c r="K55" s="2760"/>
      <c r="L55" s="2760"/>
      <c r="M55" s="2760"/>
      <c r="N55" s="2760"/>
      <c r="O55" s="2760"/>
      <c r="P55" s="2760"/>
      <c r="Q55" s="2760"/>
      <c r="R55" s="2789"/>
      <c r="S55" s="2789"/>
      <c r="T55" s="2789"/>
      <c r="U55" s="2789"/>
      <c r="V55" s="2789"/>
      <c r="W55" s="2789"/>
      <c r="X55" s="2789"/>
      <c r="Y55" s="2789"/>
      <c r="Z55" s="2789"/>
      <c r="AA55" s="2789"/>
      <c r="AB55" s="2789"/>
      <c r="AC55" s="2760"/>
      <c r="AD55" s="2760"/>
      <c r="AE55" s="2760"/>
      <c r="AF55" s="2760"/>
      <c r="AG55" s="2760"/>
      <c r="AH55" s="2760"/>
      <c r="AI55" s="2760"/>
      <c r="AJ55" s="2760"/>
      <c r="AK55" s="2760"/>
      <c r="AL55" s="2760"/>
      <c r="AM55" s="2789"/>
      <c r="AN55" s="2789"/>
      <c r="AO55" s="2789"/>
      <c r="AP55" s="2789"/>
      <c r="AQ55" s="2789"/>
      <c r="AR55" s="2789"/>
      <c r="AS55" s="2789"/>
      <c r="AT55" s="2789"/>
      <c r="AU55" s="2789"/>
      <c r="AV55" s="2789"/>
      <c r="AW55" s="2789"/>
      <c r="AX55" s="2760"/>
      <c r="AY55" s="2760"/>
      <c r="AZ55" s="2760"/>
      <c r="BA55" s="2760"/>
      <c r="BB55" s="2760"/>
      <c r="BC55" s="2760"/>
      <c r="BD55" s="2760"/>
      <c r="BE55" s="2760"/>
      <c r="BF55" s="2760"/>
      <c r="BG55" s="2760"/>
      <c r="BH55" s="2760"/>
      <c r="BI55" s="2760"/>
      <c r="BJ55" s="2760"/>
      <c r="BK55" s="2760"/>
      <c r="BL55" s="2761"/>
      <c r="BM55" s="2761"/>
      <c r="BN55" s="2761"/>
      <c r="BO55" s="2761"/>
      <c r="BP55" s="2761"/>
      <c r="BQ55" s="2761"/>
      <c r="BR55" s="2761"/>
      <c r="BS55" s="2761"/>
      <c r="BT55" s="2761"/>
      <c r="BU55" s="2761"/>
      <c r="BV55" s="2761"/>
      <c r="BW55" s="2760"/>
      <c r="BX55" s="2760"/>
      <c r="BY55" s="2760"/>
      <c r="BZ55" s="2760"/>
      <c r="CA55" s="6"/>
      <c r="CB55" s="6"/>
      <c r="CC55" s="6"/>
      <c r="CD55" s="6"/>
      <c r="CE55" s="6"/>
      <c r="CF55" s="6"/>
      <c r="CG55" s="6"/>
      <c r="CH55" s="6"/>
    </row>
    <row r="56" spans="1:86" s="35" customFormat="1" ht="13.5" customHeight="1">
      <c r="A56" s="2760"/>
      <c r="B56" s="2760"/>
      <c r="C56" s="2760"/>
      <c r="D56" s="2760"/>
      <c r="E56" s="2760"/>
      <c r="F56" s="2760"/>
      <c r="G56" s="2760"/>
      <c r="H56" s="2760"/>
      <c r="I56" s="2760"/>
      <c r="J56" s="2760"/>
      <c r="K56" s="2760"/>
      <c r="L56" s="2760"/>
      <c r="M56" s="2760"/>
      <c r="N56" s="2760"/>
      <c r="O56" s="2760"/>
      <c r="P56" s="2760"/>
      <c r="Q56" s="2760"/>
      <c r="R56" s="2790"/>
      <c r="S56" s="2790"/>
      <c r="T56" s="2790"/>
      <c r="U56" s="2790"/>
      <c r="V56" s="2790"/>
      <c r="W56" s="2790"/>
      <c r="X56" s="2790"/>
      <c r="Y56" s="2790"/>
      <c r="Z56" s="2790"/>
      <c r="AA56" s="2790"/>
      <c r="AB56" s="2790"/>
      <c r="AC56" s="2760"/>
      <c r="AD56" s="2760"/>
      <c r="AE56" s="2760"/>
      <c r="AF56" s="2760"/>
      <c r="AG56" s="2760"/>
      <c r="AH56" s="2760"/>
      <c r="AI56" s="2760"/>
      <c r="AJ56" s="2760"/>
      <c r="AK56" s="2760"/>
      <c r="AL56" s="2760"/>
      <c r="AM56" s="2790"/>
      <c r="AN56" s="2790"/>
      <c r="AO56" s="2790"/>
      <c r="AP56" s="2790"/>
      <c r="AQ56" s="2790"/>
      <c r="AR56" s="2790"/>
      <c r="AS56" s="2790"/>
      <c r="AT56" s="2790"/>
      <c r="AU56" s="2790"/>
      <c r="AV56" s="2790"/>
      <c r="AW56" s="2790"/>
      <c r="AX56" s="2760"/>
      <c r="AY56" s="2760"/>
      <c r="AZ56" s="2760"/>
      <c r="BA56" s="2760"/>
      <c r="BB56" s="2760"/>
      <c r="BC56" s="2760"/>
      <c r="BD56" s="2760"/>
      <c r="BE56" s="2760"/>
      <c r="BF56" s="2760"/>
      <c r="BG56" s="2760"/>
      <c r="BH56" s="2760"/>
      <c r="BI56" s="2760"/>
      <c r="BJ56" s="2760"/>
      <c r="BK56" s="2760"/>
      <c r="BL56" s="2762"/>
      <c r="BM56" s="2762"/>
      <c r="BN56" s="2762"/>
      <c r="BO56" s="2762"/>
      <c r="BP56" s="2762"/>
      <c r="BQ56" s="2762"/>
      <c r="BR56" s="2762"/>
      <c r="BS56" s="2762"/>
      <c r="BT56" s="2762"/>
      <c r="BU56" s="2762"/>
      <c r="BV56" s="2762"/>
      <c r="BW56" s="2760"/>
      <c r="BX56" s="2760"/>
      <c r="BY56" s="2760"/>
      <c r="BZ56" s="2760"/>
    </row>
    <row r="57" spans="1:86" s="35" customFormat="1" ht="13.5" customHeight="1">
      <c r="A57" s="2763" t="s">
        <v>2978</v>
      </c>
      <c r="B57" s="2764"/>
      <c r="C57" s="2764"/>
      <c r="D57" s="2764"/>
      <c r="E57" s="2764"/>
      <c r="F57" s="2764"/>
      <c r="G57" s="2764"/>
      <c r="H57" s="2764"/>
      <c r="I57" s="2764"/>
      <c r="J57" s="2764"/>
      <c r="K57" s="2764"/>
      <c r="L57" s="2764"/>
      <c r="M57" s="2764"/>
      <c r="N57" s="2764"/>
      <c r="O57" s="2764"/>
      <c r="P57" s="2764"/>
      <c r="Q57" s="2764"/>
      <c r="R57" s="2765" t="str">
        <f>CONCATENATE('01 使用承認申請書'!D4)</f>
        <v/>
      </c>
      <c r="S57" s="2765"/>
      <c r="T57" s="2765"/>
      <c r="U57" s="2765"/>
      <c r="V57" s="2765"/>
      <c r="W57" s="2765"/>
      <c r="X57" s="2765"/>
      <c r="Y57" s="2765"/>
      <c r="Z57" s="2765"/>
      <c r="AA57" s="2765"/>
      <c r="AB57" s="2765"/>
      <c r="AC57" s="2765"/>
      <c r="AD57" s="2765"/>
      <c r="AE57" s="2765"/>
      <c r="AF57" s="2765"/>
      <c r="AG57" s="2765"/>
      <c r="AH57" s="2765"/>
      <c r="AI57" s="2765"/>
      <c r="AJ57" s="2765"/>
      <c r="AK57" s="2765"/>
      <c r="AL57" s="2765"/>
      <c r="AM57" s="2765"/>
      <c r="AN57" s="2765"/>
      <c r="AO57" s="2765"/>
      <c r="AP57" s="2765"/>
      <c r="AQ57" s="2765"/>
      <c r="AR57" s="2765"/>
      <c r="AS57" s="2765"/>
      <c r="AT57" s="2765"/>
      <c r="AU57" s="2765"/>
      <c r="AV57" s="2765"/>
      <c r="AW57" s="2765"/>
      <c r="AX57" s="2765"/>
      <c r="AY57" s="2765"/>
      <c r="AZ57" s="2765"/>
      <c r="BA57" s="2765"/>
      <c r="BB57" s="2765"/>
      <c r="BC57" s="2765"/>
      <c r="BD57" s="2765"/>
      <c r="BE57" s="2765"/>
      <c r="BF57" s="2765"/>
      <c r="BG57" s="2765"/>
      <c r="BH57" s="2765"/>
      <c r="BI57" s="2765"/>
      <c r="BJ57" s="2765"/>
      <c r="BK57" s="2765"/>
      <c r="BL57" s="2765"/>
      <c r="BM57" s="2765"/>
      <c r="BN57" s="2765"/>
      <c r="BO57" s="2765"/>
      <c r="BP57" s="2765"/>
      <c r="BQ57" s="2765"/>
      <c r="BR57" s="2765"/>
      <c r="BS57" s="2765"/>
      <c r="BT57" s="2765"/>
      <c r="BU57" s="2765"/>
      <c r="BV57" s="2765"/>
      <c r="BW57" s="2765"/>
      <c r="BX57" s="2765"/>
      <c r="BY57" s="2765"/>
      <c r="BZ57" s="2765"/>
      <c r="CA57" s="6"/>
      <c r="CB57" s="6"/>
      <c r="CC57" s="6"/>
      <c r="CD57" s="6"/>
      <c r="CE57" s="6"/>
      <c r="CF57" s="6"/>
      <c r="CG57" s="6"/>
      <c r="CH57" s="6"/>
    </row>
    <row r="58" spans="1:86" s="35" customFormat="1" ht="13.5" customHeight="1">
      <c r="A58" s="2764"/>
      <c r="B58" s="2764"/>
      <c r="C58" s="2764"/>
      <c r="D58" s="2764"/>
      <c r="E58" s="2764"/>
      <c r="F58" s="2764"/>
      <c r="G58" s="2764"/>
      <c r="H58" s="2764"/>
      <c r="I58" s="2764"/>
      <c r="J58" s="2764"/>
      <c r="K58" s="2764"/>
      <c r="L58" s="2764"/>
      <c r="M58" s="2764"/>
      <c r="N58" s="2764"/>
      <c r="O58" s="2764"/>
      <c r="P58" s="2764"/>
      <c r="Q58" s="2764"/>
      <c r="R58" s="2765"/>
      <c r="S58" s="2765"/>
      <c r="T58" s="2765"/>
      <c r="U58" s="2765"/>
      <c r="V58" s="2765"/>
      <c r="W58" s="2765"/>
      <c r="X58" s="2765"/>
      <c r="Y58" s="2765"/>
      <c r="Z58" s="2765"/>
      <c r="AA58" s="2765"/>
      <c r="AB58" s="2765"/>
      <c r="AC58" s="2765"/>
      <c r="AD58" s="2765"/>
      <c r="AE58" s="2765"/>
      <c r="AF58" s="2765"/>
      <c r="AG58" s="2765"/>
      <c r="AH58" s="2765"/>
      <c r="AI58" s="2765"/>
      <c r="AJ58" s="2765"/>
      <c r="AK58" s="2765"/>
      <c r="AL58" s="2765"/>
      <c r="AM58" s="2765"/>
      <c r="AN58" s="2765"/>
      <c r="AO58" s="2765"/>
      <c r="AP58" s="2765"/>
      <c r="AQ58" s="2765"/>
      <c r="AR58" s="2765"/>
      <c r="AS58" s="2765"/>
      <c r="AT58" s="2765"/>
      <c r="AU58" s="2765"/>
      <c r="AV58" s="2765"/>
      <c r="AW58" s="2765"/>
      <c r="AX58" s="2765"/>
      <c r="AY58" s="2765"/>
      <c r="AZ58" s="2765"/>
      <c r="BA58" s="2765"/>
      <c r="BB58" s="2765"/>
      <c r="BC58" s="2765"/>
      <c r="BD58" s="2765"/>
      <c r="BE58" s="2765"/>
      <c r="BF58" s="2765"/>
      <c r="BG58" s="2765"/>
      <c r="BH58" s="2765"/>
      <c r="BI58" s="2765"/>
      <c r="BJ58" s="2765"/>
      <c r="BK58" s="2765"/>
      <c r="BL58" s="2765"/>
      <c r="BM58" s="2765"/>
      <c r="BN58" s="2765"/>
      <c r="BO58" s="2765"/>
      <c r="BP58" s="2765"/>
      <c r="BQ58" s="2765"/>
      <c r="BR58" s="2765"/>
      <c r="BS58" s="2765"/>
      <c r="BT58" s="2765"/>
      <c r="BU58" s="2765"/>
      <c r="BV58" s="2765"/>
      <c r="BW58" s="2765"/>
      <c r="BX58" s="2765"/>
      <c r="BY58" s="2765"/>
      <c r="BZ58" s="2765"/>
      <c r="CA58" s="6"/>
      <c r="CB58" s="6"/>
      <c r="CC58" s="6"/>
      <c r="CD58" s="6"/>
      <c r="CE58" s="6"/>
      <c r="CF58" s="6"/>
      <c r="CG58" s="6"/>
      <c r="CH58" s="6"/>
    </row>
    <row r="59" spans="1:86" s="35" customFormat="1" ht="13.5" customHeight="1">
      <c r="A59" s="2764"/>
      <c r="B59" s="2764"/>
      <c r="C59" s="2764"/>
      <c r="D59" s="2764"/>
      <c r="E59" s="2764"/>
      <c r="F59" s="2764"/>
      <c r="G59" s="2764"/>
      <c r="H59" s="2764"/>
      <c r="I59" s="2764"/>
      <c r="J59" s="2764"/>
      <c r="K59" s="2764"/>
      <c r="L59" s="2764"/>
      <c r="M59" s="2764"/>
      <c r="N59" s="2764"/>
      <c r="O59" s="2764"/>
      <c r="P59" s="2764"/>
      <c r="Q59" s="2764"/>
      <c r="R59" s="2765"/>
      <c r="S59" s="2765"/>
      <c r="T59" s="2765"/>
      <c r="U59" s="2765"/>
      <c r="V59" s="2765"/>
      <c r="W59" s="2765"/>
      <c r="X59" s="2765"/>
      <c r="Y59" s="2765"/>
      <c r="Z59" s="2765"/>
      <c r="AA59" s="2765"/>
      <c r="AB59" s="2765"/>
      <c r="AC59" s="2765"/>
      <c r="AD59" s="2765"/>
      <c r="AE59" s="2765"/>
      <c r="AF59" s="2765"/>
      <c r="AG59" s="2765"/>
      <c r="AH59" s="2765"/>
      <c r="AI59" s="2765"/>
      <c r="AJ59" s="2765"/>
      <c r="AK59" s="2765"/>
      <c r="AL59" s="2765"/>
      <c r="AM59" s="2765"/>
      <c r="AN59" s="2765"/>
      <c r="AO59" s="2765"/>
      <c r="AP59" s="2765"/>
      <c r="AQ59" s="2765"/>
      <c r="AR59" s="2765"/>
      <c r="AS59" s="2765"/>
      <c r="AT59" s="2765"/>
      <c r="AU59" s="2765"/>
      <c r="AV59" s="2765"/>
      <c r="AW59" s="2765"/>
      <c r="AX59" s="2765"/>
      <c r="AY59" s="2765"/>
      <c r="AZ59" s="2765"/>
      <c r="BA59" s="2765"/>
      <c r="BB59" s="2765"/>
      <c r="BC59" s="2765"/>
      <c r="BD59" s="2765"/>
      <c r="BE59" s="2765"/>
      <c r="BF59" s="2765"/>
      <c r="BG59" s="2765"/>
      <c r="BH59" s="2765"/>
      <c r="BI59" s="2765"/>
      <c r="BJ59" s="2765"/>
      <c r="BK59" s="2765"/>
      <c r="BL59" s="2765"/>
      <c r="BM59" s="2765"/>
      <c r="BN59" s="2765"/>
      <c r="BO59" s="2765"/>
      <c r="BP59" s="2765"/>
      <c r="BQ59" s="2765"/>
      <c r="BR59" s="2765"/>
      <c r="BS59" s="2765"/>
      <c r="BT59" s="2765"/>
      <c r="BU59" s="2765"/>
      <c r="BV59" s="2765"/>
      <c r="BW59" s="2765"/>
      <c r="BX59" s="2765"/>
      <c r="BY59" s="2765"/>
      <c r="BZ59" s="2765"/>
      <c r="CA59" s="6"/>
      <c r="CB59" s="6"/>
      <c r="CC59" s="6"/>
      <c r="CD59" s="6"/>
      <c r="CE59" s="6"/>
      <c r="CF59" s="6"/>
      <c r="CG59" s="6"/>
      <c r="CH59" s="6"/>
    </row>
    <row r="60" spans="1:86" s="35" customFormat="1" ht="13.5" customHeight="1">
      <c r="A60" s="2764"/>
      <c r="B60" s="2764"/>
      <c r="C60" s="2764"/>
      <c r="D60" s="2764"/>
      <c r="E60" s="2764"/>
      <c r="F60" s="2764"/>
      <c r="G60" s="2764"/>
      <c r="H60" s="2764"/>
      <c r="I60" s="2764"/>
      <c r="J60" s="2764"/>
      <c r="K60" s="2764"/>
      <c r="L60" s="2764"/>
      <c r="M60" s="2764"/>
      <c r="N60" s="2764"/>
      <c r="O60" s="2764"/>
      <c r="P60" s="2764"/>
      <c r="Q60" s="2764"/>
      <c r="R60" s="2765"/>
      <c r="S60" s="2765"/>
      <c r="T60" s="2765"/>
      <c r="U60" s="2765"/>
      <c r="V60" s="2765"/>
      <c r="W60" s="2765"/>
      <c r="X60" s="2765"/>
      <c r="Y60" s="2765"/>
      <c r="Z60" s="2765"/>
      <c r="AA60" s="2765"/>
      <c r="AB60" s="2765"/>
      <c r="AC60" s="2765"/>
      <c r="AD60" s="2765"/>
      <c r="AE60" s="2765"/>
      <c r="AF60" s="2765"/>
      <c r="AG60" s="2765"/>
      <c r="AH60" s="2765"/>
      <c r="AI60" s="2765"/>
      <c r="AJ60" s="2765"/>
      <c r="AK60" s="2765"/>
      <c r="AL60" s="2765"/>
      <c r="AM60" s="2765"/>
      <c r="AN60" s="2765"/>
      <c r="AO60" s="2765"/>
      <c r="AP60" s="2765"/>
      <c r="AQ60" s="2765"/>
      <c r="AR60" s="2765"/>
      <c r="AS60" s="2765"/>
      <c r="AT60" s="2765"/>
      <c r="AU60" s="2765"/>
      <c r="AV60" s="2765"/>
      <c r="AW60" s="2765"/>
      <c r="AX60" s="2765"/>
      <c r="AY60" s="2765"/>
      <c r="AZ60" s="2765"/>
      <c r="BA60" s="2765"/>
      <c r="BB60" s="2765"/>
      <c r="BC60" s="2765"/>
      <c r="BD60" s="2765"/>
      <c r="BE60" s="2765"/>
      <c r="BF60" s="2765"/>
      <c r="BG60" s="2765"/>
      <c r="BH60" s="2765"/>
      <c r="BI60" s="2765"/>
      <c r="BJ60" s="2765"/>
      <c r="BK60" s="2765"/>
      <c r="BL60" s="2765"/>
      <c r="BM60" s="2765"/>
      <c r="BN60" s="2765"/>
      <c r="BO60" s="2765"/>
      <c r="BP60" s="2765"/>
      <c r="BQ60" s="2765"/>
      <c r="BR60" s="2765"/>
      <c r="BS60" s="2765"/>
      <c r="BT60" s="2765"/>
      <c r="BU60" s="2765"/>
      <c r="BV60" s="2765"/>
      <c r="BW60" s="2765"/>
      <c r="BX60" s="2765"/>
      <c r="BY60" s="2765"/>
      <c r="BZ60" s="2765"/>
      <c r="CA60" s="6"/>
      <c r="CB60" s="6"/>
      <c r="CC60" s="6"/>
      <c r="CD60" s="6"/>
      <c r="CE60" s="6"/>
      <c r="CF60" s="6"/>
      <c r="CG60" s="6"/>
      <c r="CH60" s="6"/>
    </row>
    <row r="61" spans="1:86" s="35" customFormat="1" ht="13.5" customHeight="1">
      <c r="A61" s="2764"/>
      <c r="B61" s="2764"/>
      <c r="C61" s="2764"/>
      <c r="D61" s="2764"/>
      <c r="E61" s="2764"/>
      <c r="F61" s="2764"/>
      <c r="G61" s="2764"/>
      <c r="H61" s="2764"/>
      <c r="I61" s="2764"/>
      <c r="J61" s="2764"/>
      <c r="K61" s="2764"/>
      <c r="L61" s="2764"/>
      <c r="M61" s="2764"/>
      <c r="N61" s="2764"/>
      <c r="O61" s="2764"/>
      <c r="P61" s="2764"/>
      <c r="Q61" s="2764"/>
      <c r="R61" s="2765"/>
      <c r="S61" s="2765"/>
      <c r="T61" s="2765"/>
      <c r="U61" s="2765"/>
      <c r="V61" s="2765"/>
      <c r="W61" s="2765"/>
      <c r="X61" s="2765"/>
      <c r="Y61" s="2765"/>
      <c r="Z61" s="2765"/>
      <c r="AA61" s="2765"/>
      <c r="AB61" s="2765"/>
      <c r="AC61" s="2765"/>
      <c r="AD61" s="2765"/>
      <c r="AE61" s="2765"/>
      <c r="AF61" s="2765"/>
      <c r="AG61" s="2765"/>
      <c r="AH61" s="2765"/>
      <c r="AI61" s="2765"/>
      <c r="AJ61" s="2765"/>
      <c r="AK61" s="2765"/>
      <c r="AL61" s="2765"/>
      <c r="AM61" s="2765"/>
      <c r="AN61" s="2765"/>
      <c r="AO61" s="2765"/>
      <c r="AP61" s="2765"/>
      <c r="AQ61" s="2765"/>
      <c r="AR61" s="2765"/>
      <c r="AS61" s="2765"/>
      <c r="AT61" s="2765"/>
      <c r="AU61" s="2765"/>
      <c r="AV61" s="2765"/>
      <c r="AW61" s="2765"/>
      <c r="AX61" s="2765"/>
      <c r="AY61" s="2765"/>
      <c r="AZ61" s="2765"/>
      <c r="BA61" s="2765"/>
      <c r="BB61" s="2765"/>
      <c r="BC61" s="2765"/>
      <c r="BD61" s="2765"/>
      <c r="BE61" s="2765"/>
      <c r="BF61" s="2765"/>
      <c r="BG61" s="2765"/>
      <c r="BH61" s="2765"/>
      <c r="BI61" s="2765"/>
      <c r="BJ61" s="2765"/>
      <c r="BK61" s="2765"/>
      <c r="BL61" s="2765"/>
      <c r="BM61" s="2765"/>
      <c r="BN61" s="2765"/>
      <c r="BO61" s="2765"/>
      <c r="BP61" s="2765"/>
      <c r="BQ61" s="2765"/>
      <c r="BR61" s="2765"/>
      <c r="BS61" s="2765"/>
      <c r="BT61" s="2765"/>
      <c r="BU61" s="2765"/>
      <c r="BV61" s="2765"/>
      <c r="BW61" s="2765"/>
      <c r="BX61" s="2765"/>
      <c r="BY61" s="2765"/>
      <c r="BZ61" s="2765"/>
      <c r="CA61" s="6"/>
      <c r="CB61" s="6"/>
      <c r="CC61" s="6"/>
      <c r="CD61" s="6"/>
      <c r="CE61" s="6"/>
      <c r="CF61" s="6"/>
      <c r="CG61" s="6"/>
      <c r="CH61" s="6"/>
    </row>
    <row r="62" spans="1:86" s="35" customFormat="1" ht="13.5" customHeight="1">
      <c r="A62" s="2764"/>
      <c r="B62" s="2764"/>
      <c r="C62" s="2764"/>
      <c r="D62" s="2764"/>
      <c r="E62" s="2764"/>
      <c r="F62" s="2764"/>
      <c r="G62" s="2764"/>
      <c r="H62" s="2764"/>
      <c r="I62" s="2764"/>
      <c r="J62" s="2764"/>
      <c r="K62" s="2764"/>
      <c r="L62" s="2764"/>
      <c r="M62" s="2764"/>
      <c r="N62" s="2764"/>
      <c r="O62" s="2764"/>
      <c r="P62" s="2764"/>
      <c r="Q62" s="2764"/>
      <c r="R62" s="2765"/>
      <c r="S62" s="2765"/>
      <c r="T62" s="2765"/>
      <c r="U62" s="2765"/>
      <c r="V62" s="2765"/>
      <c r="W62" s="2765"/>
      <c r="X62" s="2765"/>
      <c r="Y62" s="2765"/>
      <c r="Z62" s="2765"/>
      <c r="AA62" s="2765"/>
      <c r="AB62" s="2765"/>
      <c r="AC62" s="2765"/>
      <c r="AD62" s="2765"/>
      <c r="AE62" s="2765"/>
      <c r="AF62" s="2765"/>
      <c r="AG62" s="2765"/>
      <c r="AH62" s="2765"/>
      <c r="AI62" s="2765"/>
      <c r="AJ62" s="2765"/>
      <c r="AK62" s="2765"/>
      <c r="AL62" s="2765"/>
      <c r="AM62" s="2765"/>
      <c r="AN62" s="2765"/>
      <c r="AO62" s="2765"/>
      <c r="AP62" s="2765"/>
      <c r="AQ62" s="2765"/>
      <c r="AR62" s="2765"/>
      <c r="AS62" s="2765"/>
      <c r="AT62" s="2765"/>
      <c r="AU62" s="2765"/>
      <c r="AV62" s="2765"/>
      <c r="AW62" s="2765"/>
      <c r="AX62" s="2765"/>
      <c r="AY62" s="2765"/>
      <c r="AZ62" s="2765"/>
      <c r="BA62" s="2765"/>
      <c r="BB62" s="2765"/>
      <c r="BC62" s="2765"/>
      <c r="BD62" s="2765"/>
      <c r="BE62" s="2765"/>
      <c r="BF62" s="2765"/>
      <c r="BG62" s="2765"/>
      <c r="BH62" s="2765"/>
      <c r="BI62" s="2765"/>
      <c r="BJ62" s="2765"/>
      <c r="BK62" s="2765"/>
      <c r="BL62" s="2765"/>
      <c r="BM62" s="2765"/>
      <c r="BN62" s="2765"/>
      <c r="BO62" s="2765"/>
      <c r="BP62" s="2765"/>
      <c r="BQ62" s="2765"/>
      <c r="BR62" s="2765"/>
      <c r="BS62" s="2765"/>
      <c r="BT62" s="2765"/>
      <c r="BU62" s="2765"/>
      <c r="BV62" s="2765"/>
      <c r="BW62" s="2765"/>
      <c r="BX62" s="2765"/>
      <c r="BY62" s="2765"/>
      <c r="BZ62" s="2765"/>
      <c r="CA62" s="6"/>
      <c r="CB62" s="6"/>
      <c r="CC62" s="6"/>
      <c r="CD62" s="6"/>
      <c r="CE62" s="6"/>
      <c r="CF62" s="6"/>
      <c r="CG62" s="6"/>
      <c r="CH62" s="6"/>
    </row>
    <row r="63" spans="1:86" s="35" customFormat="1" ht="13.5" customHeight="1">
      <c r="A63" s="2764"/>
      <c r="B63" s="2764"/>
      <c r="C63" s="2764"/>
      <c r="D63" s="2764"/>
      <c r="E63" s="2764"/>
      <c r="F63" s="2764"/>
      <c r="G63" s="2764"/>
      <c r="H63" s="2764"/>
      <c r="I63" s="2764"/>
      <c r="J63" s="2764"/>
      <c r="K63" s="2764"/>
      <c r="L63" s="2764"/>
      <c r="M63" s="2764"/>
      <c r="N63" s="2764"/>
      <c r="O63" s="2764"/>
      <c r="P63" s="2764"/>
      <c r="Q63" s="2764"/>
      <c r="R63" s="2765"/>
      <c r="S63" s="2765"/>
      <c r="T63" s="2765"/>
      <c r="U63" s="2765"/>
      <c r="V63" s="2765"/>
      <c r="W63" s="2765"/>
      <c r="X63" s="2765"/>
      <c r="Y63" s="2765"/>
      <c r="Z63" s="2765"/>
      <c r="AA63" s="2765"/>
      <c r="AB63" s="2765"/>
      <c r="AC63" s="2765"/>
      <c r="AD63" s="2765"/>
      <c r="AE63" s="2765"/>
      <c r="AF63" s="2765"/>
      <c r="AG63" s="2765"/>
      <c r="AH63" s="2765"/>
      <c r="AI63" s="2765"/>
      <c r="AJ63" s="2765"/>
      <c r="AK63" s="2765"/>
      <c r="AL63" s="2765"/>
      <c r="AM63" s="2765"/>
      <c r="AN63" s="2765"/>
      <c r="AO63" s="2765"/>
      <c r="AP63" s="2765"/>
      <c r="AQ63" s="2765"/>
      <c r="AR63" s="2765"/>
      <c r="AS63" s="2765"/>
      <c r="AT63" s="2765"/>
      <c r="AU63" s="2765"/>
      <c r="AV63" s="2765"/>
      <c r="AW63" s="2765"/>
      <c r="AX63" s="2765"/>
      <c r="AY63" s="2765"/>
      <c r="AZ63" s="2765"/>
      <c r="BA63" s="2765"/>
      <c r="BB63" s="2765"/>
      <c r="BC63" s="2765"/>
      <c r="BD63" s="2765"/>
      <c r="BE63" s="2765"/>
      <c r="BF63" s="2765"/>
      <c r="BG63" s="2765"/>
      <c r="BH63" s="2765"/>
      <c r="BI63" s="2765"/>
      <c r="BJ63" s="2765"/>
      <c r="BK63" s="2765"/>
      <c r="BL63" s="2765"/>
      <c r="BM63" s="2765"/>
      <c r="BN63" s="2765"/>
      <c r="BO63" s="2765"/>
      <c r="BP63" s="2765"/>
      <c r="BQ63" s="2765"/>
      <c r="BR63" s="2765"/>
      <c r="BS63" s="2765"/>
      <c r="BT63" s="2765"/>
      <c r="BU63" s="2765"/>
      <c r="BV63" s="2765"/>
      <c r="BW63" s="2765"/>
      <c r="BX63" s="2765"/>
      <c r="BY63" s="2765"/>
      <c r="BZ63" s="2765"/>
      <c r="CA63" s="6"/>
      <c r="CB63" s="6"/>
      <c r="CC63" s="6"/>
      <c r="CD63" s="6"/>
      <c r="CE63" s="6"/>
      <c r="CF63" s="6"/>
      <c r="CG63" s="6"/>
      <c r="CH63" s="6"/>
    </row>
    <row r="64" spans="1:86" s="36" customFormat="1" ht="13.5" customHeight="1">
      <c r="A64" s="2764"/>
      <c r="B64" s="2764"/>
      <c r="C64" s="2764"/>
      <c r="D64" s="2764"/>
      <c r="E64" s="2764"/>
      <c r="F64" s="2764"/>
      <c r="G64" s="2764"/>
      <c r="H64" s="2764"/>
      <c r="I64" s="2764"/>
      <c r="J64" s="2764"/>
      <c r="K64" s="2764"/>
      <c r="L64" s="2764"/>
      <c r="M64" s="2764"/>
      <c r="N64" s="2764"/>
      <c r="O64" s="2764"/>
      <c r="P64" s="2764"/>
      <c r="Q64" s="2764"/>
      <c r="R64" s="2766"/>
      <c r="S64" s="2766"/>
      <c r="T64" s="2766"/>
      <c r="U64" s="2766"/>
      <c r="V64" s="2766"/>
      <c r="W64" s="2766"/>
      <c r="X64" s="2766"/>
      <c r="Y64" s="2766"/>
      <c r="Z64" s="2766"/>
      <c r="AA64" s="2766"/>
      <c r="AB64" s="2766"/>
      <c r="AC64" s="2766"/>
      <c r="AD64" s="2766"/>
      <c r="AE64" s="2766"/>
      <c r="AF64" s="2766"/>
      <c r="AG64" s="2766"/>
      <c r="AH64" s="2766"/>
      <c r="AI64" s="2766"/>
      <c r="AJ64" s="2766"/>
      <c r="AK64" s="2766"/>
      <c r="AL64" s="2766"/>
      <c r="AM64" s="2766"/>
      <c r="AN64" s="2766"/>
      <c r="AO64" s="2766"/>
      <c r="AP64" s="2766"/>
      <c r="AQ64" s="2766"/>
      <c r="AR64" s="2766"/>
      <c r="AS64" s="2766"/>
      <c r="AT64" s="2766"/>
      <c r="AU64" s="2766"/>
      <c r="AV64" s="2766"/>
      <c r="AW64" s="2766"/>
      <c r="AX64" s="2766"/>
      <c r="AY64" s="2766"/>
      <c r="AZ64" s="2766"/>
      <c r="BA64" s="2766"/>
      <c r="BB64" s="2766"/>
      <c r="BC64" s="2766"/>
      <c r="BD64" s="2766"/>
      <c r="BE64" s="2766"/>
      <c r="BF64" s="2766"/>
      <c r="BG64" s="2766"/>
      <c r="BH64" s="2766"/>
      <c r="BI64" s="2766"/>
      <c r="BJ64" s="2766"/>
      <c r="BK64" s="2766"/>
      <c r="BL64" s="2766"/>
      <c r="BM64" s="2766"/>
      <c r="BN64" s="2766"/>
      <c r="BO64" s="2766"/>
      <c r="BP64" s="2766"/>
      <c r="BQ64" s="2766"/>
      <c r="BR64" s="2766"/>
      <c r="BS64" s="2766"/>
      <c r="BT64" s="2766"/>
      <c r="BU64" s="2766"/>
      <c r="BV64" s="2766"/>
      <c r="BW64" s="2766"/>
      <c r="BX64" s="2766"/>
      <c r="BY64" s="2766"/>
      <c r="BZ64" s="2766"/>
    </row>
    <row r="65" spans="1:86" s="36" customFormat="1" ht="13.5" customHeight="1" thickBot="1">
      <c r="A65" s="578"/>
      <c r="B65" s="578"/>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8"/>
      <c r="AL65" s="578"/>
      <c r="AM65" s="578"/>
      <c r="AN65" s="578"/>
      <c r="AO65" s="578"/>
      <c r="AP65" s="578"/>
      <c r="AQ65" s="578"/>
      <c r="AR65" s="578"/>
      <c r="AS65" s="578"/>
      <c r="AT65" s="578"/>
      <c r="AU65" s="578"/>
      <c r="AV65" s="578"/>
      <c r="AW65" s="578"/>
      <c r="AX65" s="2784" t="s">
        <v>277</v>
      </c>
      <c r="AY65" s="2784"/>
      <c r="AZ65" s="2784"/>
      <c r="BA65" s="2784"/>
      <c r="BB65" s="2784"/>
      <c r="BC65" s="2784"/>
      <c r="BD65" s="2784"/>
      <c r="BE65" s="2784"/>
      <c r="BF65" s="2784"/>
      <c r="BG65" s="2784"/>
      <c r="BH65" s="2756"/>
      <c r="BI65" s="2756"/>
      <c r="BJ65" s="2756"/>
      <c r="BK65" s="2756"/>
      <c r="BL65" s="2756"/>
      <c r="BM65" s="2756"/>
      <c r="BN65" s="2756"/>
      <c r="BO65" s="2756"/>
      <c r="BP65" s="2756"/>
      <c r="BQ65" s="2756"/>
      <c r="BR65" s="2756"/>
      <c r="BS65" s="2756"/>
      <c r="BT65" s="2756"/>
      <c r="BU65" s="2756"/>
      <c r="BV65" s="2756"/>
      <c r="BW65" s="2756"/>
      <c r="BX65" s="2756"/>
      <c r="BY65" s="2756"/>
      <c r="BZ65" s="2756"/>
    </row>
    <row r="66" spans="1:86" s="36" customFormat="1" ht="13.5" customHeight="1">
      <c r="A66" s="578"/>
      <c r="B66" s="578"/>
      <c r="C66" s="578"/>
      <c r="D66" s="2767" t="s">
        <v>2974</v>
      </c>
      <c r="E66" s="2768"/>
      <c r="F66" s="2768"/>
      <c r="G66" s="2768"/>
      <c r="H66" s="2768"/>
      <c r="I66" s="2768"/>
      <c r="J66" s="2768"/>
      <c r="K66" s="2768"/>
      <c r="L66" s="2768"/>
      <c r="M66" s="2768"/>
      <c r="N66" s="2768"/>
      <c r="O66" s="2768"/>
      <c r="P66" s="2768"/>
      <c r="Q66" s="2768"/>
      <c r="R66" s="2768"/>
      <c r="S66" s="2768"/>
      <c r="T66" s="2768"/>
      <c r="U66" s="2768"/>
      <c r="V66" s="2768"/>
      <c r="W66" s="2768"/>
      <c r="X66" s="2768"/>
      <c r="Y66" s="2768"/>
      <c r="Z66" s="2768"/>
      <c r="AA66" s="2768"/>
      <c r="AB66" s="2768"/>
      <c r="AC66" s="2768"/>
      <c r="AD66" s="2768"/>
      <c r="AE66" s="2768"/>
      <c r="AF66" s="2768"/>
      <c r="AG66" s="2768"/>
      <c r="AH66" s="2768"/>
      <c r="AI66" s="2768"/>
      <c r="AJ66" s="2768"/>
      <c r="AK66" s="2768"/>
      <c r="AL66" s="2768"/>
      <c r="AM66" s="2768"/>
      <c r="AN66" s="2768"/>
      <c r="AO66" s="2768"/>
      <c r="AP66" s="2768"/>
      <c r="AQ66" s="2768"/>
      <c r="AR66" s="2769"/>
      <c r="AS66" s="578"/>
      <c r="AT66" s="578"/>
      <c r="AU66" s="578"/>
      <c r="AV66" s="578"/>
      <c r="AW66" s="578"/>
      <c r="AX66" s="2784"/>
      <c r="AY66" s="2784"/>
      <c r="AZ66" s="2784"/>
      <c r="BA66" s="2784"/>
      <c r="BB66" s="2784"/>
      <c r="BC66" s="2784"/>
      <c r="BD66" s="2784"/>
      <c r="BE66" s="2784"/>
      <c r="BF66" s="2784"/>
      <c r="BG66" s="2784"/>
      <c r="BH66" s="2757"/>
      <c r="BI66" s="2757"/>
      <c r="BJ66" s="2757"/>
      <c r="BK66" s="2757"/>
      <c r="BL66" s="2757"/>
      <c r="BM66" s="2757"/>
      <c r="BN66" s="2757"/>
      <c r="BO66" s="2757"/>
      <c r="BP66" s="2757"/>
      <c r="BQ66" s="2757"/>
      <c r="BR66" s="2757"/>
      <c r="BS66" s="2757"/>
      <c r="BT66" s="2757"/>
      <c r="BU66" s="2757"/>
      <c r="BV66" s="2757"/>
      <c r="BW66" s="2757"/>
      <c r="BX66" s="2757"/>
      <c r="BY66" s="2757"/>
      <c r="BZ66" s="2757"/>
    </row>
    <row r="67" spans="1:86" s="36" customFormat="1" ht="13.5" customHeight="1">
      <c r="A67" s="578"/>
      <c r="B67" s="578"/>
      <c r="C67" s="578"/>
      <c r="D67" s="2770"/>
      <c r="E67" s="2771"/>
      <c r="F67" s="2771"/>
      <c r="G67" s="2771"/>
      <c r="H67" s="2771"/>
      <c r="I67" s="2771"/>
      <c r="J67" s="2771"/>
      <c r="K67" s="2771"/>
      <c r="L67" s="2771"/>
      <c r="M67" s="2771"/>
      <c r="N67" s="2771"/>
      <c r="O67" s="2771"/>
      <c r="P67" s="2771"/>
      <c r="Q67" s="2771"/>
      <c r="R67" s="2771"/>
      <c r="S67" s="2771"/>
      <c r="T67" s="2771"/>
      <c r="U67" s="2771"/>
      <c r="V67" s="2771"/>
      <c r="W67" s="2771"/>
      <c r="X67" s="2771"/>
      <c r="Y67" s="2771"/>
      <c r="Z67" s="2771"/>
      <c r="AA67" s="2771"/>
      <c r="AB67" s="2771"/>
      <c r="AC67" s="2771"/>
      <c r="AD67" s="2771"/>
      <c r="AE67" s="2771"/>
      <c r="AF67" s="2771"/>
      <c r="AG67" s="2771"/>
      <c r="AH67" s="2771"/>
      <c r="AI67" s="2771"/>
      <c r="AJ67" s="2771"/>
      <c r="AK67" s="2771"/>
      <c r="AL67" s="2771"/>
      <c r="AM67" s="2771"/>
      <c r="AN67" s="2771"/>
      <c r="AO67" s="2771"/>
      <c r="AP67" s="2771"/>
      <c r="AQ67" s="2771"/>
      <c r="AR67" s="2772"/>
      <c r="AS67" s="578"/>
      <c r="AT67" s="578"/>
      <c r="AU67" s="578"/>
      <c r="AV67" s="578"/>
      <c r="AW67" s="578"/>
      <c r="AX67" s="2784"/>
      <c r="AY67" s="2784"/>
      <c r="AZ67" s="2784"/>
      <c r="BA67" s="2784"/>
      <c r="BB67" s="2784"/>
      <c r="BC67" s="2784"/>
      <c r="BD67" s="2784"/>
      <c r="BE67" s="2784"/>
      <c r="BF67" s="2784"/>
      <c r="BG67" s="2784"/>
      <c r="BH67" s="2757"/>
      <c r="BI67" s="2757"/>
      <c r="BJ67" s="2757"/>
      <c r="BK67" s="2757"/>
      <c r="BL67" s="2757"/>
      <c r="BM67" s="2757"/>
      <c r="BN67" s="2757"/>
      <c r="BO67" s="2757"/>
      <c r="BP67" s="2757"/>
      <c r="BQ67" s="2757"/>
      <c r="BR67" s="2757"/>
      <c r="BS67" s="2757"/>
      <c r="BT67" s="2757"/>
      <c r="BU67" s="2757"/>
      <c r="BV67" s="2757"/>
      <c r="BW67" s="2757"/>
      <c r="BX67" s="2757"/>
      <c r="BY67" s="2757"/>
      <c r="BZ67" s="2757"/>
    </row>
    <row r="68" spans="1:86" s="36" customFormat="1" ht="13.5" customHeight="1">
      <c r="A68" s="578"/>
      <c r="B68" s="578"/>
      <c r="C68" s="578"/>
      <c r="D68" s="2770"/>
      <c r="E68" s="2771"/>
      <c r="F68" s="2771"/>
      <c r="G68" s="2771"/>
      <c r="H68" s="2771"/>
      <c r="I68" s="2771"/>
      <c r="J68" s="2771"/>
      <c r="K68" s="2771"/>
      <c r="L68" s="2771"/>
      <c r="M68" s="2771"/>
      <c r="N68" s="2771"/>
      <c r="O68" s="2771"/>
      <c r="P68" s="2771"/>
      <c r="Q68" s="2771"/>
      <c r="R68" s="2771"/>
      <c r="S68" s="2771"/>
      <c r="T68" s="2771"/>
      <c r="U68" s="2771"/>
      <c r="V68" s="2771"/>
      <c r="W68" s="2771"/>
      <c r="X68" s="2771"/>
      <c r="Y68" s="2771"/>
      <c r="Z68" s="2771"/>
      <c r="AA68" s="2771"/>
      <c r="AB68" s="2771"/>
      <c r="AC68" s="2771"/>
      <c r="AD68" s="2771"/>
      <c r="AE68" s="2771"/>
      <c r="AF68" s="2771"/>
      <c r="AG68" s="2771"/>
      <c r="AH68" s="2771"/>
      <c r="AI68" s="2771"/>
      <c r="AJ68" s="2771"/>
      <c r="AK68" s="2771"/>
      <c r="AL68" s="2771"/>
      <c r="AM68" s="2771"/>
      <c r="AN68" s="2771"/>
      <c r="AO68" s="2771"/>
      <c r="AP68" s="2771"/>
      <c r="AQ68" s="2771"/>
      <c r="AR68" s="2772"/>
      <c r="AS68" s="578"/>
      <c r="AT68" s="578"/>
      <c r="AU68" s="578"/>
      <c r="AV68" s="578"/>
      <c r="AW68" s="578"/>
      <c r="AX68" s="2784"/>
      <c r="AY68" s="2784"/>
      <c r="AZ68" s="2784"/>
      <c r="BA68" s="2784"/>
      <c r="BB68" s="2784"/>
      <c r="BC68" s="2784"/>
      <c r="BD68" s="2784"/>
      <c r="BE68" s="2784"/>
      <c r="BF68" s="2784"/>
      <c r="BG68" s="2784"/>
      <c r="BH68" s="2757"/>
      <c r="BI68" s="2757"/>
      <c r="BJ68" s="2757"/>
      <c r="BK68" s="2757"/>
      <c r="BL68" s="2757"/>
      <c r="BM68" s="2757"/>
      <c r="BN68" s="2757"/>
      <c r="BO68" s="2757"/>
      <c r="BP68" s="2757"/>
      <c r="BQ68" s="2757"/>
      <c r="BR68" s="2757"/>
      <c r="BS68" s="2757"/>
      <c r="BT68" s="2757"/>
      <c r="BU68" s="2757"/>
      <c r="BV68" s="2757"/>
      <c r="BW68" s="2757"/>
      <c r="BX68" s="2757"/>
      <c r="BY68" s="2757"/>
      <c r="BZ68" s="2757"/>
    </row>
    <row r="69" spans="1:86" s="36" customFormat="1" ht="13.5" customHeight="1">
      <c r="A69" s="578"/>
      <c r="B69" s="578"/>
      <c r="C69" s="578"/>
      <c r="D69" s="2770"/>
      <c r="E69" s="2771"/>
      <c r="F69" s="2771"/>
      <c r="G69" s="2771"/>
      <c r="H69" s="2771"/>
      <c r="I69" s="2771"/>
      <c r="J69" s="2771"/>
      <c r="K69" s="2771"/>
      <c r="L69" s="2771"/>
      <c r="M69" s="2771"/>
      <c r="N69" s="2771"/>
      <c r="O69" s="2771"/>
      <c r="P69" s="2771"/>
      <c r="Q69" s="2771"/>
      <c r="R69" s="2771"/>
      <c r="S69" s="2771"/>
      <c r="T69" s="2771"/>
      <c r="U69" s="2771"/>
      <c r="V69" s="2771"/>
      <c r="W69" s="2771"/>
      <c r="X69" s="2771"/>
      <c r="Y69" s="2771"/>
      <c r="Z69" s="2771"/>
      <c r="AA69" s="2771"/>
      <c r="AB69" s="2771"/>
      <c r="AC69" s="2771"/>
      <c r="AD69" s="2771"/>
      <c r="AE69" s="2771"/>
      <c r="AF69" s="2771"/>
      <c r="AG69" s="2771"/>
      <c r="AH69" s="2771"/>
      <c r="AI69" s="2771"/>
      <c r="AJ69" s="2771"/>
      <c r="AK69" s="2771"/>
      <c r="AL69" s="2771"/>
      <c r="AM69" s="2771"/>
      <c r="AN69" s="2771"/>
      <c r="AO69" s="2771"/>
      <c r="AP69" s="2771"/>
      <c r="AQ69" s="2771"/>
      <c r="AR69" s="2772"/>
      <c r="AS69" s="578"/>
      <c r="AT69" s="578"/>
      <c r="AU69" s="578"/>
      <c r="AV69" s="578"/>
      <c r="AW69" s="578"/>
      <c r="AX69" s="2784"/>
      <c r="AY69" s="2784"/>
      <c r="AZ69" s="2784"/>
      <c r="BA69" s="2784"/>
      <c r="BB69" s="2784"/>
      <c r="BC69" s="2784"/>
      <c r="BD69" s="2784"/>
      <c r="BE69" s="2784"/>
      <c r="BF69" s="2784"/>
      <c r="BG69" s="2784"/>
      <c r="BH69" s="2757"/>
      <c r="BI69" s="2757"/>
      <c r="BJ69" s="2757"/>
      <c r="BK69" s="2757"/>
      <c r="BL69" s="2757"/>
      <c r="BM69" s="2757"/>
      <c r="BN69" s="2757"/>
      <c r="BO69" s="2757"/>
      <c r="BP69" s="2757"/>
      <c r="BQ69" s="2757"/>
      <c r="BR69" s="2757"/>
      <c r="BS69" s="2757"/>
      <c r="BT69" s="2757"/>
      <c r="BU69" s="2757"/>
      <c r="BV69" s="2757"/>
      <c r="BW69" s="2757"/>
      <c r="BX69" s="2757"/>
      <c r="BY69" s="2757"/>
      <c r="BZ69" s="2757"/>
    </row>
    <row r="70" spans="1:86" s="36" customFormat="1" ht="13.5" customHeight="1">
      <c r="A70" s="578"/>
      <c r="B70" s="578"/>
      <c r="C70" s="578"/>
      <c r="D70" s="2770"/>
      <c r="E70" s="2771"/>
      <c r="F70" s="2771"/>
      <c r="G70" s="2771"/>
      <c r="H70" s="2771"/>
      <c r="I70" s="2771"/>
      <c r="J70" s="2771"/>
      <c r="K70" s="2771"/>
      <c r="L70" s="2771"/>
      <c r="M70" s="2771"/>
      <c r="N70" s="2771"/>
      <c r="O70" s="2771"/>
      <c r="P70" s="2771"/>
      <c r="Q70" s="2771"/>
      <c r="R70" s="2771"/>
      <c r="S70" s="2771"/>
      <c r="T70" s="2771"/>
      <c r="U70" s="2771"/>
      <c r="V70" s="2771"/>
      <c r="W70" s="2771"/>
      <c r="X70" s="2771"/>
      <c r="Y70" s="2771"/>
      <c r="Z70" s="2771"/>
      <c r="AA70" s="2771"/>
      <c r="AB70" s="2771"/>
      <c r="AC70" s="2771"/>
      <c r="AD70" s="2771"/>
      <c r="AE70" s="2771"/>
      <c r="AF70" s="2771"/>
      <c r="AG70" s="2771"/>
      <c r="AH70" s="2771"/>
      <c r="AI70" s="2771"/>
      <c r="AJ70" s="2771"/>
      <c r="AK70" s="2771"/>
      <c r="AL70" s="2771"/>
      <c r="AM70" s="2771"/>
      <c r="AN70" s="2771"/>
      <c r="AO70" s="2771"/>
      <c r="AP70" s="2771"/>
      <c r="AQ70" s="2771"/>
      <c r="AR70" s="2772"/>
      <c r="AS70" s="578"/>
      <c r="AT70" s="578"/>
      <c r="AU70" s="578"/>
      <c r="AV70" s="578"/>
      <c r="AW70" s="578"/>
      <c r="AX70" s="2784"/>
      <c r="AY70" s="2784"/>
      <c r="AZ70" s="2784"/>
      <c r="BA70" s="2784"/>
      <c r="BB70" s="2784"/>
      <c r="BC70" s="2784"/>
      <c r="BD70" s="2784"/>
      <c r="BE70" s="2784"/>
      <c r="BF70" s="2784"/>
      <c r="BG70" s="2784"/>
      <c r="BH70" s="2757"/>
      <c r="BI70" s="2757"/>
      <c r="BJ70" s="2757"/>
      <c r="BK70" s="2757"/>
      <c r="BL70" s="2757"/>
      <c r="BM70" s="2757"/>
      <c r="BN70" s="2757"/>
      <c r="BO70" s="2757"/>
      <c r="BP70" s="2757"/>
      <c r="BQ70" s="2757"/>
      <c r="BR70" s="2757"/>
      <c r="BS70" s="2757"/>
      <c r="BT70" s="2757"/>
      <c r="BU70" s="2757"/>
      <c r="BV70" s="2757"/>
      <c r="BW70" s="2757"/>
      <c r="BX70" s="2757"/>
      <c r="BY70" s="2757"/>
      <c r="BZ70" s="2757"/>
    </row>
    <row r="71" spans="1:86" s="36" customFormat="1" ht="13.5" customHeight="1">
      <c r="A71" s="578"/>
      <c r="B71" s="578"/>
      <c r="C71" s="578"/>
      <c r="D71" s="2770"/>
      <c r="E71" s="2771"/>
      <c r="F71" s="2771"/>
      <c r="G71" s="2771"/>
      <c r="H71" s="2771"/>
      <c r="I71" s="2771"/>
      <c r="J71" s="2771"/>
      <c r="K71" s="2771"/>
      <c r="L71" s="2771"/>
      <c r="M71" s="2771"/>
      <c r="N71" s="2771"/>
      <c r="O71" s="2771"/>
      <c r="P71" s="2771"/>
      <c r="Q71" s="2771"/>
      <c r="R71" s="2771"/>
      <c r="S71" s="2771"/>
      <c r="T71" s="2771"/>
      <c r="U71" s="2771"/>
      <c r="V71" s="2771"/>
      <c r="W71" s="2771"/>
      <c r="X71" s="2771"/>
      <c r="Y71" s="2771"/>
      <c r="Z71" s="2771"/>
      <c r="AA71" s="2771"/>
      <c r="AB71" s="2771"/>
      <c r="AC71" s="2771"/>
      <c r="AD71" s="2771"/>
      <c r="AE71" s="2771"/>
      <c r="AF71" s="2771"/>
      <c r="AG71" s="2771"/>
      <c r="AH71" s="2771"/>
      <c r="AI71" s="2771"/>
      <c r="AJ71" s="2771"/>
      <c r="AK71" s="2771"/>
      <c r="AL71" s="2771"/>
      <c r="AM71" s="2771"/>
      <c r="AN71" s="2771"/>
      <c r="AO71" s="2771"/>
      <c r="AP71" s="2771"/>
      <c r="AQ71" s="2771"/>
      <c r="AR71" s="2772"/>
      <c r="AS71" s="578"/>
      <c r="AT71" s="578"/>
      <c r="AU71" s="578"/>
      <c r="AV71" s="578"/>
      <c r="AW71" s="578"/>
      <c r="AX71" s="2784"/>
      <c r="AY71" s="2784"/>
      <c r="AZ71" s="2784"/>
      <c r="BA71" s="2784"/>
      <c r="BB71" s="2784"/>
      <c r="BC71" s="2784"/>
      <c r="BD71" s="2784"/>
      <c r="BE71" s="2784"/>
      <c r="BF71" s="2784"/>
      <c r="BG71" s="2784"/>
      <c r="BH71" s="2757"/>
      <c r="BI71" s="2757"/>
      <c r="BJ71" s="2757"/>
      <c r="BK71" s="2757"/>
      <c r="BL71" s="2757"/>
      <c r="BM71" s="2757"/>
      <c r="BN71" s="2757"/>
      <c r="BO71" s="2757"/>
      <c r="BP71" s="2757"/>
      <c r="BQ71" s="2757"/>
      <c r="BR71" s="2757"/>
      <c r="BS71" s="2757"/>
      <c r="BT71" s="2757"/>
      <c r="BU71" s="2757"/>
      <c r="BV71" s="2757"/>
      <c r="BW71" s="2757"/>
      <c r="BX71" s="2757"/>
      <c r="BY71" s="2757"/>
      <c r="BZ71" s="2757"/>
    </row>
    <row r="72" spans="1:86" s="35" customFormat="1" ht="13.5" customHeight="1">
      <c r="A72" s="578"/>
      <c r="B72" s="578"/>
      <c r="C72" s="578"/>
      <c r="D72" s="2770"/>
      <c r="E72" s="2771"/>
      <c r="F72" s="2771"/>
      <c r="G72" s="2771"/>
      <c r="H72" s="2771"/>
      <c r="I72" s="2771"/>
      <c r="J72" s="2771"/>
      <c r="K72" s="2771"/>
      <c r="L72" s="2771"/>
      <c r="M72" s="2771"/>
      <c r="N72" s="2771"/>
      <c r="O72" s="2771"/>
      <c r="P72" s="2771"/>
      <c r="Q72" s="2771"/>
      <c r="R72" s="2771"/>
      <c r="S72" s="2771"/>
      <c r="T72" s="2771"/>
      <c r="U72" s="2771"/>
      <c r="V72" s="2771"/>
      <c r="W72" s="2771"/>
      <c r="X72" s="2771"/>
      <c r="Y72" s="2771"/>
      <c r="Z72" s="2771"/>
      <c r="AA72" s="2771"/>
      <c r="AB72" s="2771"/>
      <c r="AC72" s="2771"/>
      <c r="AD72" s="2771"/>
      <c r="AE72" s="2771"/>
      <c r="AF72" s="2771"/>
      <c r="AG72" s="2771"/>
      <c r="AH72" s="2771"/>
      <c r="AI72" s="2771"/>
      <c r="AJ72" s="2771"/>
      <c r="AK72" s="2771"/>
      <c r="AL72" s="2771"/>
      <c r="AM72" s="2771"/>
      <c r="AN72" s="2771"/>
      <c r="AO72" s="2771"/>
      <c r="AP72" s="2771"/>
      <c r="AQ72" s="2771"/>
      <c r="AR72" s="2772"/>
      <c r="AS72" s="578"/>
      <c r="AT72" s="578"/>
      <c r="AU72" s="578"/>
      <c r="AV72" s="578"/>
      <c r="AW72" s="578"/>
      <c r="AX72" s="2784"/>
      <c r="AY72" s="2784"/>
      <c r="AZ72" s="2784"/>
      <c r="BA72" s="2784"/>
      <c r="BB72" s="2784"/>
      <c r="BC72" s="2784"/>
      <c r="BD72" s="2784"/>
      <c r="BE72" s="2784"/>
      <c r="BF72" s="2784"/>
      <c r="BG72" s="2784"/>
      <c r="BH72" s="2758"/>
      <c r="BI72" s="2758"/>
      <c r="BJ72" s="2758"/>
      <c r="BK72" s="2758"/>
      <c r="BL72" s="2758"/>
      <c r="BM72" s="2758"/>
      <c r="BN72" s="2758"/>
      <c r="BO72" s="2758"/>
      <c r="BP72" s="2758"/>
      <c r="BQ72" s="2758"/>
      <c r="BR72" s="2758"/>
      <c r="BS72" s="2758"/>
      <c r="BT72" s="2758"/>
      <c r="BU72" s="2758"/>
      <c r="BV72" s="2758"/>
      <c r="BW72" s="2758"/>
      <c r="BX72" s="2758"/>
      <c r="BY72" s="2758"/>
      <c r="BZ72" s="2758"/>
      <c r="CA72" s="6"/>
      <c r="CB72" s="6"/>
      <c r="CC72" s="6"/>
      <c r="CD72" s="6"/>
      <c r="CE72" s="6"/>
      <c r="CF72" s="6"/>
      <c r="CG72" s="6"/>
      <c r="CH72" s="6"/>
    </row>
    <row r="73" spans="1:86" s="35" customFormat="1" ht="13.5" customHeight="1" thickBot="1">
      <c r="A73" s="578"/>
      <c r="B73" s="578"/>
      <c r="C73" s="578"/>
      <c r="D73" s="2773"/>
      <c r="E73" s="2774"/>
      <c r="F73" s="2774"/>
      <c r="G73" s="2774"/>
      <c r="H73" s="2774"/>
      <c r="I73" s="2774"/>
      <c r="J73" s="2774"/>
      <c r="K73" s="2774"/>
      <c r="L73" s="2774"/>
      <c r="M73" s="2774"/>
      <c r="N73" s="2774"/>
      <c r="O73" s="2774"/>
      <c r="P73" s="2774"/>
      <c r="Q73" s="2774"/>
      <c r="R73" s="2774"/>
      <c r="S73" s="2774"/>
      <c r="T73" s="2774"/>
      <c r="U73" s="2774"/>
      <c r="V73" s="2774"/>
      <c r="W73" s="2774"/>
      <c r="X73" s="2774"/>
      <c r="Y73" s="2774"/>
      <c r="Z73" s="2774"/>
      <c r="AA73" s="2774"/>
      <c r="AB73" s="2774"/>
      <c r="AC73" s="2774"/>
      <c r="AD73" s="2774"/>
      <c r="AE73" s="2774"/>
      <c r="AF73" s="2774"/>
      <c r="AG73" s="2774"/>
      <c r="AH73" s="2774"/>
      <c r="AI73" s="2774"/>
      <c r="AJ73" s="2774"/>
      <c r="AK73" s="2774"/>
      <c r="AL73" s="2774"/>
      <c r="AM73" s="2774"/>
      <c r="AN73" s="2774"/>
      <c r="AO73" s="2774"/>
      <c r="AP73" s="2774"/>
      <c r="AQ73" s="2774"/>
      <c r="AR73" s="2775"/>
      <c r="AS73" s="578"/>
      <c r="AT73" s="578"/>
      <c r="AU73" s="578"/>
      <c r="AV73" s="578"/>
      <c r="AW73" s="578"/>
      <c r="AX73" s="578"/>
      <c r="AY73" s="578"/>
      <c r="AZ73" s="578"/>
      <c r="BA73" s="578"/>
      <c r="BB73" s="578"/>
      <c r="BC73" s="578"/>
      <c r="BD73" s="578"/>
      <c r="BE73" s="578"/>
      <c r="BF73" s="578"/>
      <c r="BG73" s="578"/>
      <c r="BH73" s="578"/>
      <c r="BI73" s="578"/>
      <c r="BJ73" s="578"/>
      <c r="BK73" s="578"/>
      <c r="BL73" s="578"/>
      <c r="BM73" s="578"/>
      <c r="BN73" s="578"/>
      <c r="BO73" s="578"/>
      <c r="BP73" s="578"/>
      <c r="BQ73" s="578"/>
      <c r="BR73" s="578"/>
      <c r="BS73" s="578"/>
      <c r="BT73" s="578"/>
      <c r="BU73" s="578"/>
      <c r="BV73" s="578"/>
      <c r="BW73" s="578"/>
      <c r="BX73" s="578"/>
      <c r="BY73" s="578"/>
      <c r="BZ73" s="578"/>
      <c r="CA73" s="6"/>
      <c r="CB73" s="6"/>
      <c r="CC73" s="6"/>
      <c r="CD73" s="6"/>
      <c r="CE73" s="6"/>
      <c r="CF73" s="6"/>
      <c r="CG73" s="6"/>
      <c r="CH73" s="6"/>
    </row>
    <row r="74" spans="1:86" s="35" customFormat="1" ht="13.5" customHeight="1">
      <c r="A74" s="578"/>
      <c r="B74" s="578"/>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8"/>
      <c r="AL74" s="578"/>
      <c r="AM74" s="578"/>
      <c r="AN74" s="578"/>
      <c r="AO74" s="578"/>
      <c r="AP74" s="578"/>
      <c r="AQ74" s="578"/>
      <c r="AR74" s="578"/>
      <c r="AS74" s="578"/>
      <c r="AT74" s="578"/>
      <c r="AU74" s="578"/>
      <c r="AV74" s="578"/>
      <c r="AW74" s="578"/>
      <c r="AX74" s="578"/>
      <c r="AY74" s="578"/>
      <c r="AZ74" s="578"/>
      <c r="BA74" s="578"/>
      <c r="BB74" s="578"/>
      <c r="BC74" s="578"/>
      <c r="BD74" s="578"/>
      <c r="BE74" s="578"/>
      <c r="BF74" s="578"/>
      <c r="BG74" s="578"/>
      <c r="BH74" s="578"/>
      <c r="BI74" s="578"/>
      <c r="BJ74" s="578"/>
      <c r="BK74" s="578"/>
      <c r="BL74" s="578"/>
      <c r="BM74" s="578"/>
      <c r="BN74" s="578"/>
      <c r="BO74" s="578"/>
      <c r="BP74" s="578"/>
      <c r="BQ74" s="578"/>
      <c r="BR74" s="578"/>
      <c r="BS74" s="578"/>
      <c r="BT74" s="578"/>
      <c r="BU74" s="578"/>
      <c r="BV74" s="578"/>
      <c r="BW74" s="578"/>
      <c r="BX74" s="578"/>
      <c r="BY74" s="578"/>
      <c r="BZ74" s="578"/>
      <c r="CA74" s="6"/>
      <c r="CB74" s="6"/>
      <c r="CC74" s="6"/>
      <c r="CD74" s="6"/>
      <c r="CE74" s="6"/>
      <c r="CF74" s="6"/>
      <c r="CG74" s="6"/>
      <c r="CH74" s="6"/>
    </row>
    <row r="75" spans="1:86" s="35" customFormat="1" ht="13.5" customHeight="1">
      <c r="A75" s="2759" t="s">
        <v>2975</v>
      </c>
      <c r="B75" s="2759"/>
      <c r="C75" s="2759"/>
      <c r="D75" s="2759"/>
      <c r="E75" s="2759"/>
      <c r="F75" s="2759"/>
      <c r="G75" s="2759"/>
      <c r="H75" s="2759"/>
      <c r="I75" s="2759"/>
      <c r="J75" s="2759"/>
      <c r="K75" s="2759"/>
      <c r="L75" s="2759"/>
      <c r="M75" s="2759"/>
      <c r="N75" s="2759"/>
      <c r="O75" s="2759"/>
      <c r="P75" s="2759"/>
      <c r="Q75" s="2759"/>
      <c r="R75" s="2759"/>
      <c r="S75" s="2759"/>
      <c r="T75" s="2759"/>
      <c r="U75" s="2759"/>
      <c r="V75" s="2759"/>
      <c r="W75" s="2759"/>
      <c r="X75" s="2759"/>
      <c r="Y75" s="2759"/>
      <c r="Z75" s="2759"/>
      <c r="AA75" s="2759"/>
      <c r="AB75" s="2759"/>
      <c r="AC75" s="2759"/>
      <c r="AD75" s="2759"/>
      <c r="AE75" s="2759"/>
      <c r="AF75" s="2759"/>
      <c r="AG75" s="2759"/>
      <c r="AH75" s="2759"/>
      <c r="AI75" s="2759"/>
      <c r="AJ75" s="2759"/>
      <c r="AK75" s="2759"/>
      <c r="AL75" s="2759"/>
      <c r="AM75" s="2759"/>
      <c r="AN75" s="2759"/>
      <c r="AO75" s="2759"/>
      <c r="AP75" s="2759"/>
      <c r="AQ75" s="2759"/>
      <c r="AR75" s="2759"/>
      <c r="AS75" s="2759"/>
      <c r="AT75" s="2759"/>
      <c r="AU75" s="2759"/>
      <c r="AV75" s="2759"/>
      <c r="AW75" s="2759"/>
      <c r="AX75" s="2759"/>
      <c r="AY75" s="2759"/>
      <c r="AZ75" s="2759"/>
      <c r="BA75" s="2759"/>
      <c r="BB75" s="2759"/>
      <c r="BC75" s="2759"/>
      <c r="BD75" s="2759"/>
      <c r="BE75" s="2759"/>
      <c r="BF75" s="2759"/>
      <c r="BG75" s="2759"/>
      <c r="BH75" s="2759"/>
      <c r="BI75" s="2759"/>
      <c r="BJ75" s="2759"/>
      <c r="BK75" s="2759"/>
      <c r="BL75" s="2759"/>
      <c r="BM75" s="2759"/>
      <c r="BN75" s="2759"/>
      <c r="BO75" s="2759"/>
      <c r="BP75" s="2759"/>
      <c r="BQ75" s="2759"/>
      <c r="BR75" s="2759"/>
      <c r="BS75" s="2759"/>
      <c r="BT75" s="2759"/>
      <c r="BU75" s="2759"/>
      <c r="BV75" s="2759"/>
      <c r="BW75" s="2759"/>
      <c r="BX75" s="2759"/>
      <c r="BY75" s="2759"/>
      <c r="BZ75" s="2759"/>
      <c r="CA75" s="6"/>
      <c r="CB75" s="6"/>
      <c r="CC75" s="6"/>
      <c r="CD75" s="6"/>
      <c r="CE75" s="6"/>
      <c r="CF75" s="6"/>
      <c r="CG75" s="6"/>
      <c r="CH75" s="6"/>
    </row>
    <row r="76" spans="1:86" s="35" customFormat="1" ht="13.5" customHeight="1">
      <c r="A76" s="2759"/>
      <c r="B76" s="2759"/>
      <c r="C76" s="2759"/>
      <c r="D76" s="2759"/>
      <c r="E76" s="2759"/>
      <c r="F76" s="2759"/>
      <c r="G76" s="2759"/>
      <c r="H76" s="2759"/>
      <c r="I76" s="2759"/>
      <c r="J76" s="2759"/>
      <c r="K76" s="2759"/>
      <c r="L76" s="2759"/>
      <c r="M76" s="2759"/>
      <c r="N76" s="2759"/>
      <c r="O76" s="2759"/>
      <c r="P76" s="2759"/>
      <c r="Q76" s="2759"/>
      <c r="R76" s="2759"/>
      <c r="S76" s="2759"/>
      <c r="T76" s="2759"/>
      <c r="U76" s="2759"/>
      <c r="V76" s="2759"/>
      <c r="W76" s="2759"/>
      <c r="X76" s="2759"/>
      <c r="Y76" s="2759"/>
      <c r="Z76" s="2759"/>
      <c r="AA76" s="2759"/>
      <c r="AB76" s="2759"/>
      <c r="AC76" s="2759"/>
      <c r="AD76" s="2759"/>
      <c r="AE76" s="2759"/>
      <c r="AF76" s="2759"/>
      <c r="AG76" s="2759"/>
      <c r="AH76" s="2759"/>
      <c r="AI76" s="2759"/>
      <c r="AJ76" s="2759"/>
      <c r="AK76" s="2759"/>
      <c r="AL76" s="2759"/>
      <c r="AM76" s="2759"/>
      <c r="AN76" s="2759"/>
      <c r="AO76" s="2759"/>
      <c r="AP76" s="2759"/>
      <c r="AQ76" s="2759"/>
      <c r="AR76" s="2759"/>
      <c r="AS76" s="2759"/>
      <c r="AT76" s="2759"/>
      <c r="AU76" s="2759"/>
      <c r="AV76" s="2759"/>
      <c r="AW76" s="2759"/>
      <c r="AX76" s="2759"/>
      <c r="AY76" s="2759"/>
      <c r="AZ76" s="2759"/>
      <c r="BA76" s="2759"/>
      <c r="BB76" s="2759"/>
      <c r="BC76" s="2759"/>
      <c r="BD76" s="2759"/>
      <c r="BE76" s="2759"/>
      <c r="BF76" s="2759"/>
      <c r="BG76" s="2759"/>
      <c r="BH76" s="2759"/>
      <c r="BI76" s="2759"/>
      <c r="BJ76" s="2759"/>
      <c r="BK76" s="2759"/>
      <c r="BL76" s="2759"/>
      <c r="BM76" s="2759"/>
      <c r="BN76" s="2759"/>
      <c r="BO76" s="2759"/>
      <c r="BP76" s="2759"/>
      <c r="BQ76" s="2759"/>
      <c r="BR76" s="2759"/>
      <c r="BS76" s="2759"/>
      <c r="BT76" s="2759"/>
      <c r="BU76" s="2759"/>
      <c r="BV76" s="2759"/>
      <c r="BW76" s="2759"/>
      <c r="BX76" s="2759"/>
      <c r="BY76" s="2759"/>
      <c r="BZ76" s="2759"/>
      <c r="CA76" s="6"/>
      <c r="CB76" s="6"/>
      <c r="CC76" s="6"/>
      <c r="CD76" s="6"/>
      <c r="CE76" s="6"/>
      <c r="CF76" s="6"/>
      <c r="CG76" s="6"/>
      <c r="CH76" s="6"/>
    </row>
    <row r="77" spans="1:86" s="35" customFormat="1" ht="13.5" customHeight="1">
      <c r="A77" s="2759" t="s">
        <v>2976</v>
      </c>
      <c r="B77" s="2759"/>
      <c r="C77" s="2759"/>
      <c r="D77" s="2759"/>
      <c r="E77" s="2759"/>
      <c r="F77" s="2759"/>
      <c r="G77" s="2759"/>
      <c r="H77" s="2759"/>
      <c r="I77" s="2759"/>
      <c r="J77" s="2759"/>
      <c r="K77" s="2759"/>
      <c r="L77" s="2759"/>
      <c r="M77" s="2759"/>
      <c r="N77" s="2759"/>
      <c r="O77" s="2759"/>
      <c r="P77" s="2759"/>
      <c r="Q77" s="2759"/>
      <c r="R77" s="2759"/>
      <c r="S77" s="2759"/>
      <c r="T77" s="2759"/>
      <c r="U77" s="2759"/>
      <c r="V77" s="2759"/>
      <c r="W77" s="2759"/>
      <c r="X77" s="2759"/>
      <c r="Y77" s="2759"/>
      <c r="Z77" s="2759"/>
      <c r="AA77" s="2759"/>
      <c r="AB77" s="2759"/>
      <c r="AC77" s="2759"/>
      <c r="AD77" s="2759"/>
      <c r="AE77" s="2759"/>
      <c r="AF77" s="2759"/>
      <c r="AG77" s="2759"/>
      <c r="AH77" s="2759"/>
      <c r="AI77" s="2759"/>
      <c r="AJ77" s="2759"/>
      <c r="AK77" s="2759"/>
      <c r="AL77" s="2759"/>
      <c r="AM77" s="2759"/>
      <c r="AN77" s="2759"/>
      <c r="AO77" s="2759"/>
      <c r="AP77" s="2759"/>
      <c r="AQ77" s="2759"/>
      <c r="AR77" s="2759"/>
      <c r="AS77" s="2759"/>
      <c r="AT77" s="2759"/>
      <c r="AU77" s="2759"/>
      <c r="AV77" s="2759"/>
      <c r="AW77" s="2759"/>
      <c r="AX77" s="2759"/>
      <c r="AY77" s="2759"/>
      <c r="AZ77" s="2759"/>
      <c r="BA77" s="2759"/>
      <c r="BB77" s="2759"/>
      <c r="BC77" s="2759"/>
      <c r="BD77" s="2759"/>
      <c r="BE77" s="2759"/>
      <c r="BF77" s="2759"/>
      <c r="BG77" s="2759"/>
      <c r="BH77" s="2759"/>
      <c r="BI77" s="2759"/>
      <c r="BJ77" s="2759"/>
      <c r="BK77" s="2759"/>
      <c r="BL77" s="2759"/>
      <c r="BM77" s="2759"/>
      <c r="BN77" s="2759"/>
      <c r="BO77" s="2759"/>
      <c r="BP77" s="2759"/>
      <c r="BQ77" s="2759"/>
      <c r="BR77" s="2759"/>
      <c r="BS77" s="2759"/>
      <c r="BT77" s="2759"/>
      <c r="BU77" s="2759"/>
      <c r="BV77" s="2759"/>
      <c r="BW77" s="2759"/>
      <c r="BX77" s="2759"/>
      <c r="BY77" s="2759"/>
      <c r="BZ77" s="2759"/>
      <c r="CA77" s="6"/>
      <c r="CB77" s="6"/>
      <c r="CC77" s="6"/>
      <c r="CD77" s="6"/>
      <c r="CE77" s="6"/>
      <c r="CF77" s="6"/>
      <c r="CG77" s="6"/>
      <c r="CH77" s="6"/>
    </row>
    <row r="78" spans="1:86" s="35" customFormat="1" ht="13.5" customHeight="1">
      <c r="A78" s="2759"/>
      <c r="B78" s="2759"/>
      <c r="C78" s="2759"/>
      <c r="D78" s="2759"/>
      <c r="E78" s="2759"/>
      <c r="F78" s="2759"/>
      <c r="G78" s="2759"/>
      <c r="H78" s="2759"/>
      <c r="I78" s="2759"/>
      <c r="J78" s="2759"/>
      <c r="K78" s="2759"/>
      <c r="L78" s="2759"/>
      <c r="M78" s="2759"/>
      <c r="N78" s="2759"/>
      <c r="O78" s="2759"/>
      <c r="P78" s="2759"/>
      <c r="Q78" s="2759"/>
      <c r="R78" s="2759"/>
      <c r="S78" s="2759"/>
      <c r="T78" s="2759"/>
      <c r="U78" s="2759"/>
      <c r="V78" s="2759"/>
      <c r="W78" s="2759"/>
      <c r="X78" s="2759"/>
      <c r="Y78" s="2759"/>
      <c r="Z78" s="2759"/>
      <c r="AA78" s="2759"/>
      <c r="AB78" s="2759"/>
      <c r="AC78" s="2759"/>
      <c r="AD78" s="2759"/>
      <c r="AE78" s="2759"/>
      <c r="AF78" s="2759"/>
      <c r="AG78" s="2759"/>
      <c r="AH78" s="2759"/>
      <c r="AI78" s="2759"/>
      <c r="AJ78" s="2759"/>
      <c r="AK78" s="2759"/>
      <c r="AL78" s="2759"/>
      <c r="AM78" s="2759"/>
      <c r="AN78" s="2759"/>
      <c r="AO78" s="2759"/>
      <c r="AP78" s="2759"/>
      <c r="AQ78" s="2759"/>
      <c r="AR78" s="2759"/>
      <c r="AS78" s="2759"/>
      <c r="AT78" s="2759"/>
      <c r="AU78" s="2759"/>
      <c r="AV78" s="2759"/>
      <c r="AW78" s="2759"/>
      <c r="AX78" s="2759"/>
      <c r="AY78" s="2759"/>
      <c r="AZ78" s="2759"/>
      <c r="BA78" s="2759"/>
      <c r="BB78" s="2759"/>
      <c r="BC78" s="2759"/>
      <c r="BD78" s="2759"/>
      <c r="BE78" s="2759"/>
      <c r="BF78" s="2759"/>
      <c r="BG78" s="2759"/>
      <c r="BH78" s="2759"/>
      <c r="BI78" s="2759"/>
      <c r="BJ78" s="2759"/>
      <c r="BK78" s="2759"/>
      <c r="BL78" s="2759"/>
      <c r="BM78" s="2759"/>
      <c r="BN78" s="2759"/>
      <c r="BO78" s="2759"/>
      <c r="BP78" s="2759"/>
      <c r="BQ78" s="2759"/>
      <c r="BR78" s="2759"/>
      <c r="BS78" s="2759"/>
      <c r="BT78" s="2759"/>
      <c r="BU78" s="2759"/>
      <c r="BV78" s="2759"/>
      <c r="BW78" s="2759"/>
      <c r="BX78" s="2759"/>
      <c r="BY78" s="2759"/>
      <c r="BZ78" s="2759"/>
      <c r="CA78" s="6"/>
      <c r="CB78" s="6"/>
      <c r="CC78" s="6"/>
      <c r="CD78" s="6"/>
      <c r="CE78" s="6"/>
      <c r="CF78" s="6"/>
      <c r="CG78" s="6"/>
      <c r="CH78" s="6"/>
    </row>
    <row r="79" spans="1:86" s="35" customFormat="1" ht="13.5" customHeight="1">
      <c r="A79" s="579"/>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579"/>
      <c r="AP79" s="579"/>
      <c r="AQ79" s="579"/>
      <c r="AR79" s="579"/>
      <c r="AS79" s="579"/>
      <c r="AT79" s="579"/>
      <c r="AU79" s="579"/>
      <c r="AV79" s="579"/>
      <c r="AW79" s="579"/>
      <c r="AX79" s="579"/>
      <c r="AY79" s="579"/>
      <c r="AZ79" s="579"/>
      <c r="BA79" s="579"/>
      <c r="BB79" s="579"/>
      <c r="BC79" s="579"/>
      <c r="BD79" s="579"/>
      <c r="BE79" s="579"/>
      <c r="BF79" s="579"/>
      <c r="BG79" s="579"/>
      <c r="BH79" s="579"/>
      <c r="BI79" s="579"/>
      <c r="BJ79" s="579"/>
      <c r="BK79" s="579"/>
      <c r="BL79" s="579"/>
      <c r="BM79" s="579"/>
      <c r="BN79" s="579"/>
      <c r="BO79" s="579"/>
      <c r="BP79" s="579"/>
      <c r="BQ79" s="579"/>
      <c r="BR79" s="579"/>
      <c r="BS79" s="579"/>
      <c r="BT79" s="579"/>
      <c r="BU79" s="579"/>
      <c r="BV79" s="579"/>
      <c r="BW79" s="579"/>
      <c r="BX79" s="579"/>
      <c r="BY79" s="579"/>
      <c r="BZ79" s="579"/>
      <c r="CA79" s="6"/>
      <c r="CB79" s="6"/>
      <c r="CC79" s="6"/>
      <c r="CD79" s="6"/>
      <c r="CE79" s="6"/>
      <c r="CF79" s="6"/>
      <c r="CG79" s="6"/>
      <c r="CH79" s="6"/>
    </row>
    <row r="80" spans="1:86" s="35" customFormat="1" ht="13.5" customHeight="1">
      <c r="A80" s="2760" t="s">
        <v>2955</v>
      </c>
      <c r="B80" s="2760"/>
      <c r="C80" s="2760"/>
      <c r="D80" s="2760"/>
      <c r="E80" s="2760"/>
      <c r="F80" s="2760"/>
      <c r="G80" s="2760"/>
      <c r="H80" s="2760"/>
      <c r="I80" s="2760"/>
      <c r="J80" s="2760"/>
      <c r="K80" s="2760"/>
      <c r="L80" s="2760"/>
      <c r="M80" s="2760"/>
      <c r="N80" s="2760"/>
      <c r="O80" s="2760"/>
      <c r="P80" s="2760"/>
      <c r="Q80" s="2760"/>
      <c r="R80" s="2760"/>
      <c r="S80" s="2760"/>
      <c r="T80" s="2760"/>
      <c r="U80" s="2760"/>
      <c r="V80" s="2760"/>
      <c r="W80" s="2760"/>
      <c r="X80" s="2760"/>
      <c r="Y80" s="2760"/>
      <c r="Z80" s="2760"/>
      <c r="AA80" s="2760"/>
      <c r="AB80" s="2760"/>
      <c r="AC80" s="2760"/>
      <c r="AD80" s="2760"/>
      <c r="AE80" s="2760"/>
      <c r="AF80" s="2760"/>
      <c r="AG80" s="2760"/>
      <c r="AH80" s="2760"/>
      <c r="AI80" s="2760"/>
      <c r="AJ80" s="2760"/>
      <c r="AK80" s="2760"/>
      <c r="AL80" s="2760"/>
      <c r="AM80" s="2760"/>
      <c r="AN80" s="2760"/>
      <c r="AO80" s="2760"/>
      <c r="AP80" s="2760"/>
      <c r="AQ80" s="2760"/>
      <c r="AR80" s="2760"/>
      <c r="AS80" s="2760"/>
      <c r="AT80" s="2760"/>
      <c r="AU80" s="2760"/>
      <c r="AV80" s="2760"/>
      <c r="AW80" s="2760"/>
      <c r="AX80" s="2760"/>
      <c r="AY80" s="2760"/>
      <c r="AZ80" s="2760"/>
      <c r="BA80" s="2760"/>
      <c r="BB80" s="2760"/>
      <c r="BC80" s="2760"/>
      <c r="BD80" s="2760"/>
      <c r="BE80" s="2760"/>
      <c r="BF80" s="2760"/>
      <c r="BG80" s="2760"/>
      <c r="BH80" s="2760"/>
      <c r="BI80" s="2760"/>
      <c r="BJ80" s="2760"/>
      <c r="BK80" s="2760"/>
      <c r="BL80" s="2760"/>
      <c r="BM80" s="2760"/>
      <c r="BN80" s="2760"/>
      <c r="BO80" s="2760"/>
      <c r="BP80" s="2760"/>
      <c r="BQ80" s="2760"/>
      <c r="BR80" s="2760"/>
      <c r="BS80" s="2760"/>
      <c r="BT80" s="2760"/>
      <c r="BU80" s="2760"/>
      <c r="BV80" s="2760"/>
      <c r="BW80" s="2760"/>
      <c r="BX80" s="2760"/>
      <c r="BY80" s="2760"/>
      <c r="BZ80" s="2760"/>
      <c r="CA80" s="6"/>
      <c r="CB80" s="6"/>
      <c r="CC80" s="6"/>
      <c r="CD80" s="6"/>
      <c r="CE80" s="6"/>
      <c r="CF80" s="6"/>
      <c r="CG80" s="6"/>
      <c r="CH80" s="6"/>
    </row>
    <row r="81" spans="1:86" s="35" customFormat="1" ht="13.5" customHeight="1">
      <c r="A81" s="2760"/>
      <c r="B81" s="2760"/>
      <c r="C81" s="2760"/>
      <c r="D81" s="2760"/>
      <c r="E81" s="2760"/>
      <c r="F81" s="2760"/>
      <c r="G81" s="2760"/>
      <c r="H81" s="2760"/>
      <c r="I81" s="2760"/>
      <c r="J81" s="2760"/>
      <c r="K81" s="2760"/>
      <c r="L81" s="2760"/>
      <c r="M81" s="2760"/>
      <c r="N81" s="2760"/>
      <c r="O81" s="2760"/>
      <c r="P81" s="2760"/>
      <c r="Q81" s="2760"/>
      <c r="R81" s="2760"/>
      <c r="S81" s="2760"/>
      <c r="T81" s="2760"/>
      <c r="U81" s="2760"/>
      <c r="V81" s="2760"/>
      <c r="W81" s="2760"/>
      <c r="X81" s="2760"/>
      <c r="Y81" s="2760"/>
      <c r="Z81" s="2760"/>
      <c r="AA81" s="2760"/>
      <c r="AB81" s="2760"/>
      <c r="AC81" s="2760"/>
      <c r="AD81" s="2760"/>
      <c r="AE81" s="2760"/>
      <c r="AF81" s="2760"/>
      <c r="AG81" s="2760"/>
      <c r="AH81" s="2760"/>
      <c r="AI81" s="2760"/>
      <c r="AJ81" s="2760"/>
      <c r="AK81" s="2760"/>
      <c r="AL81" s="2760"/>
      <c r="AM81" s="2760"/>
      <c r="AN81" s="2760"/>
      <c r="AO81" s="2760"/>
      <c r="AP81" s="2760"/>
      <c r="AQ81" s="2760"/>
      <c r="AR81" s="2760"/>
      <c r="AS81" s="2760"/>
      <c r="AT81" s="2760"/>
      <c r="AU81" s="2760"/>
      <c r="AV81" s="2760"/>
      <c r="AW81" s="2760"/>
      <c r="AX81" s="2760"/>
      <c r="AY81" s="2760"/>
      <c r="AZ81" s="2760"/>
      <c r="BA81" s="2760"/>
      <c r="BB81" s="2760"/>
      <c r="BC81" s="2760"/>
      <c r="BD81" s="2760"/>
      <c r="BE81" s="2760"/>
      <c r="BF81" s="2760"/>
      <c r="BG81" s="2760"/>
      <c r="BH81" s="2760"/>
      <c r="BI81" s="2760"/>
      <c r="BJ81" s="2760"/>
      <c r="BK81" s="2760"/>
      <c r="BL81" s="2760"/>
      <c r="BM81" s="2760"/>
      <c r="BN81" s="2760"/>
      <c r="BO81" s="2760"/>
      <c r="BP81" s="2760"/>
      <c r="BQ81" s="2760"/>
      <c r="BR81" s="2760"/>
      <c r="BS81" s="2760"/>
      <c r="BT81" s="2760"/>
      <c r="BU81" s="2760"/>
      <c r="BV81" s="2760"/>
      <c r="BW81" s="2760"/>
      <c r="BX81" s="2760"/>
      <c r="BY81" s="2760"/>
      <c r="BZ81" s="2760"/>
      <c r="CA81" s="6"/>
      <c r="CB81" s="6"/>
      <c r="CC81" s="6"/>
      <c r="CD81" s="6"/>
      <c r="CE81" s="6"/>
      <c r="CF81" s="6"/>
      <c r="CG81" s="6"/>
      <c r="CH81" s="6"/>
    </row>
    <row r="82" spans="1:86" s="35" customFormat="1" ht="13.5" customHeight="1">
      <c r="A82" s="2760"/>
      <c r="B82" s="2760"/>
      <c r="C82" s="2760"/>
      <c r="D82" s="2760"/>
      <c r="E82" s="2760"/>
      <c r="F82" s="2760"/>
      <c r="G82" s="2760"/>
      <c r="H82" s="2760"/>
      <c r="I82" s="2760"/>
      <c r="J82" s="2760"/>
      <c r="K82" s="2760"/>
      <c r="L82" s="2760"/>
      <c r="M82" s="2760"/>
      <c r="N82" s="2760"/>
      <c r="O82" s="2760"/>
      <c r="P82" s="2760"/>
      <c r="Q82" s="2760"/>
      <c r="R82" s="2760"/>
      <c r="S82" s="2760"/>
      <c r="T82" s="2760"/>
      <c r="U82" s="2760"/>
      <c r="V82" s="2760"/>
      <c r="W82" s="2760"/>
      <c r="X82" s="2760"/>
      <c r="Y82" s="2760"/>
      <c r="Z82" s="2760"/>
      <c r="AA82" s="2760"/>
      <c r="AB82" s="2760"/>
      <c r="AC82" s="2760"/>
      <c r="AD82" s="2760"/>
      <c r="AE82" s="2760"/>
      <c r="AF82" s="2760"/>
      <c r="AG82" s="2760"/>
      <c r="AH82" s="2760"/>
      <c r="AI82" s="2760"/>
      <c r="AJ82" s="2760"/>
      <c r="AK82" s="2760"/>
      <c r="AL82" s="2760"/>
      <c r="AM82" s="2760"/>
      <c r="AN82" s="2760"/>
      <c r="AO82" s="2760"/>
      <c r="AP82" s="2760"/>
      <c r="AQ82" s="2760"/>
      <c r="AR82" s="2760"/>
      <c r="AS82" s="2760"/>
      <c r="AT82" s="2760"/>
      <c r="AU82" s="2760"/>
      <c r="AV82" s="2760"/>
      <c r="AW82" s="2760"/>
      <c r="AX82" s="2760"/>
      <c r="AY82" s="2760"/>
      <c r="AZ82" s="2760"/>
      <c r="BA82" s="2760"/>
      <c r="BB82" s="2760"/>
      <c r="BC82" s="2760"/>
      <c r="BD82" s="2760"/>
      <c r="BE82" s="2760"/>
      <c r="BF82" s="2760"/>
      <c r="BG82" s="2760"/>
      <c r="BH82" s="2760"/>
      <c r="BI82" s="2760"/>
      <c r="BJ82" s="2760"/>
      <c r="BK82" s="2760"/>
      <c r="BL82" s="2760"/>
      <c r="BM82" s="2760"/>
      <c r="BN82" s="2760"/>
      <c r="BO82" s="2760"/>
      <c r="BP82" s="2760"/>
      <c r="BQ82" s="2760"/>
      <c r="BR82" s="2760"/>
      <c r="BS82" s="2760"/>
      <c r="BT82" s="2760"/>
      <c r="BU82" s="2760"/>
      <c r="BV82" s="2760"/>
      <c r="BW82" s="2760"/>
      <c r="BX82" s="2760"/>
      <c r="BY82" s="2760"/>
      <c r="BZ82" s="2760"/>
      <c r="CA82" s="6"/>
      <c r="CB82" s="6"/>
      <c r="CC82" s="6"/>
      <c r="CD82" s="6"/>
      <c r="CE82" s="6"/>
      <c r="CF82" s="6"/>
      <c r="CG82" s="6"/>
      <c r="CH82" s="6"/>
    </row>
    <row r="83" spans="1:86" s="35" customFormat="1" ht="13.5" customHeight="1">
      <c r="A83" s="2760"/>
      <c r="B83" s="2760"/>
      <c r="C83" s="2760"/>
      <c r="D83" s="2760"/>
      <c r="E83" s="2760"/>
      <c r="F83" s="2760"/>
      <c r="G83" s="2760"/>
      <c r="H83" s="2760"/>
      <c r="I83" s="2760"/>
      <c r="J83" s="2760"/>
      <c r="K83" s="2760"/>
      <c r="L83" s="2760"/>
      <c r="M83" s="2760"/>
      <c r="N83" s="2760"/>
      <c r="O83" s="2760"/>
      <c r="P83" s="2760"/>
      <c r="Q83" s="2760"/>
      <c r="R83" s="2760"/>
      <c r="S83" s="2760"/>
      <c r="T83" s="2760"/>
      <c r="U83" s="2760"/>
      <c r="V83" s="2760"/>
      <c r="W83" s="2760"/>
      <c r="X83" s="2760"/>
      <c r="Y83" s="2760"/>
      <c r="Z83" s="2760"/>
      <c r="AA83" s="2760"/>
      <c r="AB83" s="2760"/>
      <c r="AC83" s="2760"/>
      <c r="AD83" s="2760"/>
      <c r="AE83" s="2760"/>
      <c r="AF83" s="2760"/>
      <c r="AG83" s="2760"/>
      <c r="AH83" s="2760"/>
      <c r="AI83" s="2760"/>
      <c r="AJ83" s="2760"/>
      <c r="AK83" s="2760"/>
      <c r="AL83" s="2760"/>
      <c r="AM83" s="2760"/>
      <c r="AN83" s="2760"/>
      <c r="AO83" s="2760"/>
      <c r="AP83" s="2760"/>
      <c r="AQ83" s="2760"/>
      <c r="AR83" s="2760"/>
      <c r="AS83" s="2760"/>
      <c r="AT83" s="2760"/>
      <c r="AU83" s="2760"/>
      <c r="AV83" s="2760"/>
      <c r="AW83" s="2760"/>
      <c r="AX83" s="2760"/>
      <c r="AY83" s="2760"/>
      <c r="AZ83" s="2760"/>
      <c r="BA83" s="2760"/>
      <c r="BB83" s="2760"/>
      <c r="BC83" s="2760"/>
      <c r="BD83" s="2760"/>
      <c r="BE83" s="2760"/>
      <c r="BF83" s="2760"/>
      <c r="BG83" s="2760"/>
      <c r="BH83" s="2760"/>
      <c r="BI83" s="2760"/>
      <c r="BJ83" s="2760"/>
      <c r="BK83" s="2760"/>
      <c r="BL83" s="2760"/>
      <c r="BM83" s="2760"/>
      <c r="BN83" s="2760"/>
      <c r="BO83" s="2760"/>
      <c r="BP83" s="2760"/>
      <c r="BQ83" s="2760"/>
      <c r="BR83" s="2760"/>
      <c r="BS83" s="2760"/>
      <c r="BT83" s="2760"/>
      <c r="BU83" s="2760"/>
      <c r="BV83" s="2760"/>
      <c r="BW83" s="2760"/>
      <c r="BX83" s="2760"/>
      <c r="BY83" s="2760"/>
      <c r="BZ83" s="2760"/>
      <c r="CA83" s="6"/>
      <c r="CB83" s="6"/>
      <c r="CC83" s="6"/>
      <c r="CD83" s="6"/>
      <c r="CE83" s="6"/>
      <c r="CF83" s="6"/>
      <c r="CG83" s="6"/>
      <c r="CH83" s="6"/>
    </row>
    <row r="84" spans="1:86" s="35" customFormat="1" ht="13.5" customHeight="1">
      <c r="A84" s="2760"/>
      <c r="B84" s="2760"/>
      <c r="C84" s="2760"/>
      <c r="D84" s="2760"/>
      <c r="E84" s="2760"/>
      <c r="F84" s="2760"/>
      <c r="G84" s="2760"/>
      <c r="H84" s="2760"/>
      <c r="I84" s="2760"/>
      <c r="J84" s="2760"/>
      <c r="K84" s="2760"/>
      <c r="L84" s="2760"/>
      <c r="M84" s="2760"/>
      <c r="N84" s="2760"/>
      <c r="O84" s="2760"/>
      <c r="P84" s="2760"/>
      <c r="Q84" s="2760"/>
      <c r="R84" s="2760"/>
      <c r="S84" s="2760"/>
      <c r="T84" s="2760"/>
      <c r="U84" s="2760"/>
      <c r="V84" s="2760"/>
      <c r="W84" s="2760"/>
      <c r="X84" s="2760"/>
      <c r="Y84" s="2760"/>
      <c r="Z84" s="2760"/>
      <c r="AA84" s="2760"/>
      <c r="AB84" s="2760"/>
      <c r="AC84" s="2760"/>
      <c r="AD84" s="2760"/>
      <c r="AE84" s="2760"/>
      <c r="AF84" s="2760"/>
      <c r="AG84" s="2760"/>
      <c r="AH84" s="2760"/>
      <c r="AI84" s="2760"/>
      <c r="AJ84" s="2760"/>
      <c r="AK84" s="2760"/>
      <c r="AL84" s="2760"/>
      <c r="AM84" s="2760"/>
      <c r="AN84" s="2760"/>
      <c r="AO84" s="2760"/>
      <c r="AP84" s="2760"/>
      <c r="AQ84" s="2760"/>
      <c r="AR84" s="2760"/>
      <c r="AS84" s="2760"/>
      <c r="AT84" s="2760"/>
      <c r="AU84" s="2760"/>
      <c r="AV84" s="2760"/>
      <c r="AW84" s="2760"/>
      <c r="AX84" s="2760"/>
      <c r="AY84" s="2760"/>
      <c r="AZ84" s="2760"/>
      <c r="BA84" s="2760"/>
      <c r="BB84" s="2760"/>
      <c r="BC84" s="2760"/>
      <c r="BD84" s="2760"/>
      <c r="BE84" s="2760"/>
      <c r="BF84" s="2760"/>
      <c r="BG84" s="2760"/>
      <c r="BH84" s="2760"/>
      <c r="BI84" s="2760"/>
      <c r="BJ84" s="2760"/>
      <c r="BK84" s="2760"/>
      <c r="BL84" s="2760"/>
      <c r="BM84" s="2760"/>
      <c r="BN84" s="2760"/>
      <c r="BO84" s="2760"/>
      <c r="BP84" s="2760"/>
      <c r="BQ84" s="2760"/>
      <c r="BR84" s="2760"/>
      <c r="BS84" s="2760"/>
      <c r="BT84" s="2760"/>
      <c r="BU84" s="2760"/>
      <c r="BV84" s="2760"/>
      <c r="BW84" s="2760"/>
      <c r="BX84" s="2760"/>
      <c r="BY84" s="2760"/>
      <c r="BZ84" s="2760"/>
      <c r="CA84" s="6"/>
      <c r="CB84" s="6"/>
      <c r="CC84" s="6"/>
      <c r="CD84" s="6"/>
      <c r="CE84" s="6"/>
      <c r="CF84" s="6"/>
      <c r="CG84" s="6"/>
      <c r="CH84" s="6"/>
    </row>
    <row r="85" spans="1:86" s="35" customFormat="1" ht="13.5" customHeight="1">
      <c r="A85" s="2760"/>
      <c r="B85" s="2760"/>
      <c r="C85" s="2760"/>
      <c r="D85" s="2760"/>
      <c r="E85" s="2760"/>
      <c r="F85" s="2760"/>
      <c r="G85" s="2760"/>
      <c r="H85" s="2760"/>
      <c r="I85" s="2760"/>
      <c r="J85" s="2760"/>
      <c r="K85" s="2760"/>
      <c r="L85" s="2760"/>
      <c r="M85" s="2760"/>
      <c r="N85" s="2760"/>
      <c r="O85" s="2760"/>
      <c r="P85" s="2760"/>
      <c r="Q85" s="2760"/>
      <c r="R85" s="2760"/>
      <c r="S85" s="2760"/>
      <c r="T85" s="2760"/>
      <c r="U85" s="2760"/>
      <c r="V85" s="2760"/>
      <c r="W85" s="2760"/>
      <c r="X85" s="2760"/>
      <c r="Y85" s="2760"/>
      <c r="Z85" s="2760"/>
      <c r="AA85" s="2760"/>
      <c r="AB85" s="2760"/>
      <c r="AC85" s="2760"/>
      <c r="AD85" s="2760"/>
      <c r="AE85" s="2760"/>
      <c r="AF85" s="2760"/>
      <c r="AG85" s="2760"/>
      <c r="AH85" s="2760"/>
      <c r="AI85" s="2760"/>
      <c r="AJ85" s="2760"/>
      <c r="AK85" s="2760"/>
      <c r="AL85" s="2760"/>
      <c r="AM85" s="2760"/>
      <c r="AN85" s="2760"/>
      <c r="AO85" s="2760"/>
      <c r="AP85" s="2760"/>
      <c r="AQ85" s="2760"/>
      <c r="AR85" s="2760"/>
      <c r="AS85" s="2760"/>
      <c r="AT85" s="2760"/>
      <c r="AU85" s="2760"/>
      <c r="AV85" s="2760"/>
      <c r="AW85" s="2760"/>
      <c r="AX85" s="2760"/>
      <c r="AY85" s="2760"/>
      <c r="AZ85" s="2760"/>
      <c r="BA85" s="2760"/>
      <c r="BB85" s="2760"/>
      <c r="BC85" s="2760"/>
      <c r="BD85" s="2760"/>
      <c r="BE85" s="2760"/>
      <c r="BF85" s="2760"/>
      <c r="BG85" s="2760"/>
      <c r="BH85" s="2760"/>
      <c r="BI85" s="2760"/>
      <c r="BJ85" s="2760"/>
      <c r="BK85" s="2760"/>
      <c r="BL85" s="2760"/>
      <c r="BM85" s="2760"/>
      <c r="BN85" s="2760"/>
      <c r="BO85" s="2760"/>
      <c r="BP85" s="2760"/>
      <c r="BQ85" s="2760"/>
      <c r="BR85" s="2760"/>
      <c r="BS85" s="2760"/>
      <c r="BT85" s="2760"/>
      <c r="BU85" s="2760"/>
      <c r="BV85" s="2760"/>
      <c r="BW85" s="2760"/>
      <c r="BX85" s="2760"/>
      <c r="BY85" s="2760"/>
      <c r="BZ85" s="2760"/>
      <c r="CA85" s="6"/>
      <c r="CB85" s="6"/>
      <c r="CC85" s="6"/>
      <c r="CD85" s="6"/>
      <c r="CE85" s="6"/>
      <c r="CF85" s="6"/>
      <c r="CG85" s="6"/>
      <c r="CH85" s="6"/>
    </row>
    <row r="86" spans="1:86" s="35" customFormat="1" ht="13.5" customHeight="1">
      <c r="A86" s="2760"/>
      <c r="B86" s="2760"/>
      <c r="C86" s="2760"/>
      <c r="D86" s="2760"/>
      <c r="E86" s="2760"/>
      <c r="F86" s="2760"/>
      <c r="G86" s="2760"/>
      <c r="H86" s="2760"/>
      <c r="I86" s="2760"/>
      <c r="J86" s="2760"/>
      <c r="K86" s="2760"/>
      <c r="L86" s="2760"/>
      <c r="M86" s="2760"/>
      <c r="N86" s="2760"/>
      <c r="O86" s="2760"/>
      <c r="P86" s="2760"/>
      <c r="Q86" s="2760"/>
      <c r="R86" s="2760"/>
      <c r="S86" s="2760"/>
      <c r="T86" s="2760"/>
      <c r="U86" s="2760"/>
      <c r="V86" s="2760"/>
      <c r="W86" s="2760"/>
      <c r="X86" s="2760"/>
      <c r="Y86" s="2760"/>
      <c r="Z86" s="2760"/>
      <c r="AA86" s="2760"/>
      <c r="AB86" s="2760"/>
      <c r="AC86" s="2760"/>
      <c r="AD86" s="2760"/>
      <c r="AE86" s="2760"/>
      <c r="AF86" s="2760"/>
      <c r="AG86" s="2760"/>
      <c r="AH86" s="2760"/>
      <c r="AI86" s="2760"/>
      <c r="AJ86" s="2760"/>
      <c r="AK86" s="2760"/>
      <c r="AL86" s="2760"/>
      <c r="AM86" s="2760"/>
      <c r="AN86" s="2760"/>
      <c r="AO86" s="2760"/>
      <c r="AP86" s="2760"/>
      <c r="AQ86" s="2760"/>
      <c r="AR86" s="2760"/>
      <c r="AS86" s="2760"/>
      <c r="AT86" s="2760"/>
      <c r="AU86" s="2760"/>
      <c r="AV86" s="2760"/>
      <c r="AW86" s="2760"/>
      <c r="AX86" s="2760"/>
      <c r="AY86" s="2760"/>
      <c r="AZ86" s="2760"/>
      <c r="BA86" s="2760"/>
      <c r="BB86" s="2760"/>
      <c r="BC86" s="2760"/>
      <c r="BD86" s="2760"/>
      <c r="BE86" s="2760"/>
      <c r="BF86" s="2760"/>
      <c r="BG86" s="2760"/>
      <c r="BH86" s="2760"/>
      <c r="BI86" s="2760"/>
      <c r="BJ86" s="2760"/>
      <c r="BK86" s="2760"/>
      <c r="BL86" s="2760"/>
      <c r="BM86" s="2760"/>
      <c r="BN86" s="2760"/>
      <c r="BO86" s="2760"/>
      <c r="BP86" s="2760"/>
      <c r="BQ86" s="2760"/>
      <c r="BR86" s="2760"/>
      <c r="BS86" s="2760"/>
      <c r="BT86" s="2760"/>
      <c r="BU86" s="2760"/>
      <c r="BV86" s="2760"/>
      <c r="BW86" s="2760"/>
      <c r="BX86" s="2760"/>
      <c r="BY86" s="2760"/>
      <c r="BZ86" s="2760"/>
      <c r="CA86" s="6"/>
      <c r="CB86" s="6"/>
      <c r="CC86" s="6"/>
      <c r="CD86" s="6"/>
      <c r="CE86" s="6"/>
      <c r="CF86" s="6"/>
      <c r="CG86" s="6"/>
      <c r="CH86" s="6"/>
    </row>
    <row r="87" spans="1:86" s="35" customFormat="1" ht="13.5" customHeight="1">
      <c r="A87" s="2760"/>
      <c r="B87" s="2760"/>
      <c r="C87" s="2760"/>
      <c r="D87" s="2760"/>
      <c r="E87" s="2760"/>
      <c r="F87" s="2760"/>
      <c r="G87" s="2760"/>
      <c r="H87" s="2760"/>
      <c r="I87" s="2760"/>
      <c r="J87" s="2760"/>
      <c r="K87" s="2760"/>
      <c r="L87" s="2760"/>
      <c r="M87" s="2760"/>
      <c r="N87" s="2760"/>
      <c r="O87" s="2760"/>
      <c r="P87" s="2760"/>
      <c r="Q87" s="2760"/>
      <c r="R87" s="2760"/>
      <c r="S87" s="2760"/>
      <c r="T87" s="2760"/>
      <c r="U87" s="2760"/>
      <c r="V87" s="2760"/>
      <c r="W87" s="2760"/>
      <c r="X87" s="2760"/>
      <c r="Y87" s="2760"/>
      <c r="Z87" s="2760"/>
      <c r="AA87" s="2760"/>
      <c r="AB87" s="2760"/>
      <c r="AC87" s="2760"/>
      <c r="AD87" s="2760"/>
      <c r="AE87" s="2760"/>
      <c r="AF87" s="2760"/>
      <c r="AG87" s="2760"/>
      <c r="AH87" s="2760"/>
      <c r="AI87" s="2760"/>
      <c r="AJ87" s="2760"/>
      <c r="AK87" s="2760"/>
      <c r="AL87" s="2760"/>
      <c r="AM87" s="2760"/>
      <c r="AN87" s="2760"/>
      <c r="AO87" s="2760"/>
      <c r="AP87" s="2760"/>
      <c r="AQ87" s="2760"/>
      <c r="AR87" s="2760"/>
      <c r="AS87" s="2760"/>
      <c r="AT87" s="2760"/>
      <c r="AU87" s="2760"/>
      <c r="AV87" s="2760"/>
      <c r="AW87" s="2760"/>
      <c r="AX87" s="2760"/>
      <c r="AY87" s="2760"/>
      <c r="AZ87" s="2760"/>
      <c r="BA87" s="2760"/>
      <c r="BB87" s="2760"/>
      <c r="BC87" s="2760"/>
      <c r="BD87" s="2760"/>
      <c r="BE87" s="2760"/>
      <c r="BF87" s="2760"/>
      <c r="BG87" s="2760"/>
      <c r="BH87" s="2760"/>
      <c r="BI87" s="2760"/>
      <c r="BJ87" s="2760"/>
      <c r="BK87" s="2760"/>
      <c r="BL87" s="2760"/>
      <c r="BM87" s="2760"/>
      <c r="BN87" s="2760"/>
      <c r="BO87" s="2760"/>
      <c r="BP87" s="2760"/>
      <c r="BQ87" s="2760"/>
      <c r="BR87" s="2760"/>
      <c r="BS87" s="2760"/>
      <c r="BT87" s="2760"/>
      <c r="BU87" s="2760"/>
      <c r="BV87" s="2760"/>
      <c r="BW87" s="2760"/>
      <c r="BX87" s="2760"/>
      <c r="BY87" s="2760"/>
      <c r="BZ87" s="2760"/>
      <c r="CA87" s="6"/>
      <c r="CB87" s="6"/>
      <c r="CC87" s="6"/>
      <c r="CD87" s="6"/>
      <c r="CE87" s="6"/>
      <c r="CF87" s="6"/>
      <c r="CG87" s="6"/>
      <c r="CH87" s="6"/>
    </row>
    <row r="88" spans="1:86" s="35" customFormat="1" ht="13.5" customHeight="1">
      <c r="A88" s="580"/>
      <c r="B88" s="580"/>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0"/>
      <c r="AL88" s="580"/>
      <c r="AM88" s="580"/>
      <c r="AN88" s="580"/>
      <c r="AO88" s="580"/>
      <c r="AP88" s="580"/>
      <c r="AQ88" s="580"/>
      <c r="AR88" s="580"/>
      <c r="AS88" s="580"/>
      <c r="AT88" s="580"/>
      <c r="AU88" s="580"/>
      <c r="AV88" s="580"/>
      <c r="AW88" s="580"/>
      <c r="AX88" s="580"/>
      <c r="AY88" s="580"/>
      <c r="AZ88" s="580"/>
      <c r="BA88" s="580"/>
      <c r="BB88" s="580"/>
      <c r="BC88" s="580"/>
      <c r="BD88" s="580"/>
      <c r="BE88" s="580"/>
      <c r="BF88" s="580"/>
      <c r="BG88" s="580"/>
      <c r="BH88" s="580"/>
      <c r="BI88" s="580"/>
      <c r="BJ88" s="580"/>
      <c r="BK88" s="580"/>
      <c r="BL88" s="580"/>
      <c r="BM88" s="580"/>
      <c r="BN88" s="580"/>
      <c r="BO88" s="580"/>
      <c r="BP88" s="580"/>
      <c r="BQ88" s="580"/>
      <c r="BR88" s="580"/>
      <c r="BS88" s="580"/>
      <c r="BT88" s="580"/>
      <c r="BU88" s="580"/>
      <c r="BV88" s="580"/>
      <c r="BW88" s="580"/>
      <c r="BX88" s="580"/>
      <c r="BY88" s="580"/>
      <c r="BZ88" s="580"/>
      <c r="CA88" s="7"/>
      <c r="CB88" s="7"/>
      <c r="CC88" s="7"/>
      <c r="CD88" s="7"/>
      <c r="CE88" s="7"/>
      <c r="CF88" s="7"/>
      <c r="CG88" s="7"/>
      <c r="CH88" s="7"/>
    </row>
    <row r="89" spans="1:86" s="35" customFormat="1" ht="13.5" customHeight="1">
      <c r="A89" s="2759" t="s">
        <v>280</v>
      </c>
      <c r="B89" s="2759"/>
      <c r="C89" s="2759"/>
      <c r="D89" s="2759"/>
      <c r="E89" s="2759"/>
      <c r="F89" s="2759"/>
      <c r="G89" s="2759"/>
      <c r="H89" s="2759"/>
      <c r="I89" s="2759"/>
      <c r="J89" s="2759"/>
      <c r="K89" s="2759"/>
      <c r="L89" s="2759"/>
      <c r="M89" s="2759"/>
      <c r="N89" s="2759"/>
      <c r="O89" s="2759"/>
      <c r="P89" s="2759"/>
      <c r="Q89" s="2759"/>
      <c r="R89" s="2759"/>
      <c r="S89" s="2759"/>
      <c r="T89" s="2759"/>
      <c r="U89" s="2759"/>
      <c r="V89" s="2759"/>
      <c r="W89" s="2759"/>
      <c r="X89" s="2759"/>
      <c r="Y89" s="2759"/>
      <c r="Z89" s="2759"/>
      <c r="AA89" s="2759"/>
      <c r="AB89" s="2759"/>
      <c r="AC89" s="2759"/>
      <c r="AD89" s="2759"/>
      <c r="AE89" s="2759"/>
      <c r="AF89" s="2759"/>
      <c r="AG89" s="2759"/>
      <c r="AH89" s="2759"/>
      <c r="AI89" s="2759"/>
      <c r="AJ89" s="2759"/>
      <c r="AK89" s="2759"/>
      <c r="AL89" s="2759"/>
      <c r="AM89" s="2759"/>
      <c r="AN89" s="2759"/>
      <c r="AO89" s="2759"/>
      <c r="AP89" s="2759"/>
      <c r="AQ89" s="2759"/>
      <c r="AR89" s="2759"/>
      <c r="AS89" s="2759"/>
      <c r="AT89" s="2759"/>
      <c r="AU89" s="2759"/>
      <c r="AV89" s="2759"/>
      <c r="AW89" s="2759"/>
      <c r="AX89" s="2759"/>
      <c r="AY89" s="2759"/>
      <c r="AZ89" s="2759"/>
      <c r="BA89" s="2759"/>
      <c r="BB89" s="2759"/>
      <c r="BC89" s="2759"/>
      <c r="BD89" s="2759"/>
      <c r="BE89" s="2759"/>
      <c r="BF89" s="2759"/>
      <c r="BG89" s="2759"/>
      <c r="BH89" s="2759"/>
      <c r="BI89" s="2759"/>
      <c r="BJ89" s="2759"/>
      <c r="BK89" s="2759"/>
      <c r="BL89" s="2759"/>
      <c r="BM89" s="2759"/>
      <c r="BN89" s="2759"/>
      <c r="BO89" s="2759"/>
      <c r="BP89" s="2759"/>
      <c r="BQ89" s="2759"/>
      <c r="BR89" s="2759"/>
      <c r="BS89" s="2759"/>
      <c r="BT89" s="2759"/>
      <c r="BU89" s="2759"/>
      <c r="BV89" s="2759"/>
      <c r="BW89" s="2759"/>
      <c r="BX89" s="2759"/>
      <c r="BY89" s="2759"/>
      <c r="BZ89" s="2759"/>
      <c r="CA89" s="7"/>
      <c r="CB89" s="7"/>
      <c r="CC89" s="7"/>
      <c r="CD89" s="7"/>
      <c r="CE89" s="7"/>
      <c r="CF89" s="7"/>
      <c r="CG89" s="7"/>
      <c r="CH89" s="7"/>
    </row>
    <row r="90" spans="1:86" s="35" customFormat="1" ht="13.5" customHeight="1">
      <c r="A90" s="2759"/>
      <c r="B90" s="2759"/>
      <c r="C90" s="2759"/>
      <c r="D90" s="2759"/>
      <c r="E90" s="2759"/>
      <c r="F90" s="2759"/>
      <c r="G90" s="2759"/>
      <c r="H90" s="2759"/>
      <c r="I90" s="2759"/>
      <c r="J90" s="2759"/>
      <c r="K90" s="2759"/>
      <c r="L90" s="2759"/>
      <c r="M90" s="2759"/>
      <c r="N90" s="2759"/>
      <c r="O90" s="2759"/>
      <c r="P90" s="2759"/>
      <c r="Q90" s="2759"/>
      <c r="R90" s="2759"/>
      <c r="S90" s="2759"/>
      <c r="T90" s="2759"/>
      <c r="U90" s="2759"/>
      <c r="V90" s="2759"/>
      <c r="W90" s="2759"/>
      <c r="X90" s="2759"/>
      <c r="Y90" s="2759"/>
      <c r="Z90" s="2759"/>
      <c r="AA90" s="2759"/>
      <c r="AB90" s="2759"/>
      <c r="AC90" s="2759"/>
      <c r="AD90" s="2759"/>
      <c r="AE90" s="2759"/>
      <c r="AF90" s="2759"/>
      <c r="AG90" s="2759"/>
      <c r="AH90" s="2759"/>
      <c r="AI90" s="2759"/>
      <c r="AJ90" s="2759"/>
      <c r="AK90" s="2759"/>
      <c r="AL90" s="2759"/>
      <c r="AM90" s="2759"/>
      <c r="AN90" s="2759"/>
      <c r="AO90" s="2759"/>
      <c r="AP90" s="2759"/>
      <c r="AQ90" s="2759"/>
      <c r="AR90" s="2759"/>
      <c r="AS90" s="2759"/>
      <c r="AT90" s="2759"/>
      <c r="AU90" s="2759"/>
      <c r="AV90" s="2759"/>
      <c r="AW90" s="2759"/>
      <c r="AX90" s="2759"/>
      <c r="AY90" s="2759"/>
      <c r="AZ90" s="2759"/>
      <c r="BA90" s="2759"/>
      <c r="BB90" s="2759"/>
      <c r="BC90" s="2759"/>
      <c r="BD90" s="2759"/>
      <c r="BE90" s="2759"/>
      <c r="BF90" s="2759"/>
      <c r="BG90" s="2759"/>
      <c r="BH90" s="2759"/>
      <c r="BI90" s="2759"/>
      <c r="BJ90" s="2759"/>
      <c r="BK90" s="2759"/>
      <c r="BL90" s="2759"/>
      <c r="BM90" s="2759"/>
      <c r="BN90" s="2759"/>
      <c r="BO90" s="2759"/>
      <c r="BP90" s="2759"/>
      <c r="BQ90" s="2759"/>
      <c r="BR90" s="2759"/>
      <c r="BS90" s="2759"/>
      <c r="BT90" s="2759"/>
      <c r="BU90" s="2759"/>
      <c r="BV90" s="2759"/>
      <c r="BW90" s="2759"/>
      <c r="BX90" s="2759"/>
      <c r="BY90" s="2759"/>
      <c r="BZ90" s="2759"/>
      <c r="CA90" s="7"/>
      <c r="CB90" s="7"/>
      <c r="CC90" s="7"/>
      <c r="CD90" s="7"/>
      <c r="CE90" s="7"/>
      <c r="CF90" s="7"/>
      <c r="CG90" s="7"/>
      <c r="CH90" s="7"/>
    </row>
    <row r="91" spans="1:86" s="35" customFormat="1" ht="23.25" customHeight="1">
      <c r="A91" s="1452" t="s">
        <v>274</v>
      </c>
      <c r="B91" s="1452"/>
      <c r="C91" s="1452"/>
      <c r="D91" s="1452"/>
      <c r="E91" s="1452"/>
      <c r="F91" s="1452"/>
      <c r="G91" s="1452"/>
      <c r="H91" s="1452"/>
      <c r="I91" s="1452"/>
      <c r="J91" s="1452"/>
      <c r="K91" s="1452"/>
      <c r="L91" s="1452"/>
      <c r="M91" s="1452"/>
      <c r="N91" s="1452"/>
      <c r="O91" s="1452"/>
      <c r="P91" s="1452"/>
      <c r="Q91" s="1452"/>
      <c r="R91" s="1452"/>
      <c r="S91" s="1452"/>
      <c r="T91" s="1452"/>
      <c r="U91" s="1452"/>
      <c r="V91" s="1452"/>
      <c r="W91" s="1452"/>
      <c r="X91" s="1452"/>
      <c r="Y91" s="1452"/>
      <c r="Z91" s="1452"/>
      <c r="AA91" s="1452"/>
      <c r="AB91" s="1452"/>
      <c r="AC91" s="1452"/>
      <c r="AD91" s="1452"/>
      <c r="AE91" s="1452"/>
      <c r="AF91" s="1452"/>
      <c r="AG91" s="1452"/>
      <c r="AH91" s="1452"/>
      <c r="AI91" s="1452"/>
      <c r="AJ91" s="1452"/>
      <c r="AK91" s="1452"/>
      <c r="AL91" s="1452"/>
      <c r="AM91" s="1452"/>
      <c r="AN91" s="1452"/>
      <c r="AO91" s="1452"/>
      <c r="AP91" s="1452"/>
      <c r="AQ91" s="1452"/>
      <c r="AR91" s="1452"/>
      <c r="AS91" s="1452"/>
      <c r="AT91" s="1452"/>
      <c r="AU91" s="1452"/>
      <c r="AV91" s="1452"/>
      <c r="AW91" s="1452"/>
      <c r="AX91" s="1452"/>
      <c r="AY91" s="1452"/>
      <c r="AZ91" s="1452"/>
      <c r="BA91" s="1452"/>
      <c r="BB91" s="1452"/>
      <c r="BC91" s="1452"/>
      <c r="BD91" s="1452"/>
      <c r="BE91" s="1452"/>
      <c r="BF91" s="1452"/>
      <c r="BG91" s="1452"/>
      <c r="BH91" s="1452"/>
      <c r="BI91" s="1452"/>
      <c r="BJ91" s="1452"/>
      <c r="BK91" s="1452"/>
      <c r="BL91" s="1452"/>
      <c r="BM91" s="1452"/>
      <c r="BN91" s="1452"/>
      <c r="BO91" s="1452"/>
      <c r="BP91" s="1452"/>
      <c r="BQ91" s="1452"/>
      <c r="BR91" s="1452"/>
      <c r="BS91" s="1452"/>
      <c r="BT91" s="1452"/>
      <c r="BU91" s="1452"/>
      <c r="BV91" s="1452"/>
      <c r="BW91" s="1452"/>
      <c r="BX91" s="1452"/>
      <c r="BY91" s="1452"/>
      <c r="BZ91" s="1452"/>
      <c r="CA91" s="6"/>
      <c r="CB91" s="6"/>
      <c r="CC91" s="6"/>
      <c r="CD91" s="6"/>
      <c r="CE91" s="6"/>
      <c r="CF91" s="6"/>
      <c r="CG91" s="6"/>
      <c r="CH91" s="6"/>
    </row>
    <row r="92" spans="1:86" s="35" customFormat="1" ht="13.5" customHeight="1">
      <c r="A92" s="1452"/>
      <c r="B92" s="1452"/>
      <c r="C92" s="1452"/>
      <c r="D92" s="1452"/>
      <c r="E92" s="1452"/>
      <c r="F92" s="1452"/>
      <c r="G92" s="1452"/>
      <c r="H92" s="1452"/>
      <c r="I92" s="1452"/>
      <c r="J92" s="1452"/>
      <c r="K92" s="1452"/>
      <c r="L92" s="1452"/>
      <c r="M92" s="1452"/>
      <c r="N92" s="1452"/>
      <c r="O92" s="1452"/>
      <c r="P92" s="1452"/>
      <c r="Q92" s="1452"/>
      <c r="R92" s="1452"/>
      <c r="S92" s="1452"/>
      <c r="T92" s="1452"/>
      <c r="U92" s="1452"/>
      <c r="V92" s="1452"/>
      <c r="W92" s="1452"/>
      <c r="X92" s="1452"/>
      <c r="Y92" s="1452"/>
      <c r="Z92" s="1452"/>
      <c r="AA92" s="1452"/>
      <c r="AB92" s="1452"/>
      <c r="AC92" s="1452"/>
      <c r="AD92" s="1452"/>
      <c r="AE92" s="1452"/>
      <c r="AF92" s="1452"/>
      <c r="AG92" s="1452"/>
      <c r="AH92" s="1452"/>
      <c r="AI92" s="1452"/>
      <c r="AJ92" s="1452"/>
      <c r="AK92" s="1452"/>
      <c r="AL92" s="1452"/>
      <c r="AM92" s="1452"/>
      <c r="AN92" s="1452"/>
      <c r="AO92" s="1452"/>
      <c r="AP92" s="1452"/>
      <c r="AQ92" s="1452"/>
      <c r="AR92" s="1452"/>
      <c r="AS92" s="1452"/>
      <c r="AT92" s="1452"/>
      <c r="AU92" s="1452"/>
      <c r="AV92" s="1452"/>
      <c r="AW92" s="1452"/>
      <c r="AX92" s="1452"/>
      <c r="AY92" s="1452"/>
      <c r="AZ92" s="1452"/>
      <c r="BA92" s="1452"/>
      <c r="BB92" s="1452"/>
      <c r="BC92" s="1452"/>
      <c r="BD92" s="1452"/>
      <c r="BE92" s="1452"/>
      <c r="BF92" s="1452"/>
      <c r="BG92" s="1452"/>
      <c r="BH92" s="1452"/>
      <c r="BI92" s="1452"/>
      <c r="BJ92" s="1452"/>
      <c r="BK92" s="1452"/>
      <c r="BL92" s="1452"/>
      <c r="BM92" s="1452"/>
      <c r="BN92" s="1452"/>
      <c r="BO92" s="1452"/>
      <c r="BP92" s="1452"/>
      <c r="BQ92" s="1452"/>
      <c r="BR92" s="1452"/>
      <c r="BS92" s="1452"/>
      <c r="BT92" s="1452"/>
      <c r="BU92" s="1452"/>
      <c r="BV92" s="1452"/>
      <c r="BW92" s="1452"/>
      <c r="BX92" s="1452"/>
      <c r="BY92" s="1452"/>
      <c r="BZ92" s="1452"/>
      <c r="CA92" s="6"/>
      <c r="CB92" s="6"/>
      <c r="CC92" s="6"/>
      <c r="CD92" s="6"/>
      <c r="CE92" s="6"/>
      <c r="CF92" s="6"/>
      <c r="CG92" s="6"/>
      <c r="CH92" s="6"/>
    </row>
    <row r="93" spans="1:86" s="35" customFormat="1" ht="13.5" customHeight="1">
      <c r="A93" s="2760" t="s">
        <v>275</v>
      </c>
      <c r="B93" s="2760"/>
      <c r="C93" s="2760"/>
      <c r="D93" s="2760"/>
      <c r="E93" s="2760"/>
      <c r="F93" s="2760"/>
      <c r="G93" s="2760"/>
      <c r="H93" s="2760"/>
      <c r="I93" s="2760"/>
      <c r="J93" s="2760"/>
      <c r="K93" s="2760"/>
      <c r="L93" s="2760"/>
      <c r="M93" s="2760"/>
      <c r="N93" s="2760"/>
      <c r="O93" s="2760"/>
      <c r="P93" s="2760"/>
      <c r="Q93" s="2760"/>
      <c r="R93" s="2789" t="str">
        <f>CONCATENATE('01 使用承認申請書'!C14)</f>
        <v/>
      </c>
      <c r="S93" s="2789"/>
      <c r="T93" s="2789"/>
      <c r="U93" s="2789"/>
      <c r="V93" s="2789"/>
      <c r="W93" s="2789"/>
      <c r="X93" s="2789"/>
      <c r="Y93" s="2789"/>
      <c r="Z93" s="2789"/>
      <c r="AA93" s="2789"/>
      <c r="AB93" s="2789"/>
      <c r="AC93" s="2760" t="s">
        <v>15</v>
      </c>
      <c r="AD93" s="2760"/>
      <c r="AE93" s="2760"/>
      <c r="AF93" s="2760"/>
      <c r="AG93" s="2760"/>
      <c r="AH93" s="2760"/>
      <c r="AI93" s="2760"/>
      <c r="AJ93" s="2760"/>
      <c r="AK93" s="2760"/>
      <c r="AL93" s="2760"/>
      <c r="AM93" s="2789" t="str">
        <f>CONCATENATE('01 使用承認申請書'!F14)</f>
        <v/>
      </c>
      <c r="AN93" s="2789"/>
      <c r="AO93" s="2789"/>
      <c r="AP93" s="2789"/>
      <c r="AQ93" s="2789"/>
      <c r="AR93" s="2789"/>
      <c r="AS93" s="2789"/>
      <c r="AT93" s="2789"/>
      <c r="AU93" s="2789"/>
      <c r="AV93" s="2789"/>
      <c r="AW93" s="2789"/>
      <c r="AX93" s="2760" t="s">
        <v>14</v>
      </c>
      <c r="AY93" s="2760"/>
      <c r="AZ93" s="2760"/>
      <c r="BA93" s="2760"/>
      <c r="BB93" s="2760"/>
      <c r="BC93" s="2760"/>
      <c r="BD93" s="2760"/>
      <c r="BE93" s="2760"/>
      <c r="BF93" s="2760"/>
      <c r="BG93" s="2760"/>
      <c r="BH93" s="2760" t="s">
        <v>38</v>
      </c>
      <c r="BI93" s="2760"/>
      <c r="BJ93" s="2760"/>
      <c r="BK93" s="2760"/>
      <c r="BL93" s="2761" t="str">
        <f>CONCATENATE('01 使用承認申請書'!J14)</f>
        <v/>
      </c>
      <c r="BM93" s="2761"/>
      <c r="BN93" s="2761"/>
      <c r="BO93" s="2761"/>
      <c r="BP93" s="2761"/>
      <c r="BQ93" s="2761"/>
      <c r="BR93" s="2761"/>
      <c r="BS93" s="2761"/>
      <c r="BT93" s="2761"/>
      <c r="BU93" s="2761"/>
      <c r="BV93" s="2761"/>
      <c r="BW93" s="2760" t="s">
        <v>37</v>
      </c>
      <c r="BX93" s="2760"/>
      <c r="BY93" s="2760"/>
      <c r="BZ93" s="2760"/>
      <c r="CA93" s="6"/>
      <c r="CB93" s="6"/>
      <c r="CC93" s="6"/>
      <c r="CD93" s="6"/>
      <c r="CE93" s="6"/>
      <c r="CF93" s="6"/>
      <c r="CG93" s="6"/>
      <c r="CH93" s="6"/>
    </row>
    <row r="94" spans="1:86" s="35" customFormat="1">
      <c r="A94" s="2760"/>
      <c r="B94" s="2760"/>
      <c r="C94" s="2760"/>
      <c r="D94" s="2760"/>
      <c r="E94" s="2760"/>
      <c r="F94" s="2760"/>
      <c r="G94" s="2760"/>
      <c r="H94" s="2760"/>
      <c r="I94" s="2760"/>
      <c r="J94" s="2760"/>
      <c r="K94" s="2760"/>
      <c r="L94" s="2760"/>
      <c r="M94" s="2760"/>
      <c r="N94" s="2760"/>
      <c r="O94" s="2760"/>
      <c r="P94" s="2760"/>
      <c r="Q94" s="2760"/>
      <c r="R94" s="2789"/>
      <c r="S94" s="2789"/>
      <c r="T94" s="2789"/>
      <c r="U94" s="2789"/>
      <c r="V94" s="2789"/>
      <c r="W94" s="2789"/>
      <c r="X94" s="2789"/>
      <c r="Y94" s="2789"/>
      <c r="Z94" s="2789"/>
      <c r="AA94" s="2789"/>
      <c r="AB94" s="2789"/>
      <c r="AC94" s="2760"/>
      <c r="AD94" s="2760"/>
      <c r="AE94" s="2760"/>
      <c r="AF94" s="2760"/>
      <c r="AG94" s="2760"/>
      <c r="AH94" s="2760"/>
      <c r="AI94" s="2760"/>
      <c r="AJ94" s="2760"/>
      <c r="AK94" s="2760"/>
      <c r="AL94" s="2760"/>
      <c r="AM94" s="2789"/>
      <c r="AN94" s="2789"/>
      <c r="AO94" s="2789"/>
      <c r="AP94" s="2789"/>
      <c r="AQ94" s="2789"/>
      <c r="AR94" s="2789"/>
      <c r="AS94" s="2789"/>
      <c r="AT94" s="2789"/>
      <c r="AU94" s="2789"/>
      <c r="AV94" s="2789"/>
      <c r="AW94" s="2789"/>
      <c r="AX94" s="2760"/>
      <c r="AY94" s="2760"/>
      <c r="AZ94" s="2760"/>
      <c r="BA94" s="2760"/>
      <c r="BB94" s="2760"/>
      <c r="BC94" s="2760"/>
      <c r="BD94" s="2760"/>
      <c r="BE94" s="2760"/>
      <c r="BF94" s="2760"/>
      <c r="BG94" s="2760"/>
      <c r="BH94" s="2760"/>
      <c r="BI94" s="2760"/>
      <c r="BJ94" s="2760"/>
      <c r="BK94" s="2760"/>
      <c r="BL94" s="2761"/>
      <c r="BM94" s="2761"/>
      <c r="BN94" s="2761"/>
      <c r="BO94" s="2761"/>
      <c r="BP94" s="2761"/>
      <c r="BQ94" s="2761"/>
      <c r="BR94" s="2761"/>
      <c r="BS94" s="2761"/>
      <c r="BT94" s="2761"/>
      <c r="BU94" s="2761"/>
      <c r="BV94" s="2761"/>
      <c r="BW94" s="2760"/>
      <c r="BX94" s="2760"/>
      <c r="BY94" s="2760"/>
      <c r="BZ94" s="2760"/>
      <c r="CA94" s="6"/>
      <c r="CB94" s="6"/>
      <c r="CC94" s="6"/>
      <c r="CD94" s="6"/>
      <c r="CE94" s="6"/>
      <c r="CF94" s="6"/>
      <c r="CG94" s="6"/>
      <c r="CH94" s="6"/>
    </row>
    <row r="95" spans="1:86">
      <c r="A95" s="2760"/>
      <c r="B95" s="2760"/>
      <c r="C95" s="2760"/>
      <c r="D95" s="2760"/>
      <c r="E95" s="2760"/>
      <c r="F95" s="2760"/>
      <c r="G95" s="2760"/>
      <c r="H95" s="2760"/>
      <c r="I95" s="2760"/>
      <c r="J95" s="2760"/>
      <c r="K95" s="2760"/>
      <c r="L95" s="2760"/>
      <c r="M95" s="2760"/>
      <c r="N95" s="2760"/>
      <c r="O95" s="2760"/>
      <c r="P95" s="2760"/>
      <c r="Q95" s="2760"/>
      <c r="R95" s="2789"/>
      <c r="S95" s="2789"/>
      <c r="T95" s="2789"/>
      <c r="U95" s="2789"/>
      <c r="V95" s="2789"/>
      <c r="W95" s="2789"/>
      <c r="X95" s="2789"/>
      <c r="Y95" s="2789"/>
      <c r="Z95" s="2789"/>
      <c r="AA95" s="2789"/>
      <c r="AB95" s="2789"/>
      <c r="AC95" s="2760"/>
      <c r="AD95" s="2760"/>
      <c r="AE95" s="2760"/>
      <c r="AF95" s="2760"/>
      <c r="AG95" s="2760"/>
      <c r="AH95" s="2760"/>
      <c r="AI95" s="2760"/>
      <c r="AJ95" s="2760"/>
      <c r="AK95" s="2760"/>
      <c r="AL95" s="2760"/>
      <c r="AM95" s="2789"/>
      <c r="AN95" s="2789"/>
      <c r="AO95" s="2789"/>
      <c r="AP95" s="2789"/>
      <c r="AQ95" s="2789"/>
      <c r="AR95" s="2789"/>
      <c r="AS95" s="2789"/>
      <c r="AT95" s="2789"/>
      <c r="AU95" s="2789"/>
      <c r="AV95" s="2789"/>
      <c r="AW95" s="2789"/>
      <c r="AX95" s="2760"/>
      <c r="AY95" s="2760"/>
      <c r="AZ95" s="2760"/>
      <c r="BA95" s="2760"/>
      <c r="BB95" s="2760"/>
      <c r="BC95" s="2760"/>
      <c r="BD95" s="2760"/>
      <c r="BE95" s="2760"/>
      <c r="BF95" s="2760"/>
      <c r="BG95" s="2760"/>
      <c r="BH95" s="2760"/>
      <c r="BI95" s="2760"/>
      <c r="BJ95" s="2760"/>
      <c r="BK95" s="2760"/>
      <c r="BL95" s="2761"/>
      <c r="BM95" s="2761"/>
      <c r="BN95" s="2761"/>
      <c r="BO95" s="2761"/>
      <c r="BP95" s="2761"/>
      <c r="BQ95" s="2761"/>
      <c r="BR95" s="2761"/>
      <c r="BS95" s="2761"/>
      <c r="BT95" s="2761"/>
      <c r="BU95" s="2761"/>
      <c r="BV95" s="2761"/>
      <c r="BW95" s="2760"/>
      <c r="BX95" s="2760"/>
      <c r="BY95" s="2760"/>
      <c r="BZ95" s="2760"/>
    </row>
    <row r="96" spans="1:86">
      <c r="A96" s="2760"/>
      <c r="B96" s="2760"/>
      <c r="C96" s="2760"/>
      <c r="D96" s="2760"/>
      <c r="E96" s="2760"/>
      <c r="F96" s="2760"/>
      <c r="G96" s="2760"/>
      <c r="H96" s="2760"/>
      <c r="I96" s="2760"/>
      <c r="J96" s="2760"/>
      <c r="K96" s="2760"/>
      <c r="L96" s="2760"/>
      <c r="M96" s="2760"/>
      <c r="N96" s="2760"/>
      <c r="O96" s="2760"/>
      <c r="P96" s="2760"/>
      <c r="Q96" s="2760"/>
      <c r="R96" s="2789"/>
      <c r="S96" s="2789"/>
      <c r="T96" s="2789"/>
      <c r="U96" s="2789"/>
      <c r="V96" s="2789"/>
      <c r="W96" s="2789"/>
      <c r="X96" s="2789"/>
      <c r="Y96" s="2789"/>
      <c r="Z96" s="2789"/>
      <c r="AA96" s="2789"/>
      <c r="AB96" s="2789"/>
      <c r="AC96" s="2760"/>
      <c r="AD96" s="2760"/>
      <c r="AE96" s="2760"/>
      <c r="AF96" s="2760"/>
      <c r="AG96" s="2760"/>
      <c r="AH96" s="2760"/>
      <c r="AI96" s="2760"/>
      <c r="AJ96" s="2760"/>
      <c r="AK96" s="2760"/>
      <c r="AL96" s="2760"/>
      <c r="AM96" s="2789"/>
      <c r="AN96" s="2789"/>
      <c r="AO96" s="2789"/>
      <c r="AP96" s="2789"/>
      <c r="AQ96" s="2789"/>
      <c r="AR96" s="2789"/>
      <c r="AS96" s="2789"/>
      <c r="AT96" s="2789"/>
      <c r="AU96" s="2789"/>
      <c r="AV96" s="2789"/>
      <c r="AW96" s="2789"/>
      <c r="AX96" s="2760"/>
      <c r="AY96" s="2760"/>
      <c r="AZ96" s="2760"/>
      <c r="BA96" s="2760"/>
      <c r="BB96" s="2760"/>
      <c r="BC96" s="2760"/>
      <c r="BD96" s="2760"/>
      <c r="BE96" s="2760"/>
      <c r="BF96" s="2760"/>
      <c r="BG96" s="2760"/>
      <c r="BH96" s="2760"/>
      <c r="BI96" s="2760"/>
      <c r="BJ96" s="2760"/>
      <c r="BK96" s="2760"/>
      <c r="BL96" s="2761"/>
      <c r="BM96" s="2761"/>
      <c r="BN96" s="2761"/>
      <c r="BO96" s="2761"/>
      <c r="BP96" s="2761"/>
      <c r="BQ96" s="2761"/>
      <c r="BR96" s="2761"/>
      <c r="BS96" s="2761"/>
      <c r="BT96" s="2761"/>
      <c r="BU96" s="2761"/>
      <c r="BV96" s="2761"/>
      <c r="BW96" s="2760"/>
      <c r="BX96" s="2760"/>
      <c r="BY96" s="2760"/>
      <c r="BZ96" s="2760"/>
    </row>
    <row r="97" spans="1:78">
      <c r="A97" s="2760"/>
      <c r="B97" s="2760"/>
      <c r="C97" s="2760"/>
      <c r="D97" s="2760"/>
      <c r="E97" s="2760"/>
      <c r="F97" s="2760"/>
      <c r="G97" s="2760"/>
      <c r="H97" s="2760"/>
      <c r="I97" s="2760"/>
      <c r="J97" s="2760"/>
      <c r="K97" s="2760"/>
      <c r="L97" s="2760"/>
      <c r="M97" s="2760"/>
      <c r="N97" s="2760"/>
      <c r="O97" s="2760"/>
      <c r="P97" s="2760"/>
      <c r="Q97" s="2760"/>
      <c r="R97" s="2789"/>
      <c r="S97" s="2789"/>
      <c r="T97" s="2789"/>
      <c r="U97" s="2789"/>
      <c r="V97" s="2789"/>
      <c r="W97" s="2789"/>
      <c r="X97" s="2789"/>
      <c r="Y97" s="2789"/>
      <c r="Z97" s="2789"/>
      <c r="AA97" s="2789"/>
      <c r="AB97" s="2789"/>
      <c r="AC97" s="2760"/>
      <c r="AD97" s="2760"/>
      <c r="AE97" s="2760"/>
      <c r="AF97" s="2760"/>
      <c r="AG97" s="2760"/>
      <c r="AH97" s="2760"/>
      <c r="AI97" s="2760"/>
      <c r="AJ97" s="2760"/>
      <c r="AK97" s="2760"/>
      <c r="AL97" s="2760"/>
      <c r="AM97" s="2789"/>
      <c r="AN97" s="2789"/>
      <c r="AO97" s="2789"/>
      <c r="AP97" s="2789"/>
      <c r="AQ97" s="2789"/>
      <c r="AR97" s="2789"/>
      <c r="AS97" s="2789"/>
      <c r="AT97" s="2789"/>
      <c r="AU97" s="2789"/>
      <c r="AV97" s="2789"/>
      <c r="AW97" s="2789"/>
      <c r="AX97" s="2760"/>
      <c r="AY97" s="2760"/>
      <c r="AZ97" s="2760"/>
      <c r="BA97" s="2760"/>
      <c r="BB97" s="2760"/>
      <c r="BC97" s="2760"/>
      <c r="BD97" s="2760"/>
      <c r="BE97" s="2760"/>
      <c r="BF97" s="2760"/>
      <c r="BG97" s="2760"/>
      <c r="BH97" s="2760"/>
      <c r="BI97" s="2760"/>
      <c r="BJ97" s="2760"/>
      <c r="BK97" s="2760"/>
      <c r="BL97" s="2761"/>
      <c r="BM97" s="2761"/>
      <c r="BN97" s="2761"/>
      <c r="BO97" s="2761"/>
      <c r="BP97" s="2761"/>
      <c r="BQ97" s="2761"/>
      <c r="BR97" s="2761"/>
      <c r="BS97" s="2761"/>
      <c r="BT97" s="2761"/>
      <c r="BU97" s="2761"/>
      <c r="BV97" s="2761"/>
      <c r="BW97" s="2760"/>
      <c r="BX97" s="2760"/>
      <c r="BY97" s="2760"/>
      <c r="BZ97" s="2760"/>
    </row>
    <row r="98" spans="1:78">
      <c r="A98" s="2760"/>
      <c r="B98" s="2760"/>
      <c r="C98" s="2760"/>
      <c r="D98" s="2760"/>
      <c r="E98" s="2760"/>
      <c r="F98" s="2760"/>
      <c r="G98" s="2760"/>
      <c r="H98" s="2760"/>
      <c r="I98" s="2760"/>
      <c r="J98" s="2760"/>
      <c r="K98" s="2760"/>
      <c r="L98" s="2760"/>
      <c r="M98" s="2760"/>
      <c r="N98" s="2760"/>
      <c r="O98" s="2760"/>
      <c r="P98" s="2760"/>
      <c r="Q98" s="2760"/>
      <c r="R98" s="2789"/>
      <c r="S98" s="2789"/>
      <c r="T98" s="2789"/>
      <c r="U98" s="2789"/>
      <c r="V98" s="2789"/>
      <c r="W98" s="2789"/>
      <c r="X98" s="2789"/>
      <c r="Y98" s="2789"/>
      <c r="Z98" s="2789"/>
      <c r="AA98" s="2789"/>
      <c r="AB98" s="2789"/>
      <c r="AC98" s="2760"/>
      <c r="AD98" s="2760"/>
      <c r="AE98" s="2760"/>
      <c r="AF98" s="2760"/>
      <c r="AG98" s="2760"/>
      <c r="AH98" s="2760"/>
      <c r="AI98" s="2760"/>
      <c r="AJ98" s="2760"/>
      <c r="AK98" s="2760"/>
      <c r="AL98" s="2760"/>
      <c r="AM98" s="2789"/>
      <c r="AN98" s="2789"/>
      <c r="AO98" s="2789"/>
      <c r="AP98" s="2789"/>
      <c r="AQ98" s="2789"/>
      <c r="AR98" s="2789"/>
      <c r="AS98" s="2789"/>
      <c r="AT98" s="2789"/>
      <c r="AU98" s="2789"/>
      <c r="AV98" s="2789"/>
      <c r="AW98" s="2789"/>
      <c r="AX98" s="2760"/>
      <c r="AY98" s="2760"/>
      <c r="AZ98" s="2760"/>
      <c r="BA98" s="2760"/>
      <c r="BB98" s="2760"/>
      <c r="BC98" s="2760"/>
      <c r="BD98" s="2760"/>
      <c r="BE98" s="2760"/>
      <c r="BF98" s="2760"/>
      <c r="BG98" s="2760"/>
      <c r="BH98" s="2760"/>
      <c r="BI98" s="2760"/>
      <c r="BJ98" s="2760"/>
      <c r="BK98" s="2760"/>
      <c r="BL98" s="2761"/>
      <c r="BM98" s="2761"/>
      <c r="BN98" s="2761"/>
      <c r="BO98" s="2761"/>
      <c r="BP98" s="2761"/>
      <c r="BQ98" s="2761"/>
      <c r="BR98" s="2761"/>
      <c r="BS98" s="2761"/>
      <c r="BT98" s="2761"/>
      <c r="BU98" s="2761"/>
      <c r="BV98" s="2761"/>
      <c r="BW98" s="2760"/>
      <c r="BX98" s="2760"/>
      <c r="BY98" s="2760"/>
      <c r="BZ98" s="2760"/>
    </row>
    <row r="99" spans="1:78">
      <c r="A99" s="2760"/>
      <c r="B99" s="2760"/>
      <c r="C99" s="2760"/>
      <c r="D99" s="2760"/>
      <c r="E99" s="2760"/>
      <c r="F99" s="2760"/>
      <c r="G99" s="2760"/>
      <c r="H99" s="2760"/>
      <c r="I99" s="2760"/>
      <c r="J99" s="2760"/>
      <c r="K99" s="2760"/>
      <c r="L99" s="2760"/>
      <c r="M99" s="2760"/>
      <c r="N99" s="2760"/>
      <c r="O99" s="2760"/>
      <c r="P99" s="2760"/>
      <c r="Q99" s="2760"/>
      <c r="R99" s="2789"/>
      <c r="S99" s="2789"/>
      <c r="T99" s="2789"/>
      <c r="U99" s="2789"/>
      <c r="V99" s="2789"/>
      <c r="W99" s="2789"/>
      <c r="X99" s="2789"/>
      <c r="Y99" s="2789"/>
      <c r="Z99" s="2789"/>
      <c r="AA99" s="2789"/>
      <c r="AB99" s="2789"/>
      <c r="AC99" s="2760"/>
      <c r="AD99" s="2760"/>
      <c r="AE99" s="2760"/>
      <c r="AF99" s="2760"/>
      <c r="AG99" s="2760"/>
      <c r="AH99" s="2760"/>
      <c r="AI99" s="2760"/>
      <c r="AJ99" s="2760"/>
      <c r="AK99" s="2760"/>
      <c r="AL99" s="2760"/>
      <c r="AM99" s="2789"/>
      <c r="AN99" s="2789"/>
      <c r="AO99" s="2789"/>
      <c r="AP99" s="2789"/>
      <c r="AQ99" s="2789"/>
      <c r="AR99" s="2789"/>
      <c r="AS99" s="2789"/>
      <c r="AT99" s="2789"/>
      <c r="AU99" s="2789"/>
      <c r="AV99" s="2789"/>
      <c r="AW99" s="2789"/>
      <c r="AX99" s="2760"/>
      <c r="AY99" s="2760"/>
      <c r="AZ99" s="2760"/>
      <c r="BA99" s="2760"/>
      <c r="BB99" s="2760"/>
      <c r="BC99" s="2760"/>
      <c r="BD99" s="2760"/>
      <c r="BE99" s="2760"/>
      <c r="BF99" s="2760"/>
      <c r="BG99" s="2760"/>
      <c r="BH99" s="2760"/>
      <c r="BI99" s="2760"/>
      <c r="BJ99" s="2760"/>
      <c r="BK99" s="2760"/>
      <c r="BL99" s="2761"/>
      <c r="BM99" s="2761"/>
      <c r="BN99" s="2761"/>
      <c r="BO99" s="2761"/>
      <c r="BP99" s="2761"/>
      <c r="BQ99" s="2761"/>
      <c r="BR99" s="2761"/>
      <c r="BS99" s="2761"/>
      <c r="BT99" s="2761"/>
      <c r="BU99" s="2761"/>
      <c r="BV99" s="2761"/>
      <c r="BW99" s="2760"/>
      <c r="BX99" s="2760"/>
      <c r="BY99" s="2760"/>
      <c r="BZ99" s="2760"/>
    </row>
    <row r="100" spans="1:78">
      <c r="A100" s="2760"/>
      <c r="B100" s="2760"/>
      <c r="C100" s="2760"/>
      <c r="D100" s="2760"/>
      <c r="E100" s="2760"/>
      <c r="F100" s="2760"/>
      <c r="G100" s="2760"/>
      <c r="H100" s="2760"/>
      <c r="I100" s="2760"/>
      <c r="J100" s="2760"/>
      <c r="K100" s="2760"/>
      <c r="L100" s="2760"/>
      <c r="M100" s="2760"/>
      <c r="N100" s="2760"/>
      <c r="O100" s="2760"/>
      <c r="P100" s="2760"/>
      <c r="Q100" s="2760"/>
      <c r="R100" s="2789"/>
      <c r="S100" s="2789"/>
      <c r="T100" s="2789"/>
      <c r="U100" s="2789"/>
      <c r="V100" s="2789"/>
      <c r="W100" s="2789"/>
      <c r="X100" s="2789"/>
      <c r="Y100" s="2789"/>
      <c r="Z100" s="2789"/>
      <c r="AA100" s="2789"/>
      <c r="AB100" s="2789"/>
      <c r="AC100" s="2760"/>
      <c r="AD100" s="2760"/>
      <c r="AE100" s="2760"/>
      <c r="AF100" s="2760"/>
      <c r="AG100" s="2760"/>
      <c r="AH100" s="2760"/>
      <c r="AI100" s="2760"/>
      <c r="AJ100" s="2760"/>
      <c r="AK100" s="2760"/>
      <c r="AL100" s="2760"/>
      <c r="AM100" s="2789"/>
      <c r="AN100" s="2789"/>
      <c r="AO100" s="2789"/>
      <c r="AP100" s="2789"/>
      <c r="AQ100" s="2789"/>
      <c r="AR100" s="2789"/>
      <c r="AS100" s="2789"/>
      <c r="AT100" s="2789"/>
      <c r="AU100" s="2789"/>
      <c r="AV100" s="2789"/>
      <c r="AW100" s="2789"/>
      <c r="AX100" s="2760"/>
      <c r="AY100" s="2760"/>
      <c r="AZ100" s="2760"/>
      <c r="BA100" s="2760"/>
      <c r="BB100" s="2760"/>
      <c r="BC100" s="2760"/>
      <c r="BD100" s="2760"/>
      <c r="BE100" s="2760"/>
      <c r="BF100" s="2760"/>
      <c r="BG100" s="2760"/>
      <c r="BH100" s="2760"/>
      <c r="BI100" s="2760"/>
      <c r="BJ100" s="2760"/>
      <c r="BK100" s="2760"/>
      <c r="BL100" s="2761"/>
      <c r="BM100" s="2761"/>
      <c r="BN100" s="2761"/>
      <c r="BO100" s="2761"/>
      <c r="BP100" s="2761"/>
      <c r="BQ100" s="2761"/>
      <c r="BR100" s="2761"/>
      <c r="BS100" s="2761"/>
      <c r="BT100" s="2761"/>
      <c r="BU100" s="2761"/>
      <c r="BV100" s="2761"/>
      <c r="BW100" s="2760"/>
      <c r="BX100" s="2760"/>
      <c r="BY100" s="2760"/>
      <c r="BZ100" s="2760"/>
    </row>
    <row r="101" spans="1:78">
      <c r="A101" s="2760"/>
      <c r="B101" s="2760"/>
      <c r="C101" s="2760"/>
      <c r="D101" s="2760"/>
      <c r="E101" s="2760"/>
      <c r="F101" s="2760"/>
      <c r="G101" s="2760"/>
      <c r="H101" s="2760"/>
      <c r="I101" s="2760"/>
      <c r="J101" s="2760"/>
      <c r="K101" s="2760"/>
      <c r="L101" s="2760"/>
      <c r="M101" s="2760"/>
      <c r="N101" s="2760"/>
      <c r="O101" s="2760"/>
      <c r="P101" s="2760"/>
      <c r="Q101" s="2760"/>
      <c r="R101" s="2790"/>
      <c r="S101" s="2790"/>
      <c r="T101" s="2790"/>
      <c r="U101" s="2790"/>
      <c r="V101" s="2790"/>
      <c r="W101" s="2790"/>
      <c r="X101" s="2790"/>
      <c r="Y101" s="2790"/>
      <c r="Z101" s="2790"/>
      <c r="AA101" s="2790"/>
      <c r="AB101" s="2790"/>
      <c r="AC101" s="2760"/>
      <c r="AD101" s="2760"/>
      <c r="AE101" s="2760"/>
      <c r="AF101" s="2760"/>
      <c r="AG101" s="2760"/>
      <c r="AH101" s="2760"/>
      <c r="AI101" s="2760"/>
      <c r="AJ101" s="2760"/>
      <c r="AK101" s="2760"/>
      <c r="AL101" s="2760"/>
      <c r="AM101" s="2790"/>
      <c r="AN101" s="2790"/>
      <c r="AO101" s="2790"/>
      <c r="AP101" s="2790"/>
      <c r="AQ101" s="2790"/>
      <c r="AR101" s="2790"/>
      <c r="AS101" s="2790"/>
      <c r="AT101" s="2790"/>
      <c r="AU101" s="2790"/>
      <c r="AV101" s="2790"/>
      <c r="AW101" s="2790"/>
      <c r="AX101" s="2760"/>
      <c r="AY101" s="2760"/>
      <c r="AZ101" s="2760"/>
      <c r="BA101" s="2760"/>
      <c r="BB101" s="2760"/>
      <c r="BC101" s="2760"/>
      <c r="BD101" s="2760"/>
      <c r="BE101" s="2760"/>
      <c r="BF101" s="2760"/>
      <c r="BG101" s="2760"/>
      <c r="BH101" s="2760"/>
      <c r="BI101" s="2760"/>
      <c r="BJ101" s="2760"/>
      <c r="BK101" s="2760"/>
      <c r="BL101" s="2762"/>
      <c r="BM101" s="2762"/>
      <c r="BN101" s="2762"/>
      <c r="BO101" s="2762"/>
      <c r="BP101" s="2762"/>
      <c r="BQ101" s="2762"/>
      <c r="BR101" s="2762"/>
      <c r="BS101" s="2762"/>
      <c r="BT101" s="2762"/>
      <c r="BU101" s="2762"/>
      <c r="BV101" s="2762"/>
      <c r="BW101" s="2760"/>
      <c r="BX101" s="2760"/>
      <c r="BY101" s="2760"/>
      <c r="BZ101" s="2760"/>
    </row>
    <row r="102" spans="1:78">
      <c r="A102" s="2763" t="s">
        <v>2979</v>
      </c>
      <c r="B102" s="2764"/>
      <c r="C102" s="2764"/>
      <c r="D102" s="2764"/>
      <c r="E102" s="2764"/>
      <c r="F102" s="2764"/>
      <c r="G102" s="2764"/>
      <c r="H102" s="2764"/>
      <c r="I102" s="2764"/>
      <c r="J102" s="2764"/>
      <c r="K102" s="2764"/>
      <c r="L102" s="2764"/>
      <c r="M102" s="2764"/>
      <c r="N102" s="2764"/>
      <c r="O102" s="2764"/>
      <c r="P102" s="2764"/>
      <c r="Q102" s="2764"/>
      <c r="R102" s="2765" t="str">
        <f>CONCATENATE('01 使用承認申請書'!D4)</f>
        <v/>
      </c>
      <c r="S102" s="2765"/>
      <c r="T102" s="2765"/>
      <c r="U102" s="2765"/>
      <c r="V102" s="2765"/>
      <c r="W102" s="2765"/>
      <c r="X102" s="2765"/>
      <c r="Y102" s="2765"/>
      <c r="Z102" s="2765"/>
      <c r="AA102" s="2765"/>
      <c r="AB102" s="2765"/>
      <c r="AC102" s="2765"/>
      <c r="AD102" s="2765"/>
      <c r="AE102" s="2765"/>
      <c r="AF102" s="2765"/>
      <c r="AG102" s="2765"/>
      <c r="AH102" s="2765"/>
      <c r="AI102" s="2765"/>
      <c r="AJ102" s="2765"/>
      <c r="AK102" s="2765"/>
      <c r="AL102" s="2765"/>
      <c r="AM102" s="2765"/>
      <c r="AN102" s="2765"/>
      <c r="AO102" s="2765"/>
      <c r="AP102" s="2765"/>
      <c r="AQ102" s="2765"/>
      <c r="AR102" s="2765"/>
      <c r="AS102" s="2765"/>
      <c r="AT102" s="2765"/>
      <c r="AU102" s="2765"/>
      <c r="AV102" s="2765"/>
      <c r="AW102" s="2765"/>
      <c r="AX102" s="2765"/>
      <c r="AY102" s="2765"/>
      <c r="AZ102" s="2765"/>
      <c r="BA102" s="2765"/>
      <c r="BB102" s="2765"/>
      <c r="BC102" s="2765"/>
      <c r="BD102" s="2765"/>
      <c r="BE102" s="2765"/>
      <c r="BF102" s="2765"/>
      <c r="BG102" s="2765"/>
      <c r="BH102" s="2765"/>
      <c r="BI102" s="2765"/>
      <c r="BJ102" s="2765"/>
      <c r="BK102" s="2765"/>
      <c r="BL102" s="2765"/>
      <c r="BM102" s="2765"/>
      <c r="BN102" s="2765"/>
      <c r="BO102" s="2765"/>
      <c r="BP102" s="2765"/>
      <c r="BQ102" s="2765"/>
      <c r="BR102" s="2765"/>
      <c r="BS102" s="2765"/>
      <c r="BT102" s="2765"/>
      <c r="BU102" s="2765"/>
      <c r="BV102" s="2765"/>
      <c r="BW102" s="2765"/>
      <c r="BX102" s="2765"/>
      <c r="BY102" s="2765"/>
      <c r="BZ102" s="2765"/>
    </row>
    <row r="103" spans="1:78">
      <c r="A103" s="2764"/>
      <c r="B103" s="2764"/>
      <c r="C103" s="2764"/>
      <c r="D103" s="2764"/>
      <c r="E103" s="2764"/>
      <c r="F103" s="2764"/>
      <c r="G103" s="2764"/>
      <c r="H103" s="2764"/>
      <c r="I103" s="2764"/>
      <c r="J103" s="2764"/>
      <c r="K103" s="2764"/>
      <c r="L103" s="2764"/>
      <c r="M103" s="2764"/>
      <c r="N103" s="2764"/>
      <c r="O103" s="2764"/>
      <c r="P103" s="2764"/>
      <c r="Q103" s="2764"/>
      <c r="R103" s="2765"/>
      <c r="S103" s="2765"/>
      <c r="T103" s="2765"/>
      <c r="U103" s="2765"/>
      <c r="V103" s="2765"/>
      <c r="W103" s="2765"/>
      <c r="X103" s="2765"/>
      <c r="Y103" s="2765"/>
      <c r="Z103" s="2765"/>
      <c r="AA103" s="2765"/>
      <c r="AB103" s="2765"/>
      <c r="AC103" s="2765"/>
      <c r="AD103" s="2765"/>
      <c r="AE103" s="2765"/>
      <c r="AF103" s="2765"/>
      <c r="AG103" s="2765"/>
      <c r="AH103" s="2765"/>
      <c r="AI103" s="2765"/>
      <c r="AJ103" s="2765"/>
      <c r="AK103" s="2765"/>
      <c r="AL103" s="2765"/>
      <c r="AM103" s="2765"/>
      <c r="AN103" s="2765"/>
      <c r="AO103" s="2765"/>
      <c r="AP103" s="2765"/>
      <c r="AQ103" s="2765"/>
      <c r="AR103" s="2765"/>
      <c r="AS103" s="2765"/>
      <c r="AT103" s="2765"/>
      <c r="AU103" s="2765"/>
      <c r="AV103" s="2765"/>
      <c r="AW103" s="2765"/>
      <c r="AX103" s="2765"/>
      <c r="AY103" s="2765"/>
      <c r="AZ103" s="2765"/>
      <c r="BA103" s="2765"/>
      <c r="BB103" s="2765"/>
      <c r="BC103" s="2765"/>
      <c r="BD103" s="2765"/>
      <c r="BE103" s="2765"/>
      <c r="BF103" s="2765"/>
      <c r="BG103" s="2765"/>
      <c r="BH103" s="2765"/>
      <c r="BI103" s="2765"/>
      <c r="BJ103" s="2765"/>
      <c r="BK103" s="2765"/>
      <c r="BL103" s="2765"/>
      <c r="BM103" s="2765"/>
      <c r="BN103" s="2765"/>
      <c r="BO103" s="2765"/>
      <c r="BP103" s="2765"/>
      <c r="BQ103" s="2765"/>
      <c r="BR103" s="2765"/>
      <c r="BS103" s="2765"/>
      <c r="BT103" s="2765"/>
      <c r="BU103" s="2765"/>
      <c r="BV103" s="2765"/>
      <c r="BW103" s="2765"/>
      <c r="BX103" s="2765"/>
      <c r="BY103" s="2765"/>
      <c r="BZ103" s="2765"/>
    </row>
    <row r="104" spans="1:78">
      <c r="A104" s="2764"/>
      <c r="B104" s="2764"/>
      <c r="C104" s="2764"/>
      <c r="D104" s="2764"/>
      <c r="E104" s="2764"/>
      <c r="F104" s="2764"/>
      <c r="G104" s="2764"/>
      <c r="H104" s="2764"/>
      <c r="I104" s="2764"/>
      <c r="J104" s="2764"/>
      <c r="K104" s="2764"/>
      <c r="L104" s="2764"/>
      <c r="M104" s="2764"/>
      <c r="N104" s="2764"/>
      <c r="O104" s="2764"/>
      <c r="P104" s="2764"/>
      <c r="Q104" s="2764"/>
      <c r="R104" s="2765"/>
      <c r="S104" s="2765"/>
      <c r="T104" s="2765"/>
      <c r="U104" s="2765"/>
      <c r="V104" s="2765"/>
      <c r="W104" s="2765"/>
      <c r="X104" s="2765"/>
      <c r="Y104" s="2765"/>
      <c r="Z104" s="2765"/>
      <c r="AA104" s="2765"/>
      <c r="AB104" s="2765"/>
      <c r="AC104" s="2765"/>
      <c r="AD104" s="2765"/>
      <c r="AE104" s="2765"/>
      <c r="AF104" s="2765"/>
      <c r="AG104" s="2765"/>
      <c r="AH104" s="2765"/>
      <c r="AI104" s="2765"/>
      <c r="AJ104" s="2765"/>
      <c r="AK104" s="2765"/>
      <c r="AL104" s="2765"/>
      <c r="AM104" s="2765"/>
      <c r="AN104" s="2765"/>
      <c r="AO104" s="2765"/>
      <c r="AP104" s="2765"/>
      <c r="AQ104" s="2765"/>
      <c r="AR104" s="2765"/>
      <c r="AS104" s="2765"/>
      <c r="AT104" s="2765"/>
      <c r="AU104" s="2765"/>
      <c r="AV104" s="2765"/>
      <c r="AW104" s="2765"/>
      <c r="AX104" s="2765"/>
      <c r="AY104" s="2765"/>
      <c r="AZ104" s="2765"/>
      <c r="BA104" s="2765"/>
      <c r="BB104" s="2765"/>
      <c r="BC104" s="2765"/>
      <c r="BD104" s="2765"/>
      <c r="BE104" s="2765"/>
      <c r="BF104" s="2765"/>
      <c r="BG104" s="2765"/>
      <c r="BH104" s="2765"/>
      <c r="BI104" s="2765"/>
      <c r="BJ104" s="2765"/>
      <c r="BK104" s="2765"/>
      <c r="BL104" s="2765"/>
      <c r="BM104" s="2765"/>
      <c r="BN104" s="2765"/>
      <c r="BO104" s="2765"/>
      <c r="BP104" s="2765"/>
      <c r="BQ104" s="2765"/>
      <c r="BR104" s="2765"/>
      <c r="BS104" s="2765"/>
      <c r="BT104" s="2765"/>
      <c r="BU104" s="2765"/>
      <c r="BV104" s="2765"/>
      <c r="BW104" s="2765"/>
      <c r="BX104" s="2765"/>
      <c r="BY104" s="2765"/>
      <c r="BZ104" s="2765"/>
    </row>
    <row r="105" spans="1:78">
      <c r="A105" s="2764"/>
      <c r="B105" s="2764"/>
      <c r="C105" s="2764"/>
      <c r="D105" s="2764"/>
      <c r="E105" s="2764"/>
      <c r="F105" s="2764"/>
      <c r="G105" s="2764"/>
      <c r="H105" s="2764"/>
      <c r="I105" s="2764"/>
      <c r="J105" s="2764"/>
      <c r="K105" s="2764"/>
      <c r="L105" s="2764"/>
      <c r="M105" s="2764"/>
      <c r="N105" s="2764"/>
      <c r="O105" s="2764"/>
      <c r="P105" s="2764"/>
      <c r="Q105" s="2764"/>
      <c r="R105" s="2765"/>
      <c r="S105" s="2765"/>
      <c r="T105" s="2765"/>
      <c r="U105" s="2765"/>
      <c r="V105" s="2765"/>
      <c r="W105" s="2765"/>
      <c r="X105" s="2765"/>
      <c r="Y105" s="2765"/>
      <c r="Z105" s="2765"/>
      <c r="AA105" s="2765"/>
      <c r="AB105" s="2765"/>
      <c r="AC105" s="2765"/>
      <c r="AD105" s="2765"/>
      <c r="AE105" s="2765"/>
      <c r="AF105" s="2765"/>
      <c r="AG105" s="2765"/>
      <c r="AH105" s="2765"/>
      <c r="AI105" s="2765"/>
      <c r="AJ105" s="2765"/>
      <c r="AK105" s="2765"/>
      <c r="AL105" s="2765"/>
      <c r="AM105" s="2765"/>
      <c r="AN105" s="2765"/>
      <c r="AO105" s="2765"/>
      <c r="AP105" s="2765"/>
      <c r="AQ105" s="2765"/>
      <c r="AR105" s="2765"/>
      <c r="AS105" s="2765"/>
      <c r="AT105" s="2765"/>
      <c r="AU105" s="2765"/>
      <c r="AV105" s="2765"/>
      <c r="AW105" s="2765"/>
      <c r="AX105" s="2765"/>
      <c r="AY105" s="2765"/>
      <c r="AZ105" s="2765"/>
      <c r="BA105" s="2765"/>
      <c r="BB105" s="2765"/>
      <c r="BC105" s="2765"/>
      <c r="BD105" s="2765"/>
      <c r="BE105" s="2765"/>
      <c r="BF105" s="2765"/>
      <c r="BG105" s="2765"/>
      <c r="BH105" s="2765"/>
      <c r="BI105" s="2765"/>
      <c r="BJ105" s="2765"/>
      <c r="BK105" s="2765"/>
      <c r="BL105" s="2765"/>
      <c r="BM105" s="2765"/>
      <c r="BN105" s="2765"/>
      <c r="BO105" s="2765"/>
      <c r="BP105" s="2765"/>
      <c r="BQ105" s="2765"/>
      <c r="BR105" s="2765"/>
      <c r="BS105" s="2765"/>
      <c r="BT105" s="2765"/>
      <c r="BU105" s="2765"/>
      <c r="BV105" s="2765"/>
      <c r="BW105" s="2765"/>
      <c r="BX105" s="2765"/>
      <c r="BY105" s="2765"/>
      <c r="BZ105" s="2765"/>
    </row>
    <row r="106" spans="1:78">
      <c r="A106" s="2764"/>
      <c r="B106" s="2764"/>
      <c r="C106" s="2764"/>
      <c r="D106" s="2764"/>
      <c r="E106" s="2764"/>
      <c r="F106" s="2764"/>
      <c r="G106" s="2764"/>
      <c r="H106" s="2764"/>
      <c r="I106" s="2764"/>
      <c r="J106" s="2764"/>
      <c r="K106" s="2764"/>
      <c r="L106" s="2764"/>
      <c r="M106" s="2764"/>
      <c r="N106" s="2764"/>
      <c r="O106" s="2764"/>
      <c r="P106" s="2764"/>
      <c r="Q106" s="2764"/>
      <c r="R106" s="2765"/>
      <c r="S106" s="2765"/>
      <c r="T106" s="2765"/>
      <c r="U106" s="2765"/>
      <c r="V106" s="2765"/>
      <c r="W106" s="2765"/>
      <c r="X106" s="2765"/>
      <c r="Y106" s="2765"/>
      <c r="Z106" s="2765"/>
      <c r="AA106" s="2765"/>
      <c r="AB106" s="2765"/>
      <c r="AC106" s="2765"/>
      <c r="AD106" s="2765"/>
      <c r="AE106" s="2765"/>
      <c r="AF106" s="2765"/>
      <c r="AG106" s="2765"/>
      <c r="AH106" s="2765"/>
      <c r="AI106" s="2765"/>
      <c r="AJ106" s="2765"/>
      <c r="AK106" s="2765"/>
      <c r="AL106" s="2765"/>
      <c r="AM106" s="2765"/>
      <c r="AN106" s="2765"/>
      <c r="AO106" s="2765"/>
      <c r="AP106" s="2765"/>
      <c r="AQ106" s="2765"/>
      <c r="AR106" s="2765"/>
      <c r="AS106" s="2765"/>
      <c r="AT106" s="2765"/>
      <c r="AU106" s="2765"/>
      <c r="AV106" s="2765"/>
      <c r="AW106" s="2765"/>
      <c r="AX106" s="2765"/>
      <c r="AY106" s="2765"/>
      <c r="AZ106" s="2765"/>
      <c r="BA106" s="2765"/>
      <c r="BB106" s="2765"/>
      <c r="BC106" s="2765"/>
      <c r="BD106" s="2765"/>
      <c r="BE106" s="2765"/>
      <c r="BF106" s="2765"/>
      <c r="BG106" s="2765"/>
      <c r="BH106" s="2765"/>
      <c r="BI106" s="2765"/>
      <c r="BJ106" s="2765"/>
      <c r="BK106" s="2765"/>
      <c r="BL106" s="2765"/>
      <c r="BM106" s="2765"/>
      <c r="BN106" s="2765"/>
      <c r="BO106" s="2765"/>
      <c r="BP106" s="2765"/>
      <c r="BQ106" s="2765"/>
      <c r="BR106" s="2765"/>
      <c r="BS106" s="2765"/>
      <c r="BT106" s="2765"/>
      <c r="BU106" s="2765"/>
      <c r="BV106" s="2765"/>
      <c r="BW106" s="2765"/>
      <c r="BX106" s="2765"/>
      <c r="BY106" s="2765"/>
      <c r="BZ106" s="2765"/>
    </row>
    <row r="107" spans="1:78">
      <c r="A107" s="2764"/>
      <c r="B107" s="2764"/>
      <c r="C107" s="2764"/>
      <c r="D107" s="2764"/>
      <c r="E107" s="2764"/>
      <c r="F107" s="2764"/>
      <c r="G107" s="2764"/>
      <c r="H107" s="2764"/>
      <c r="I107" s="2764"/>
      <c r="J107" s="2764"/>
      <c r="K107" s="2764"/>
      <c r="L107" s="2764"/>
      <c r="M107" s="2764"/>
      <c r="N107" s="2764"/>
      <c r="O107" s="2764"/>
      <c r="P107" s="2764"/>
      <c r="Q107" s="2764"/>
      <c r="R107" s="2765"/>
      <c r="S107" s="2765"/>
      <c r="T107" s="2765"/>
      <c r="U107" s="2765"/>
      <c r="V107" s="2765"/>
      <c r="W107" s="2765"/>
      <c r="X107" s="2765"/>
      <c r="Y107" s="2765"/>
      <c r="Z107" s="2765"/>
      <c r="AA107" s="2765"/>
      <c r="AB107" s="2765"/>
      <c r="AC107" s="2765"/>
      <c r="AD107" s="2765"/>
      <c r="AE107" s="2765"/>
      <c r="AF107" s="2765"/>
      <c r="AG107" s="2765"/>
      <c r="AH107" s="2765"/>
      <c r="AI107" s="2765"/>
      <c r="AJ107" s="2765"/>
      <c r="AK107" s="2765"/>
      <c r="AL107" s="2765"/>
      <c r="AM107" s="2765"/>
      <c r="AN107" s="2765"/>
      <c r="AO107" s="2765"/>
      <c r="AP107" s="2765"/>
      <c r="AQ107" s="2765"/>
      <c r="AR107" s="2765"/>
      <c r="AS107" s="2765"/>
      <c r="AT107" s="2765"/>
      <c r="AU107" s="2765"/>
      <c r="AV107" s="2765"/>
      <c r="AW107" s="2765"/>
      <c r="AX107" s="2765"/>
      <c r="AY107" s="2765"/>
      <c r="AZ107" s="2765"/>
      <c r="BA107" s="2765"/>
      <c r="BB107" s="2765"/>
      <c r="BC107" s="2765"/>
      <c r="BD107" s="2765"/>
      <c r="BE107" s="2765"/>
      <c r="BF107" s="2765"/>
      <c r="BG107" s="2765"/>
      <c r="BH107" s="2765"/>
      <c r="BI107" s="2765"/>
      <c r="BJ107" s="2765"/>
      <c r="BK107" s="2765"/>
      <c r="BL107" s="2765"/>
      <c r="BM107" s="2765"/>
      <c r="BN107" s="2765"/>
      <c r="BO107" s="2765"/>
      <c r="BP107" s="2765"/>
      <c r="BQ107" s="2765"/>
      <c r="BR107" s="2765"/>
      <c r="BS107" s="2765"/>
      <c r="BT107" s="2765"/>
      <c r="BU107" s="2765"/>
      <c r="BV107" s="2765"/>
      <c r="BW107" s="2765"/>
      <c r="BX107" s="2765"/>
      <c r="BY107" s="2765"/>
      <c r="BZ107" s="2765"/>
    </row>
    <row r="108" spans="1:78">
      <c r="A108" s="2764"/>
      <c r="B108" s="2764"/>
      <c r="C108" s="2764"/>
      <c r="D108" s="2764"/>
      <c r="E108" s="2764"/>
      <c r="F108" s="2764"/>
      <c r="G108" s="2764"/>
      <c r="H108" s="2764"/>
      <c r="I108" s="2764"/>
      <c r="J108" s="2764"/>
      <c r="K108" s="2764"/>
      <c r="L108" s="2764"/>
      <c r="M108" s="2764"/>
      <c r="N108" s="2764"/>
      <c r="O108" s="2764"/>
      <c r="P108" s="2764"/>
      <c r="Q108" s="2764"/>
      <c r="R108" s="2765"/>
      <c r="S108" s="2765"/>
      <c r="T108" s="2765"/>
      <c r="U108" s="2765"/>
      <c r="V108" s="2765"/>
      <c r="W108" s="2765"/>
      <c r="X108" s="2765"/>
      <c r="Y108" s="2765"/>
      <c r="Z108" s="2765"/>
      <c r="AA108" s="2765"/>
      <c r="AB108" s="2765"/>
      <c r="AC108" s="2765"/>
      <c r="AD108" s="2765"/>
      <c r="AE108" s="2765"/>
      <c r="AF108" s="2765"/>
      <c r="AG108" s="2765"/>
      <c r="AH108" s="2765"/>
      <c r="AI108" s="2765"/>
      <c r="AJ108" s="2765"/>
      <c r="AK108" s="2765"/>
      <c r="AL108" s="2765"/>
      <c r="AM108" s="2765"/>
      <c r="AN108" s="2765"/>
      <c r="AO108" s="2765"/>
      <c r="AP108" s="2765"/>
      <c r="AQ108" s="2765"/>
      <c r="AR108" s="2765"/>
      <c r="AS108" s="2765"/>
      <c r="AT108" s="2765"/>
      <c r="AU108" s="2765"/>
      <c r="AV108" s="2765"/>
      <c r="AW108" s="2765"/>
      <c r="AX108" s="2765"/>
      <c r="AY108" s="2765"/>
      <c r="AZ108" s="2765"/>
      <c r="BA108" s="2765"/>
      <c r="BB108" s="2765"/>
      <c r="BC108" s="2765"/>
      <c r="BD108" s="2765"/>
      <c r="BE108" s="2765"/>
      <c r="BF108" s="2765"/>
      <c r="BG108" s="2765"/>
      <c r="BH108" s="2765"/>
      <c r="BI108" s="2765"/>
      <c r="BJ108" s="2765"/>
      <c r="BK108" s="2765"/>
      <c r="BL108" s="2765"/>
      <c r="BM108" s="2765"/>
      <c r="BN108" s="2765"/>
      <c r="BO108" s="2765"/>
      <c r="BP108" s="2765"/>
      <c r="BQ108" s="2765"/>
      <c r="BR108" s="2765"/>
      <c r="BS108" s="2765"/>
      <c r="BT108" s="2765"/>
      <c r="BU108" s="2765"/>
      <c r="BV108" s="2765"/>
      <c r="BW108" s="2765"/>
      <c r="BX108" s="2765"/>
      <c r="BY108" s="2765"/>
      <c r="BZ108" s="2765"/>
    </row>
    <row r="109" spans="1:78">
      <c r="A109" s="2764"/>
      <c r="B109" s="2764"/>
      <c r="C109" s="2764"/>
      <c r="D109" s="2764"/>
      <c r="E109" s="2764"/>
      <c r="F109" s="2764"/>
      <c r="G109" s="2764"/>
      <c r="H109" s="2764"/>
      <c r="I109" s="2764"/>
      <c r="J109" s="2764"/>
      <c r="K109" s="2764"/>
      <c r="L109" s="2764"/>
      <c r="M109" s="2764"/>
      <c r="N109" s="2764"/>
      <c r="O109" s="2764"/>
      <c r="P109" s="2764"/>
      <c r="Q109" s="2764"/>
      <c r="R109" s="2766"/>
      <c r="S109" s="2766"/>
      <c r="T109" s="2766"/>
      <c r="U109" s="2766"/>
      <c r="V109" s="2766"/>
      <c r="W109" s="2766"/>
      <c r="X109" s="2766"/>
      <c r="Y109" s="2766"/>
      <c r="Z109" s="2766"/>
      <c r="AA109" s="2766"/>
      <c r="AB109" s="2766"/>
      <c r="AC109" s="2766"/>
      <c r="AD109" s="2766"/>
      <c r="AE109" s="2766"/>
      <c r="AF109" s="2766"/>
      <c r="AG109" s="2766"/>
      <c r="AH109" s="2766"/>
      <c r="AI109" s="2766"/>
      <c r="AJ109" s="2766"/>
      <c r="AK109" s="2766"/>
      <c r="AL109" s="2766"/>
      <c r="AM109" s="2766"/>
      <c r="AN109" s="2766"/>
      <c r="AO109" s="2766"/>
      <c r="AP109" s="2766"/>
      <c r="AQ109" s="2766"/>
      <c r="AR109" s="2766"/>
      <c r="AS109" s="2766"/>
      <c r="AT109" s="2766"/>
      <c r="AU109" s="2766"/>
      <c r="AV109" s="2766"/>
      <c r="AW109" s="2766"/>
      <c r="AX109" s="2766"/>
      <c r="AY109" s="2766"/>
      <c r="AZ109" s="2766"/>
      <c r="BA109" s="2766"/>
      <c r="BB109" s="2766"/>
      <c r="BC109" s="2766"/>
      <c r="BD109" s="2766"/>
      <c r="BE109" s="2766"/>
      <c r="BF109" s="2766"/>
      <c r="BG109" s="2766"/>
      <c r="BH109" s="2766"/>
      <c r="BI109" s="2766"/>
      <c r="BJ109" s="2766"/>
      <c r="BK109" s="2766"/>
      <c r="BL109" s="2766"/>
      <c r="BM109" s="2766"/>
      <c r="BN109" s="2766"/>
      <c r="BO109" s="2766"/>
      <c r="BP109" s="2766"/>
      <c r="BQ109" s="2766"/>
      <c r="BR109" s="2766"/>
      <c r="BS109" s="2766"/>
      <c r="BT109" s="2766"/>
      <c r="BU109" s="2766"/>
      <c r="BV109" s="2766"/>
      <c r="BW109" s="2766"/>
      <c r="BX109" s="2766"/>
      <c r="BY109" s="2766"/>
      <c r="BZ109" s="2766"/>
    </row>
    <row r="110" spans="1:78" ht="14.25" thickBot="1">
      <c r="A110" s="578"/>
      <c r="B110" s="578"/>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8"/>
      <c r="AL110" s="578"/>
      <c r="AM110" s="578"/>
      <c r="AN110" s="578"/>
      <c r="AO110" s="578"/>
      <c r="AP110" s="578"/>
      <c r="AQ110" s="578"/>
      <c r="AR110" s="578"/>
      <c r="AS110" s="578"/>
      <c r="AT110" s="578"/>
      <c r="AU110" s="578"/>
      <c r="AV110" s="578"/>
      <c r="AW110" s="578"/>
      <c r="AX110" s="2784" t="s">
        <v>277</v>
      </c>
      <c r="AY110" s="2784"/>
      <c r="AZ110" s="2784"/>
      <c r="BA110" s="2784"/>
      <c r="BB110" s="2784"/>
      <c r="BC110" s="2784"/>
      <c r="BD110" s="2784"/>
      <c r="BE110" s="2784"/>
      <c r="BF110" s="2784"/>
      <c r="BG110" s="2784"/>
      <c r="BH110" s="2756"/>
      <c r="BI110" s="2756"/>
      <c r="BJ110" s="2756"/>
      <c r="BK110" s="2756"/>
      <c r="BL110" s="2756"/>
      <c r="BM110" s="2756"/>
      <c r="BN110" s="2756"/>
      <c r="BO110" s="2756"/>
      <c r="BP110" s="2756"/>
      <c r="BQ110" s="2756"/>
      <c r="BR110" s="2756"/>
      <c r="BS110" s="2756"/>
      <c r="BT110" s="2756"/>
      <c r="BU110" s="2756"/>
      <c r="BV110" s="2756"/>
      <c r="BW110" s="2756"/>
      <c r="BX110" s="2756"/>
      <c r="BY110" s="2756"/>
      <c r="BZ110" s="2756"/>
    </row>
    <row r="111" spans="1:78">
      <c r="A111" s="578"/>
      <c r="B111" s="578"/>
      <c r="C111" s="578"/>
      <c r="D111" s="2767" t="s">
        <v>2974</v>
      </c>
      <c r="E111" s="2768"/>
      <c r="F111" s="2768"/>
      <c r="G111" s="2768"/>
      <c r="H111" s="2768"/>
      <c r="I111" s="2768"/>
      <c r="J111" s="2768"/>
      <c r="K111" s="2768"/>
      <c r="L111" s="2768"/>
      <c r="M111" s="2768"/>
      <c r="N111" s="2768"/>
      <c r="O111" s="2768"/>
      <c r="P111" s="2768"/>
      <c r="Q111" s="2768"/>
      <c r="R111" s="2768"/>
      <c r="S111" s="2768"/>
      <c r="T111" s="2768"/>
      <c r="U111" s="2768"/>
      <c r="V111" s="2768"/>
      <c r="W111" s="2768"/>
      <c r="X111" s="2768"/>
      <c r="Y111" s="2768"/>
      <c r="Z111" s="2768"/>
      <c r="AA111" s="2768"/>
      <c r="AB111" s="2768"/>
      <c r="AC111" s="2768"/>
      <c r="AD111" s="2768"/>
      <c r="AE111" s="2768"/>
      <c r="AF111" s="2768"/>
      <c r="AG111" s="2768"/>
      <c r="AH111" s="2768"/>
      <c r="AI111" s="2768"/>
      <c r="AJ111" s="2768"/>
      <c r="AK111" s="2768"/>
      <c r="AL111" s="2768"/>
      <c r="AM111" s="2768"/>
      <c r="AN111" s="2768"/>
      <c r="AO111" s="2768"/>
      <c r="AP111" s="2768"/>
      <c r="AQ111" s="2768"/>
      <c r="AR111" s="2769"/>
      <c r="AS111" s="578"/>
      <c r="AT111" s="578"/>
      <c r="AU111" s="578"/>
      <c r="AV111" s="578"/>
      <c r="AW111" s="578"/>
      <c r="AX111" s="2784"/>
      <c r="AY111" s="2784"/>
      <c r="AZ111" s="2784"/>
      <c r="BA111" s="2784"/>
      <c r="BB111" s="2784"/>
      <c r="BC111" s="2784"/>
      <c r="BD111" s="2784"/>
      <c r="BE111" s="2784"/>
      <c r="BF111" s="2784"/>
      <c r="BG111" s="2784"/>
      <c r="BH111" s="2757"/>
      <c r="BI111" s="2757"/>
      <c r="BJ111" s="2757"/>
      <c r="BK111" s="2757"/>
      <c r="BL111" s="2757"/>
      <c r="BM111" s="2757"/>
      <c r="BN111" s="2757"/>
      <c r="BO111" s="2757"/>
      <c r="BP111" s="2757"/>
      <c r="BQ111" s="2757"/>
      <c r="BR111" s="2757"/>
      <c r="BS111" s="2757"/>
      <c r="BT111" s="2757"/>
      <c r="BU111" s="2757"/>
      <c r="BV111" s="2757"/>
      <c r="BW111" s="2757"/>
      <c r="BX111" s="2757"/>
      <c r="BY111" s="2757"/>
      <c r="BZ111" s="2757"/>
    </row>
    <row r="112" spans="1:78">
      <c r="A112" s="578"/>
      <c r="B112" s="578"/>
      <c r="C112" s="578"/>
      <c r="D112" s="2770"/>
      <c r="E112" s="2771"/>
      <c r="F112" s="2771"/>
      <c r="G112" s="2771"/>
      <c r="H112" s="2771"/>
      <c r="I112" s="2771"/>
      <c r="J112" s="2771"/>
      <c r="K112" s="2771"/>
      <c r="L112" s="2771"/>
      <c r="M112" s="2771"/>
      <c r="N112" s="2771"/>
      <c r="O112" s="2771"/>
      <c r="P112" s="2771"/>
      <c r="Q112" s="2771"/>
      <c r="R112" s="2771"/>
      <c r="S112" s="2771"/>
      <c r="T112" s="2771"/>
      <c r="U112" s="2771"/>
      <c r="V112" s="2771"/>
      <c r="W112" s="2771"/>
      <c r="X112" s="2771"/>
      <c r="Y112" s="2771"/>
      <c r="Z112" s="2771"/>
      <c r="AA112" s="2771"/>
      <c r="AB112" s="2771"/>
      <c r="AC112" s="2771"/>
      <c r="AD112" s="2771"/>
      <c r="AE112" s="2771"/>
      <c r="AF112" s="2771"/>
      <c r="AG112" s="2771"/>
      <c r="AH112" s="2771"/>
      <c r="AI112" s="2771"/>
      <c r="AJ112" s="2771"/>
      <c r="AK112" s="2771"/>
      <c r="AL112" s="2771"/>
      <c r="AM112" s="2771"/>
      <c r="AN112" s="2771"/>
      <c r="AO112" s="2771"/>
      <c r="AP112" s="2771"/>
      <c r="AQ112" s="2771"/>
      <c r="AR112" s="2772"/>
      <c r="AS112" s="578"/>
      <c r="AT112" s="578"/>
      <c r="AU112" s="578"/>
      <c r="AV112" s="578"/>
      <c r="AW112" s="578"/>
      <c r="AX112" s="2784"/>
      <c r="AY112" s="2784"/>
      <c r="AZ112" s="2784"/>
      <c r="BA112" s="2784"/>
      <c r="BB112" s="2784"/>
      <c r="BC112" s="2784"/>
      <c r="BD112" s="2784"/>
      <c r="BE112" s="2784"/>
      <c r="BF112" s="2784"/>
      <c r="BG112" s="2784"/>
      <c r="BH112" s="2757"/>
      <c r="BI112" s="2757"/>
      <c r="BJ112" s="2757"/>
      <c r="BK112" s="2757"/>
      <c r="BL112" s="2757"/>
      <c r="BM112" s="2757"/>
      <c r="BN112" s="2757"/>
      <c r="BO112" s="2757"/>
      <c r="BP112" s="2757"/>
      <c r="BQ112" s="2757"/>
      <c r="BR112" s="2757"/>
      <c r="BS112" s="2757"/>
      <c r="BT112" s="2757"/>
      <c r="BU112" s="2757"/>
      <c r="BV112" s="2757"/>
      <c r="BW112" s="2757"/>
      <c r="BX112" s="2757"/>
      <c r="BY112" s="2757"/>
      <c r="BZ112" s="2757"/>
    </row>
    <row r="113" spans="1:78">
      <c r="A113" s="578"/>
      <c r="B113" s="578"/>
      <c r="C113" s="578"/>
      <c r="D113" s="2770"/>
      <c r="E113" s="2771"/>
      <c r="F113" s="2771"/>
      <c r="G113" s="2771"/>
      <c r="H113" s="2771"/>
      <c r="I113" s="2771"/>
      <c r="J113" s="2771"/>
      <c r="K113" s="2771"/>
      <c r="L113" s="2771"/>
      <c r="M113" s="2771"/>
      <c r="N113" s="2771"/>
      <c r="O113" s="2771"/>
      <c r="P113" s="2771"/>
      <c r="Q113" s="2771"/>
      <c r="R113" s="2771"/>
      <c r="S113" s="2771"/>
      <c r="T113" s="2771"/>
      <c r="U113" s="2771"/>
      <c r="V113" s="2771"/>
      <c r="W113" s="2771"/>
      <c r="X113" s="2771"/>
      <c r="Y113" s="2771"/>
      <c r="Z113" s="2771"/>
      <c r="AA113" s="2771"/>
      <c r="AB113" s="2771"/>
      <c r="AC113" s="2771"/>
      <c r="AD113" s="2771"/>
      <c r="AE113" s="2771"/>
      <c r="AF113" s="2771"/>
      <c r="AG113" s="2771"/>
      <c r="AH113" s="2771"/>
      <c r="AI113" s="2771"/>
      <c r="AJ113" s="2771"/>
      <c r="AK113" s="2771"/>
      <c r="AL113" s="2771"/>
      <c r="AM113" s="2771"/>
      <c r="AN113" s="2771"/>
      <c r="AO113" s="2771"/>
      <c r="AP113" s="2771"/>
      <c r="AQ113" s="2771"/>
      <c r="AR113" s="2772"/>
      <c r="AS113" s="578"/>
      <c r="AT113" s="578"/>
      <c r="AU113" s="578"/>
      <c r="AV113" s="578"/>
      <c r="AW113" s="578"/>
      <c r="AX113" s="2784"/>
      <c r="AY113" s="2784"/>
      <c r="AZ113" s="2784"/>
      <c r="BA113" s="2784"/>
      <c r="BB113" s="2784"/>
      <c r="BC113" s="2784"/>
      <c r="BD113" s="2784"/>
      <c r="BE113" s="2784"/>
      <c r="BF113" s="2784"/>
      <c r="BG113" s="2784"/>
      <c r="BH113" s="2757"/>
      <c r="BI113" s="2757"/>
      <c r="BJ113" s="2757"/>
      <c r="BK113" s="2757"/>
      <c r="BL113" s="2757"/>
      <c r="BM113" s="2757"/>
      <c r="BN113" s="2757"/>
      <c r="BO113" s="2757"/>
      <c r="BP113" s="2757"/>
      <c r="BQ113" s="2757"/>
      <c r="BR113" s="2757"/>
      <c r="BS113" s="2757"/>
      <c r="BT113" s="2757"/>
      <c r="BU113" s="2757"/>
      <c r="BV113" s="2757"/>
      <c r="BW113" s="2757"/>
      <c r="BX113" s="2757"/>
      <c r="BY113" s="2757"/>
      <c r="BZ113" s="2757"/>
    </row>
    <row r="114" spans="1:78">
      <c r="A114" s="578"/>
      <c r="B114" s="578"/>
      <c r="C114" s="578"/>
      <c r="D114" s="2770"/>
      <c r="E114" s="2771"/>
      <c r="F114" s="2771"/>
      <c r="G114" s="2771"/>
      <c r="H114" s="2771"/>
      <c r="I114" s="2771"/>
      <c r="J114" s="2771"/>
      <c r="K114" s="2771"/>
      <c r="L114" s="2771"/>
      <c r="M114" s="2771"/>
      <c r="N114" s="2771"/>
      <c r="O114" s="2771"/>
      <c r="P114" s="2771"/>
      <c r="Q114" s="2771"/>
      <c r="R114" s="2771"/>
      <c r="S114" s="2771"/>
      <c r="T114" s="2771"/>
      <c r="U114" s="2771"/>
      <c r="V114" s="2771"/>
      <c r="W114" s="2771"/>
      <c r="X114" s="2771"/>
      <c r="Y114" s="2771"/>
      <c r="Z114" s="2771"/>
      <c r="AA114" s="2771"/>
      <c r="AB114" s="2771"/>
      <c r="AC114" s="2771"/>
      <c r="AD114" s="2771"/>
      <c r="AE114" s="2771"/>
      <c r="AF114" s="2771"/>
      <c r="AG114" s="2771"/>
      <c r="AH114" s="2771"/>
      <c r="AI114" s="2771"/>
      <c r="AJ114" s="2771"/>
      <c r="AK114" s="2771"/>
      <c r="AL114" s="2771"/>
      <c r="AM114" s="2771"/>
      <c r="AN114" s="2771"/>
      <c r="AO114" s="2771"/>
      <c r="AP114" s="2771"/>
      <c r="AQ114" s="2771"/>
      <c r="AR114" s="2772"/>
      <c r="AS114" s="578"/>
      <c r="AT114" s="578"/>
      <c r="AU114" s="578"/>
      <c r="AV114" s="578"/>
      <c r="AW114" s="578"/>
      <c r="AX114" s="2784"/>
      <c r="AY114" s="2784"/>
      <c r="AZ114" s="2784"/>
      <c r="BA114" s="2784"/>
      <c r="BB114" s="2784"/>
      <c r="BC114" s="2784"/>
      <c r="BD114" s="2784"/>
      <c r="BE114" s="2784"/>
      <c r="BF114" s="2784"/>
      <c r="BG114" s="2784"/>
      <c r="BH114" s="2757"/>
      <c r="BI114" s="2757"/>
      <c r="BJ114" s="2757"/>
      <c r="BK114" s="2757"/>
      <c r="BL114" s="2757"/>
      <c r="BM114" s="2757"/>
      <c r="BN114" s="2757"/>
      <c r="BO114" s="2757"/>
      <c r="BP114" s="2757"/>
      <c r="BQ114" s="2757"/>
      <c r="BR114" s="2757"/>
      <c r="BS114" s="2757"/>
      <c r="BT114" s="2757"/>
      <c r="BU114" s="2757"/>
      <c r="BV114" s="2757"/>
      <c r="BW114" s="2757"/>
      <c r="BX114" s="2757"/>
      <c r="BY114" s="2757"/>
      <c r="BZ114" s="2757"/>
    </row>
    <row r="115" spans="1:78">
      <c r="A115" s="578"/>
      <c r="B115" s="578"/>
      <c r="C115" s="578"/>
      <c r="D115" s="2770"/>
      <c r="E115" s="2771"/>
      <c r="F115" s="2771"/>
      <c r="G115" s="2771"/>
      <c r="H115" s="2771"/>
      <c r="I115" s="2771"/>
      <c r="J115" s="2771"/>
      <c r="K115" s="2771"/>
      <c r="L115" s="2771"/>
      <c r="M115" s="2771"/>
      <c r="N115" s="2771"/>
      <c r="O115" s="2771"/>
      <c r="P115" s="2771"/>
      <c r="Q115" s="2771"/>
      <c r="R115" s="2771"/>
      <c r="S115" s="2771"/>
      <c r="T115" s="2771"/>
      <c r="U115" s="2771"/>
      <c r="V115" s="2771"/>
      <c r="W115" s="2771"/>
      <c r="X115" s="2771"/>
      <c r="Y115" s="2771"/>
      <c r="Z115" s="2771"/>
      <c r="AA115" s="2771"/>
      <c r="AB115" s="2771"/>
      <c r="AC115" s="2771"/>
      <c r="AD115" s="2771"/>
      <c r="AE115" s="2771"/>
      <c r="AF115" s="2771"/>
      <c r="AG115" s="2771"/>
      <c r="AH115" s="2771"/>
      <c r="AI115" s="2771"/>
      <c r="AJ115" s="2771"/>
      <c r="AK115" s="2771"/>
      <c r="AL115" s="2771"/>
      <c r="AM115" s="2771"/>
      <c r="AN115" s="2771"/>
      <c r="AO115" s="2771"/>
      <c r="AP115" s="2771"/>
      <c r="AQ115" s="2771"/>
      <c r="AR115" s="2772"/>
      <c r="AS115" s="578"/>
      <c r="AT115" s="578"/>
      <c r="AU115" s="578"/>
      <c r="AV115" s="578"/>
      <c r="AW115" s="578"/>
      <c r="AX115" s="2784"/>
      <c r="AY115" s="2784"/>
      <c r="AZ115" s="2784"/>
      <c r="BA115" s="2784"/>
      <c r="BB115" s="2784"/>
      <c r="BC115" s="2784"/>
      <c r="BD115" s="2784"/>
      <c r="BE115" s="2784"/>
      <c r="BF115" s="2784"/>
      <c r="BG115" s="2784"/>
      <c r="BH115" s="2757"/>
      <c r="BI115" s="2757"/>
      <c r="BJ115" s="2757"/>
      <c r="BK115" s="2757"/>
      <c r="BL115" s="2757"/>
      <c r="BM115" s="2757"/>
      <c r="BN115" s="2757"/>
      <c r="BO115" s="2757"/>
      <c r="BP115" s="2757"/>
      <c r="BQ115" s="2757"/>
      <c r="BR115" s="2757"/>
      <c r="BS115" s="2757"/>
      <c r="BT115" s="2757"/>
      <c r="BU115" s="2757"/>
      <c r="BV115" s="2757"/>
      <c r="BW115" s="2757"/>
      <c r="BX115" s="2757"/>
      <c r="BY115" s="2757"/>
      <c r="BZ115" s="2757"/>
    </row>
    <row r="116" spans="1:78">
      <c r="A116" s="578"/>
      <c r="B116" s="578"/>
      <c r="C116" s="578"/>
      <c r="D116" s="2770"/>
      <c r="E116" s="2771"/>
      <c r="F116" s="2771"/>
      <c r="G116" s="2771"/>
      <c r="H116" s="2771"/>
      <c r="I116" s="2771"/>
      <c r="J116" s="2771"/>
      <c r="K116" s="2771"/>
      <c r="L116" s="2771"/>
      <c r="M116" s="2771"/>
      <c r="N116" s="2771"/>
      <c r="O116" s="2771"/>
      <c r="P116" s="2771"/>
      <c r="Q116" s="2771"/>
      <c r="R116" s="2771"/>
      <c r="S116" s="2771"/>
      <c r="T116" s="2771"/>
      <c r="U116" s="2771"/>
      <c r="V116" s="2771"/>
      <c r="W116" s="2771"/>
      <c r="X116" s="2771"/>
      <c r="Y116" s="2771"/>
      <c r="Z116" s="2771"/>
      <c r="AA116" s="2771"/>
      <c r="AB116" s="2771"/>
      <c r="AC116" s="2771"/>
      <c r="AD116" s="2771"/>
      <c r="AE116" s="2771"/>
      <c r="AF116" s="2771"/>
      <c r="AG116" s="2771"/>
      <c r="AH116" s="2771"/>
      <c r="AI116" s="2771"/>
      <c r="AJ116" s="2771"/>
      <c r="AK116" s="2771"/>
      <c r="AL116" s="2771"/>
      <c r="AM116" s="2771"/>
      <c r="AN116" s="2771"/>
      <c r="AO116" s="2771"/>
      <c r="AP116" s="2771"/>
      <c r="AQ116" s="2771"/>
      <c r="AR116" s="2772"/>
      <c r="AS116" s="578"/>
      <c r="AT116" s="578"/>
      <c r="AU116" s="578"/>
      <c r="AV116" s="578"/>
      <c r="AW116" s="578"/>
      <c r="AX116" s="2784"/>
      <c r="AY116" s="2784"/>
      <c r="AZ116" s="2784"/>
      <c r="BA116" s="2784"/>
      <c r="BB116" s="2784"/>
      <c r="BC116" s="2784"/>
      <c r="BD116" s="2784"/>
      <c r="BE116" s="2784"/>
      <c r="BF116" s="2784"/>
      <c r="BG116" s="2784"/>
      <c r="BH116" s="2757"/>
      <c r="BI116" s="2757"/>
      <c r="BJ116" s="2757"/>
      <c r="BK116" s="2757"/>
      <c r="BL116" s="2757"/>
      <c r="BM116" s="2757"/>
      <c r="BN116" s="2757"/>
      <c r="BO116" s="2757"/>
      <c r="BP116" s="2757"/>
      <c r="BQ116" s="2757"/>
      <c r="BR116" s="2757"/>
      <c r="BS116" s="2757"/>
      <c r="BT116" s="2757"/>
      <c r="BU116" s="2757"/>
      <c r="BV116" s="2757"/>
      <c r="BW116" s="2757"/>
      <c r="BX116" s="2757"/>
      <c r="BY116" s="2757"/>
      <c r="BZ116" s="2757"/>
    </row>
    <row r="117" spans="1:78">
      <c r="A117" s="578"/>
      <c r="B117" s="578"/>
      <c r="C117" s="578"/>
      <c r="D117" s="2770"/>
      <c r="E117" s="2771"/>
      <c r="F117" s="2771"/>
      <c r="G117" s="2771"/>
      <c r="H117" s="2771"/>
      <c r="I117" s="2771"/>
      <c r="J117" s="2771"/>
      <c r="K117" s="2771"/>
      <c r="L117" s="2771"/>
      <c r="M117" s="2771"/>
      <c r="N117" s="2771"/>
      <c r="O117" s="2771"/>
      <c r="P117" s="2771"/>
      <c r="Q117" s="2771"/>
      <c r="R117" s="2771"/>
      <c r="S117" s="2771"/>
      <c r="T117" s="2771"/>
      <c r="U117" s="2771"/>
      <c r="V117" s="2771"/>
      <c r="W117" s="2771"/>
      <c r="X117" s="2771"/>
      <c r="Y117" s="2771"/>
      <c r="Z117" s="2771"/>
      <c r="AA117" s="2771"/>
      <c r="AB117" s="2771"/>
      <c r="AC117" s="2771"/>
      <c r="AD117" s="2771"/>
      <c r="AE117" s="2771"/>
      <c r="AF117" s="2771"/>
      <c r="AG117" s="2771"/>
      <c r="AH117" s="2771"/>
      <c r="AI117" s="2771"/>
      <c r="AJ117" s="2771"/>
      <c r="AK117" s="2771"/>
      <c r="AL117" s="2771"/>
      <c r="AM117" s="2771"/>
      <c r="AN117" s="2771"/>
      <c r="AO117" s="2771"/>
      <c r="AP117" s="2771"/>
      <c r="AQ117" s="2771"/>
      <c r="AR117" s="2772"/>
      <c r="AS117" s="578"/>
      <c r="AT117" s="578"/>
      <c r="AU117" s="578"/>
      <c r="AV117" s="578"/>
      <c r="AW117" s="578"/>
      <c r="AX117" s="2784"/>
      <c r="AY117" s="2784"/>
      <c r="AZ117" s="2784"/>
      <c r="BA117" s="2784"/>
      <c r="BB117" s="2784"/>
      <c r="BC117" s="2784"/>
      <c r="BD117" s="2784"/>
      <c r="BE117" s="2784"/>
      <c r="BF117" s="2784"/>
      <c r="BG117" s="2784"/>
      <c r="BH117" s="2758"/>
      <c r="BI117" s="2758"/>
      <c r="BJ117" s="2758"/>
      <c r="BK117" s="2758"/>
      <c r="BL117" s="2758"/>
      <c r="BM117" s="2758"/>
      <c r="BN117" s="2758"/>
      <c r="BO117" s="2758"/>
      <c r="BP117" s="2758"/>
      <c r="BQ117" s="2758"/>
      <c r="BR117" s="2758"/>
      <c r="BS117" s="2758"/>
      <c r="BT117" s="2758"/>
      <c r="BU117" s="2758"/>
      <c r="BV117" s="2758"/>
      <c r="BW117" s="2758"/>
      <c r="BX117" s="2758"/>
      <c r="BY117" s="2758"/>
      <c r="BZ117" s="2758"/>
    </row>
    <row r="118" spans="1:78" ht="14.25" thickBot="1">
      <c r="A118" s="578"/>
      <c r="B118" s="578"/>
      <c r="C118" s="578"/>
      <c r="D118" s="2773"/>
      <c r="E118" s="2774"/>
      <c r="F118" s="2774"/>
      <c r="G118" s="2774"/>
      <c r="H118" s="2774"/>
      <c r="I118" s="2774"/>
      <c r="J118" s="2774"/>
      <c r="K118" s="2774"/>
      <c r="L118" s="2774"/>
      <c r="M118" s="2774"/>
      <c r="N118" s="2774"/>
      <c r="O118" s="2774"/>
      <c r="P118" s="2774"/>
      <c r="Q118" s="2774"/>
      <c r="R118" s="2774"/>
      <c r="S118" s="2774"/>
      <c r="T118" s="2774"/>
      <c r="U118" s="2774"/>
      <c r="V118" s="2774"/>
      <c r="W118" s="2774"/>
      <c r="X118" s="2774"/>
      <c r="Y118" s="2774"/>
      <c r="Z118" s="2774"/>
      <c r="AA118" s="2774"/>
      <c r="AB118" s="2774"/>
      <c r="AC118" s="2774"/>
      <c r="AD118" s="2774"/>
      <c r="AE118" s="2774"/>
      <c r="AF118" s="2774"/>
      <c r="AG118" s="2774"/>
      <c r="AH118" s="2774"/>
      <c r="AI118" s="2774"/>
      <c r="AJ118" s="2774"/>
      <c r="AK118" s="2774"/>
      <c r="AL118" s="2774"/>
      <c r="AM118" s="2774"/>
      <c r="AN118" s="2774"/>
      <c r="AO118" s="2774"/>
      <c r="AP118" s="2774"/>
      <c r="AQ118" s="2774"/>
      <c r="AR118" s="2775"/>
      <c r="AS118" s="578"/>
      <c r="AT118" s="578"/>
      <c r="AU118" s="578"/>
      <c r="AV118" s="578"/>
      <c r="AW118" s="578"/>
      <c r="AX118" s="578"/>
      <c r="AY118" s="578"/>
      <c r="AZ118" s="578"/>
      <c r="BA118" s="578"/>
      <c r="BB118" s="578"/>
      <c r="BC118" s="578"/>
      <c r="BD118" s="578"/>
      <c r="BE118" s="578"/>
      <c r="BF118" s="578"/>
      <c r="BG118" s="578"/>
      <c r="BH118" s="578"/>
      <c r="BI118" s="578"/>
      <c r="BJ118" s="578"/>
      <c r="BK118" s="578"/>
      <c r="BL118" s="578"/>
      <c r="BM118" s="578"/>
      <c r="BN118" s="578"/>
      <c r="BO118" s="578"/>
      <c r="BP118" s="578"/>
      <c r="BQ118" s="578"/>
      <c r="BR118" s="578"/>
      <c r="BS118" s="578"/>
      <c r="BT118" s="578"/>
      <c r="BU118" s="578"/>
      <c r="BV118" s="578"/>
      <c r="BW118" s="578"/>
      <c r="BX118" s="578"/>
      <c r="BY118" s="578"/>
      <c r="BZ118" s="578"/>
    </row>
    <row r="119" spans="1:78">
      <c r="A119" s="578"/>
      <c r="B119" s="578"/>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8"/>
      <c r="AL119" s="578"/>
      <c r="AM119" s="578"/>
      <c r="AN119" s="578"/>
      <c r="AO119" s="578"/>
      <c r="AP119" s="578"/>
      <c r="AQ119" s="578"/>
      <c r="AR119" s="578"/>
      <c r="AS119" s="578"/>
      <c r="AT119" s="578"/>
      <c r="AU119" s="578"/>
      <c r="AV119" s="578"/>
      <c r="AW119" s="578"/>
      <c r="AX119" s="578"/>
      <c r="AY119" s="578"/>
      <c r="AZ119" s="578"/>
      <c r="BA119" s="578"/>
      <c r="BB119" s="578"/>
      <c r="BC119" s="578"/>
      <c r="BD119" s="578"/>
      <c r="BE119" s="578"/>
      <c r="BF119" s="578"/>
      <c r="BG119" s="578"/>
      <c r="BH119" s="578"/>
      <c r="BI119" s="578"/>
      <c r="BJ119" s="578"/>
      <c r="BK119" s="578"/>
      <c r="BL119" s="578"/>
      <c r="BM119" s="578"/>
      <c r="BN119" s="578"/>
      <c r="BO119" s="578"/>
      <c r="BP119" s="578"/>
      <c r="BQ119" s="578"/>
      <c r="BR119" s="578"/>
      <c r="BS119" s="578"/>
      <c r="BT119" s="578"/>
      <c r="BU119" s="578"/>
      <c r="BV119" s="578"/>
      <c r="BW119" s="578"/>
      <c r="BX119" s="578"/>
      <c r="BY119" s="578"/>
      <c r="BZ119" s="578"/>
    </row>
    <row r="120" spans="1:78">
      <c r="A120" s="2759" t="s">
        <v>2975</v>
      </c>
      <c r="B120" s="2759"/>
      <c r="C120" s="2759"/>
      <c r="D120" s="2759"/>
      <c r="E120" s="2759"/>
      <c r="F120" s="2759"/>
      <c r="G120" s="2759"/>
      <c r="H120" s="2759"/>
      <c r="I120" s="2759"/>
      <c r="J120" s="2759"/>
      <c r="K120" s="2759"/>
      <c r="L120" s="2759"/>
      <c r="M120" s="2759"/>
      <c r="N120" s="2759"/>
      <c r="O120" s="2759"/>
      <c r="P120" s="2759"/>
      <c r="Q120" s="2759"/>
      <c r="R120" s="2759"/>
      <c r="S120" s="2759"/>
      <c r="T120" s="2759"/>
      <c r="U120" s="2759"/>
      <c r="V120" s="2759"/>
      <c r="W120" s="2759"/>
      <c r="X120" s="2759"/>
      <c r="Y120" s="2759"/>
      <c r="Z120" s="2759"/>
      <c r="AA120" s="2759"/>
      <c r="AB120" s="2759"/>
      <c r="AC120" s="2759"/>
      <c r="AD120" s="2759"/>
      <c r="AE120" s="2759"/>
      <c r="AF120" s="2759"/>
      <c r="AG120" s="2759"/>
      <c r="AH120" s="2759"/>
      <c r="AI120" s="2759"/>
      <c r="AJ120" s="2759"/>
      <c r="AK120" s="2759"/>
      <c r="AL120" s="2759"/>
      <c r="AM120" s="2759"/>
      <c r="AN120" s="2759"/>
      <c r="AO120" s="2759"/>
      <c r="AP120" s="2759"/>
      <c r="AQ120" s="2759"/>
      <c r="AR120" s="2759"/>
      <c r="AS120" s="2759"/>
      <c r="AT120" s="2759"/>
      <c r="AU120" s="2759"/>
      <c r="AV120" s="2759"/>
      <c r="AW120" s="2759"/>
      <c r="AX120" s="2759"/>
      <c r="AY120" s="2759"/>
      <c r="AZ120" s="2759"/>
      <c r="BA120" s="2759"/>
      <c r="BB120" s="2759"/>
      <c r="BC120" s="2759"/>
      <c r="BD120" s="2759"/>
      <c r="BE120" s="2759"/>
      <c r="BF120" s="2759"/>
      <c r="BG120" s="2759"/>
      <c r="BH120" s="2759"/>
      <c r="BI120" s="2759"/>
      <c r="BJ120" s="2759"/>
      <c r="BK120" s="2759"/>
      <c r="BL120" s="2759"/>
      <c r="BM120" s="2759"/>
      <c r="BN120" s="2759"/>
      <c r="BO120" s="2759"/>
      <c r="BP120" s="2759"/>
      <c r="BQ120" s="2759"/>
      <c r="BR120" s="2759"/>
      <c r="BS120" s="2759"/>
      <c r="BT120" s="2759"/>
      <c r="BU120" s="2759"/>
      <c r="BV120" s="2759"/>
      <c r="BW120" s="2759"/>
      <c r="BX120" s="2759"/>
      <c r="BY120" s="2759"/>
      <c r="BZ120" s="2759"/>
    </row>
    <row r="121" spans="1:78">
      <c r="A121" s="2759"/>
      <c r="B121" s="2759"/>
      <c r="C121" s="2759"/>
      <c r="D121" s="2759"/>
      <c r="E121" s="2759"/>
      <c r="F121" s="2759"/>
      <c r="G121" s="2759"/>
      <c r="H121" s="2759"/>
      <c r="I121" s="2759"/>
      <c r="J121" s="2759"/>
      <c r="K121" s="2759"/>
      <c r="L121" s="2759"/>
      <c r="M121" s="2759"/>
      <c r="N121" s="2759"/>
      <c r="O121" s="2759"/>
      <c r="P121" s="2759"/>
      <c r="Q121" s="2759"/>
      <c r="R121" s="2759"/>
      <c r="S121" s="2759"/>
      <c r="T121" s="2759"/>
      <c r="U121" s="2759"/>
      <c r="V121" s="2759"/>
      <c r="W121" s="2759"/>
      <c r="X121" s="2759"/>
      <c r="Y121" s="2759"/>
      <c r="Z121" s="2759"/>
      <c r="AA121" s="2759"/>
      <c r="AB121" s="2759"/>
      <c r="AC121" s="2759"/>
      <c r="AD121" s="2759"/>
      <c r="AE121" s="2759"/>
      <c r="AF121" s="2759"/>
      <c r="AG121" s="2759"/>
      <c r="AH121" s="2759"/>
      <c r="AI121" s="2759"/>
      <c r="AJ121" s="2759"/>
      <c r="AK121" s="2759"/>
      <c r="AL121" s="2759"/>
      <c r="AM121" s="2759"/>
      <c r="AN121" s="2759"/>
      <c r="AO121" s="2759"/>
      <c r="AP121" s="2759"/>
      <c r="AQ121" s="2759"/>
      <c r="AR121" s="2759"/>
      <c r="AS121" s="2759"/>
      <c r="AT121" s="2759"/>
      <c r="AU121" s="2759"/>
      <c r="AV121" s="2759"/>
      <c r="AW121" s="2759"/>
      <c r="AX121" s="2759"/>
      <c r="AY121" s="2759"/>
      <c r="AZ121" s="2759"/>
      <c r="BA121" s="2759"/>
      <c r="BB121" s="2759"/>
      <c r="BC121" s="2759"/>
      <c r="BD121" s="2759"/>
      <c r="BE121" s="2759"/>
      <c r="BF121" s="2759"/>
      <c r="BG121" s="2759"/>
      <c r="BH121" s="2759"/>
      <c r="BI121" s="2759"/>
      <c r="BJ121" s="2759"/>
      <c r="BK121" s="2759"/>
      <c r="BL121" s="2759"/>
      <c r="BM121" s="2759"/>
      <c r="BN121" s="2759"/>
      <c r="BO121" s="2759"/>
      <c r="BP121" s="2759"/>
      <c r="BQ121" s="2759"/>
      <c r="BR121" s="2759"/>
      <c r="BS121" s="2759"/>
      <c r="BT121" s="2759"/>
      <c r="BU121" s="2759"/>
      <c r="BV121" s="2759"/>
      <c r="BW121" s="2759"/>
      <c r="BX121" s="2759"/>
      <c r="BY121" s="2759"/>
      <c r="BZ121" s="2759"/>
    </row>
    <row r="122" spans="1:78">
      <c r="A122" s="2759" t="s">
        <v>2976</v>
      </c>
      <c r="B122" s="2759"/>
      <c r="C122" s="2759"/>
      <c r="D122" s="2759"/>
      <c r="E122" s="2759"/>
      <c r="F122" s="2759"/>
      <c r="G122" s="2759"/>
      <c r="H122" s="2759"/>
      <c r="I122" s="2759"/>
      <c r="J122" s="2759"/>
      <c r="K122" s="2759"/>
      <c r="L122" s="2759"/>
      <c r="M122" s="2759"/>
      <c r="N122" s="2759"/>
      <c r="O122" s="2759"/>
      <c r="P122" s="2759"/>
      <c r="Q122" s="2759"/>
      <c r="R122" s="2759"/>
      <c r="S122" s="2759"/>
      <c r="T122" s="2759"/>
      <c r="U122" s="2759"/>
      <c r="V122" s="2759"/>
      <c r="W122" s="2759"/>
      <c r="X122" s="2759"/>
      <c r="Y122" s="2759"/>
      <c r="Z122" s="2759"/>
      <c r="AA122" s="2759"/>
      <c r="AB122" s="2759"/>
      <c r="AC122" s="2759"/>
      <c r="AD122" s="2759"/>
      <c r="AE122" s="2759"/>
      <c r="AF122" s="2759"/>
      <c r="AG122" s="2759"/>
      <c r="AH122" s="2759"/>
      <c r="AI122" s="2759"/>
      <c r="AJ122" s="2759"/>
      <c r="AK122" s="2759"/>
      <c r="AL122" s="2759"/>
      <c r="AM122" s="2759"/>
      <c r="AN122" s="2759"/>
      <c r="AO122" s="2759"/>
      <c r="AP122" s="2759"/>
      <c r="AQ122" s="2759"/>
      <c r="AR122" s="2759"/>
      <c r="AS122" s="2759"/>
      <c r="AT122" s="2759"/>
      <c r="AU122" s="2759"/>
      <c r="AV122" s="2759"/>
      <c r="AW122" s="2759"/>
      <c r="AX122" s="2759"/>
      <c r="AY122" s="2759"/>
      <c r="AZ122" s="2759"/>
      <c r="BA122" s="2759"/>
      <c r="BB122" s="2759"/>
      <c r="BC122" s="2759"/>
      <c r="BD122" s="2759"/>
      <c r="BE122" s="2759"/>
      <c r="BF122" s="2759"/>
      <c r="BG122" s="2759"/>
      <c r="BH122" s="2759"/>
      <c r="BI122" s="2759"/>
      <c r="BJ122" s="2759"/>
      <c r="BK122" s="2759"/>
      <c r="BL122" s="2759"/>
      <c r="BM122" s="2759"/>
      <c r="BN122" s="2759"/>
      <c r="BO122" s="2759"/>
      <c r="BP122" s="2759"/>
      <c r="BQ122" s="2759"/>
      <c r="BR122" s="2759"/>
      <c r="BS122" s="2759"/>
      <c r="BT122" s="2759"/>
      <c r="BU122" s="2759"/>
      <c r="BV122" s="2759"/>
      <c r="BW122" s="2759"/>
      <c r="BX122" s="2759"/>
      <c r="BY122" s="2759"/>
      <c r="BZ122" s="2759"/>
    </row>
    <row r="123" spans="1:78">
      <c r="A123" s="2759"/>
      <c r="B123" s="2759"/>
      <c r="C123" s="2759"/>
      <c r="D123" s="2759"/>
      <c r="E123" s="2759"/>
      <c r="F123" s="2759"/>
      <c r="G123" s="2759"/>
      <c r="H123" s="2759"/>
      <c r="I123" s="2759"/>
      <c r="J123" s="2759"/>
      <c r="K123" s="2759"/>
      <c r="L123" s="2759"/>
      <c r="M123" s="2759"/>
      <c r="N123" s="2759"/>
      <c r="O123" s="2759"/>
      <c r="P123" s="2759"/>
      <c r="Q123" s="2759"/>
      <c r="R123" s="2759"/>
      <c r="S123" s="2759"/>
      <c r="T123" s="2759"/>
      <c r="U123" s="2759"/>
      <c r="V123" s="2759"/>
      <c r="W123" s="2759"/>
      <c r="X123" s="2759"/>
      <c r="Y123" s="2759"/>
      <c r="Z123" s="2759"/>
      <c r="AA123" s="2759"/>
      <c r="AB123" s="2759"/>
      <c r="AC123" s="2759"/>
      <c r="AD123" s="2759"/>
      <c r="AE123" s="2759"/>
      <c r="AF123" s="2759"/>
      <c r="AG123" s="2759"/>
      <c r="AH123" s="2759"/>
      <c r="AI123" s="2759"/>
      <c r="AJ123" s="2759"/>
      <c r="AK123" s="2759"/>
      <c r="AL123" s="2759"/>
      <c r="AM123" s="2759"/>
      <c r="AN123" s="2759"/>
      <c r="AO123" s="2759"/>
      <c r="AP123" s="2759"/>
      <c r="AQ123" s="2759"/>
      <c r="AR123" s="2759"/>
      <c r="AS123" s="2759"/>
      <c r="AT123" s="2759"/>
      <c r="AU123" s="2759"/>
      <c r="AV123" s="2759"/>
      <c r="AW123" s="2759"/>
      <c r="AX123" s="2759"/>
      <c r="AY123" s="2759"/>
      <c r="AZ123" s="2759"/>
      <c r="BA123" s="2759"/>
      <c r="BB123" s="2759"/>
      <c r="BC123" s="2759"/>
      <c r="BD123" s="2759"/>
      <c r="BE123" s="2759"/>
      <c r="BF123" s="2759"/>
      <c r="BG123" s="2759"/>
      <c r="BH123" s="2759"/>
      <c r="BI123" s="2759"/>
      <c r="BJ123" s="2759"/>
      <c r="BK123" s="2759"/>
      <c r="BL123" s="2759"/>
      <c r="BM123" s="2759"/>
      <c r="BN123" s="2759"/>
      <c r="BO123" s="2759"/>
      <c r="BP123" s="2759"/>
      <c r="BQ123" s="2759"/>
      <c r="BR123" s="2759"/>
      <c r="BS123" s="2759"/>
      <c r="BT123" s="2759"/>
      <c r="BU123" s="2759"/>
      <c r="BV123" s="2759"/>
      <c r="BW123" s="2759"/>
      <c r="BX123" s="2759"/>
      <c r="BY123" s="2759"/>
      <c r="BZ123" s="2759"/>
    </row>
    <row r="124" spans="1:78" ht="23.25">
      <c r="A124" s="579"/>
      <c r="B124" s="579"/>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79"/>
      <c r="AL124" s="579"/>
      <c r="AM124" s="579"/>
      <c r="AN124" s="579"/>
      <c r="AO124" s="579"/>
      <c r="AP124" s="579"/>
      <c r="AQ124" s="579"/>
      <c r="AR124" s="579"/>
      <c r="AS124" s="579"/>
      <c r="AT124" s="579"/>
      <c r="AU124" s="579"/>
      <c r="AV124" s="579"/>
      <c r="AW124" s="579"/>
      <c r="AX124" s="579"/>
      <c r="AY124" s="579"/>
      <c r="AZ124" s="579"/>
      <c r="BA124" s="579"/>
      <c r="BB124" s="579"/>
      <c r="BC124" s="579"/>
      <c r="BD124" s="579"/>
      <c r="BE124" s="579"/>
      <c r="BF124" s="579"/>
      <c r="BG124" s="579"/>
      <c r="BH124" s="579"/>
      <c r="BI124" s="579"/>
      <c r="BJ124" s="579"/>
      <c r="BK124" s="579"/>
      <c r="BL124" s="579"/>
      <c r="BM124" s="579"/>
      <c r="BN124" s="579"/>
      <c r="BO124" s="579"/>
      <c r="BP124" s="579"/>
      <c r="BQ124" s="579"/>
      <c r="BR124" s="579"/>
      <c r="BS124" s="579"/>
      <c r="BT124" s="579"/>
      <c r="BU124" s="579"/>
      <c r="BV124" s="579"/>
      <c r="BW124" s="579"/>
      <c r="BX124" s="579"/>
      <c r="BY124" s="579"/>
      <c r="BZ124" s="579"/>
    </row>
    <row r="125" spans="1:78">
      <c r="A125" s="2760" t="s">
        <v>2955</v>
      </c>
      <c r="B125" s="2760"/>
      <c r="C125" s="2760"/>
      <c r="D125" s="2760"/>
      <c r="E125" s="2760"/>
      <c r="F125" s="2760"/>
      <c r="G125" s="2760"/>
      <c r="H125" s="2760"/>
      <c r="I125" s="2760"/>
      <c r="J125" s="2760"/>
      <c r="K125" s="2760"/>
      <c r="L125" s="2760"/>
      <c r="M125" s="2760"/>
      <c r="N125" s="2760"/>
      <c r="O125" s="2760"/>
      <c r="P125" s="2760"/>
      <c r="Q125" s="2760"/>
      <c r="R125" s="2760"/>
      <c r="S125" s="2760"/>
      <c r="T125" s="2760"/>
      <c r="U125" s="2760"/>
      <c r="V125" s="2760"/>
      <c r="W125" s="2760"/>
      <c r="X125" s="2760"/>
      <c r="Y125" s="2760"/>
      <c r="Z125" s="2760"/>
      <c r="AA125" s="2760"/>
      <c r="AB125" s="2760"/>
      <c r="AC125" s="2760"/>
      <c r="AD125" s="2760"/>
      <c r="AE125" s="2760"/>
      <c r="AF125" s="2760"/>
      <c r="AG125" s="2760"/>
      <c r="AH125" s="2760"/>
      <c r="AI125" s="2760"/>
      <c r="AJ125" s="2760"/>
      <c r="AK125" s="2760"/>
      <c r="AL125" s="2760"/>
      <c r="AM125" s="2760"/>
      <c r="AN125" s="2760"/>
      <c r="AO125" s="2760"/>
      <c r="AP125" s="2760"/>
      <c r="AQ125" s="2760"/>
      <c r="AR125" s="2760"/>
      <c r="AS125" s="2760"/>
      <c r="AT125" s="2760"/>
      <c r="AU125" s="2760"/>
      <c r="AV125" s="2760"/>
      <c r="AW125" s="2760"/>
      <c r="AX125" s="2760"/>
      <c r="AY125" s="2760"/>
      <c r="AZ125" s="2760"/>
      <c r="BA125" s="2760"/>
      <c r="BB125" s="2760"/>
      <c r="BC125" s="2760"/>
      <c r="BD125" s="2760"/>
      <c r="BE125" s="2760"/>
      <c r="BF125" s="2760"/>
      <c r="BG125" s="2760"/>
      <c r="BH125" s="2760"/>
      <c r="BI125" s="2760"/>
      <c r="BJ125" s="2760"/>
      <c r="BK125" s="2760"/>
      <c r="BL125" s="2760"/>
      <c r="BM125" s="2760"/>
      <c r="BN125" s="2760"/>
      <c r="BO125" s="2760"/>
      <c r="BP125" s="2760"/>
      <c r="BQ125" s="2760"/>
      <c r="BR125" s="2760"/>
      <c r="BS125" s="2760"/>
      <c r="BT125" s="2760"/>
      <c r="BU125" s="2760"/>
      <c r="BV125" s="2760"/>
      <c r="BW125" s="2760"/>
      <c r="BX125" s="2760"/>
      <c r="BY125" s="2760"/>
      <c r="BZ125" s="2760"/>
    </row>
    <row r="126" spans="1:78">
      <c r="A126" s="2760"/>
      <c r="B126" s="2760"/>
      <c r="C126" s="2760"/>
      <c r="D126" s="2760"/>
      <c r="E126" s="2760"/>
      <c r="F126" s="2760"/>
      <c r="G126" s="2760"/>
      <c r="H126" s="2760"/>
      <c r="I126" s="2760"/>
      <c r="J126" s="2760"/>
      <c r="K126" s="2760"/>
      <c r="L126" s="2760"/>
      <c r="M126" s="2760"/>
      <c r="N126" s="2760"/>
      <c r="O126" s="2760"/>
      <c r="P126" s="2760"/>
      <c r="Q126" s="2760"/>
      <c r="R126" s="2760"/>
      <c r="S126" s="2760"/>
      <c r="T126" s="2760"/>
      <c r="U126" s="2760"/>
      <c r="V126" s="2760"/>
      <c r="W126" s="2760"/>
      <c r="X126" s="2760"/>
      <c r="Y126" s="2760"/>
      <c r="Z126" s="2760"/>
      <c r="AA126" s="2760"/>
      <c r="AB126" s="2760"/>
      <c r="AC126" s="2760"/>
      <c r="AD126" s="2760"/>
      <c r="AE126" s="2760"/>
      <c r="AF126" s="2760"/>
      <c r="AG126" s="2760"/>
      <c r="AH126" s="2760"/>
      <c r="AI126" s="2760"/>
      <c r="AJ126" s="2760"/>
      <c r="AK126" s="2760"/>
      <c r="AL126" s="2760"/>
      <c r="AM126" s="2760"/>
      <c r="AN126" s="2760"/>
      <c r="AO126" s="2760"/>
      <c r="AP126" s="2760"/>
      <c r="AQ126" s="2760"/>
      <c r="AR126" s="2760"/>
      <c r="AS126" s="2760"/>
      <c r="AT126" s="2760"/>
      <c r="AU126" s="2760"/>
      <c r="AV126" s="2760"/>
      <c r="AW126" s="2760"/>
      <c r="AX126" s="2760"/>
      <c r="AY126" s="2760"/>
      <c r="AZ126" s="2760"/>
      <c r="BA126" s="2760"/>
      <c r="BB126" s="2760"/>
      <c r="BC126" s="2760"/>
      <c r="BD126" s="2760"/>
      <c r="BE126" s="2760"/>
      <c r="BF126" s="2760"/>
      <c r="BG126" s="2760"/>
      <c r="BH126" s="2760"/>
      <c r="BI126" s="2760"/>
      <c r="BJ126" s="2760"/>
      <c r="BK126" s="2760"/>
      <c r="BL126" s="2760"/>
      <c r="BM126" s="2760"/>
      <c r="BN126" s="2760"/>
      <c r="BO126" s="2760"/>
      <c r="BP126" s="2760"/>
      <c r="BQ126" s="2760"/>
      <c r="BR126" s="2760"/>
      <c r="BS126" s="2760"/>
      <c r="BT126" s="2760"/>
      <c r="BU126" s="2760"/>
      <c r="BV126" s="2760"/>
      <c r="BW126" s="2760"/>
      <c r="BX126" s="2760"/>
      <c r="BY126" s="2760"/>
      <c r="BZ126" s="2760"/>
    </row>
    <row r="127" spans="1:78">
      <c r="A127" s="2760"/>
      <c r="B127" s="2760"/>
      <c r="C127" s="2760"/>
      <c r="D127" s="2760"/>
      <c r="E127" s="2760"/>
      <c r="F127" s="2760"/>
      <c r="G127" s="2760"/>
      <c r="H127" s="2760"/>
      <c r="I127" s="2760"/>
      <c r="J127" s="2760"/>
      <c r="K127" s="2760"/>
      <c r="L127" s="2760"/>
      <c r="M127" s="2760"/>
      <c r="N127" s="2760"/>
      <c r="O127" s="2760"/>
      <c r="P127" s="2760"/>
      <c r="Q127" s="2760"/>
      <c r="R127" s="2760"/>
      <c r="S127" s="2760"/>
      <c r="T127" s="2760"/>
      <c r="U127" s="2760"/>
      <c r="V127" s="2760"/>
      <c r="W127" s="2760"/>
      <c r="X127" s="2760"/>
      <c r="Y127" s="2760"/>
      <c r="Z127" s="2760"/>
      <c r="AA127" s="2760"/>
      <c r="AB127" s="2760"/>
      <c r="AC127" s="2760"/>
      <c r="AD127" s="2760"/>
      <c r="AE127" s="2760"/>
      <c r="AF127" s="2760"/>
      <c r="AG127" s="2760"/>
      <c r="AH127" s="2760"/>
      <c r="AI127" s="2760"/>
      <c r="AJ127" s="2760"/>
      <c r="AK127" s="2760"/>
      <c r="AL127" s="2760"/>
      <c r="AM127" s="2760"/>
      <c r="AN127" s="2760"/>
      <c r="AO127" s="2760"/>
      <c r="AP127" s="2760"/>
      <c r="AQ127" s="2760"/>
      <c r="AR127" s="2760"/>
      <c r="AS127" s="2760"/>
      <c r="AT127" s="2760"/>
      <c r="AU127" s="2760"/>
      <c r="AV127" s="2760"/>
      <c r="AW127" s="2760"/>
      <c r="AX127" s="2760"/>
      <c r="AY127" s="2760"/>
      <c r="AZ127" s="2760"/>
      <c r="BA127" s="2760"/>
      <c r="BB127" s="2760"/>
      <c r="BC127" s="2760"/>
      <c r="BD127" s="2760"/>
      <c r="BE127" s="2760"/>
      <c r="BF127" s="2760"/>
      <c r="BG127" s="2760"/>
      <c r="BH127" s="2760"/>
      <c r="BI127" s="2760"/>
      <c r="BJ127" s="2760"/>
      <c r="BK127" s="2760"/>
      <c r="BL127" s="2760"/>
      <c r="BM127" s="2760"/>
      <c r="BN127" s="2760"/>
      <c r="BO127" s="2760"/>
      <c r="BP127" s="2760"/>
      <c r="BQ127" s="2760"/>
      <c r="BR127" s="2760"/>
      <c r="BS127" s="2760"/>
      <c r="BT127" s="2760"/>
      <c r="BU127" s="2760"/>
      <c r="BV127" s="2760"/>
      <c r="BW127" s="2760"/>
      <c r="BX127" s="2760"/>
      <c r="BY127" s="2760"/>
      <c r="BZ127" s="2760"/>
    </row>
    <row r="128" spans="1:78">
      <c r="A128" s="2760"/>
      <c r="B128" s="2760"/>
      <c r="C128" s="2760"/>
      <c r="D128" s="2760"/>
      <c r="E128" s="2760"/>
      <c r="F128" s="2760"/>
      <c r="G128" s="2760"/>
      <c r="H128" s="2760"/>
      <c r="I128" s="2760"/>
      <c r="J128" s="2760"/>
      <c r="K128" s="2760"/>
      <c r="L128" s="2760"/>
      <c r="M128" s="2760"/>
      <c r="N128" s="2760"/>
      <c r="O128" s="2760"/>
      <c r="P128" s="2760"/>
      <c r="Q128" s="2760"/>
      <c r="R128" s="2760"/>
      <c r="S128" s="2760"/>
      <c r="T128" s="2760"/>
      <c r="U128" s="2760"/>
      <c r="V128" s="2760"/>
      <c r="W128" s="2760"/>
      <c r="X128" s="2760"/>
      <c r="Y128" s="2760"/>
      <c r="Z128" s="2760"/>
      <c r="AA128" s="2760"/>
      <c r="AB128" s="2760"/>
      <c r="AC128" s="2760"/>
      <c r="AD128" s="2760"/>
      <c r="AE128" s="2760"/>
      <c r="AF128" s="2760"/>
      <c r="AG128" s="2760"/>
      <c r="AH128" s="2760"/>
      <c r="AI128" s="2760"/>
      <c r="AJ128" s="2760"/>
      <c r="AK128" s="2760"/>
      <c r="AL128" s="2760"/>
      <c r="AM128" s="2760"/>
      <c r="AN128" s="2760"/>
      <c r="AO128" s="2760"/>
      <c r="AP128" s="2760"/>
      <c r="AQ128" s="2760"/>
      <c r="AR128" s="2760"/>
      <c r="AS128" s="2760"/>
      <c r="AT128" s="2760"/>
      <c r="AU128" s="2760"/>
      <c r="AV128" s="2760"/>
      <c r="AW128" s="2760"/>
      <c r="AX128" s="2760"/>
      <c r="AY128" s="2760"/>
      <c r="AZ128" s="2760"/>
      <c r="BA128" s="2760"/>
      <c r="BB128" s="2760"/>
      <c r="BC128" s="2760"/>
      <c r="BD128" s="2760"/>
      <c r="BE128" s="2760"/>
      <c r="BF128" s="2760"/>
      <c r="BG128" s="2760"/>
      <c r="BH128" s="2760"/>
      <c r="BI128" s="2760"/>
      <c r="BJ128" s="2760"/>
      <c r="BK128" s="2760"/>
      <c r="BL128" s="2760"/>
      <c r="BM128" s="2760"/>
      <c r="BN128" s="2760"/>
      <c r="BO128" s="2760"/>
      <c r="BP128" s="2760"/>
      <c r="BQ128" s="2760"/>
      <c r="BR128" s="2760"/>
      <c r="BS128" s="2760"/>
      <c r="BT128" s="2760"/>
      <c r="BU128" s="2760"/>
      <c r="BV128" s="2760"/>
      <c r="BW128" s="2760"/>
      <c r="BX128" s="2760"/>
      <c r="BY128" s="2760"/>
      <c r="BZ128" s="2760"/>
    </row>
    <row r="129" spans="1:78">
      <c r="A129" s="2760"/>
      <c r="B129" s="2760"/>
      <c r="C129" s="2760"/>
      <c r="D129" s="2760"/>
      <c r="E129" s="2760"/>
      <c r="F129" s="2760"/>
      <c r="G129" s="2760"/>
      <c r="H129" s="2760"/>
      <c r="I129" s="2760"/>
      <c r="J129" s="2760"/>
      <c r="K129" s="2760"/>
      <c r="L129" s="2760"/>
      <c r="M129" s="2760"/>
      <c r="N129" s="2760"/>
      <c r="O129" s="2760"/>
      <c r="P129" s="2760"/>
      <c r="Q129" s="2760"/>
      <c r="R129" s="2760"/>
      <c r="S129" s="2760"/>
      <c r="T129" s="2760"/>
      <c r="U129" s="2760"/>
      <c r="V129" s="2760"/>
      <c r="W129" s="2760"/>
      <c r="X129" s="2760"/>
      <c r="Y129" s="2760"/>
      <c r="Z129" s="2760"/>
      <c r="AA129" s="2760"/>
      <c r="AB129" s="2760"/>
      <c r="AC129" s="2760"/>
      <c r="AD129" s="2760"/>
      <c r="AE129" s="2760"/>
      <c r="AF129" s="2760"/>
      <c r="AG129" s="2760"/>
      <c r="AH129" s="2760"/>
      <c r="AI129" s="2760"/>
      <c r="AJ129" s="2760"/>
      <c r="AK129" s="2760"/>
      <c r="AL129" s="2760"/>
      <c r="AM129" s="2760"/>
      <c r="AN129" s="2760"/>
      <c r="AO129" s="2760"/>
      <c r="AP129" s="2760"/>
      <c r="AQ129" s="2760"/>
      <c r="AR129" s="2760"/>
      <c r="AS129" s="2760"/>
      <c r="AT129" s="2760"/>
      <c r="AU129" s="2760"/>
      <c r="AV129" s="2760"/>
      <c r="AW129" s="2760"/>
      <c r="AX129" s="2760"/>
      <c r="AY129" s="2760"/>
      <c r="AZ129" s="2760"/>
      <c r="BA129" s="2760"/>
      <c r="BB129" s="2760"/>
      <c r="BC129" s="2760"/>
      <c r="BD129" s="2760"/>
      <c r="BE129" s="2760"/>
      <c r="BF129" s="2760"/>
      <c r="BG129" s="2760"/>
      <c r="BH129" s="2760"/>
      <c r="BI129" s="2760"/>
      <c r="BJ129" s="2760"/>
      <c r="BK129" s="2760"/>
      <c r="BL129" s="2760"/>
      <c r="BM129" s="2760"/>
      <c r="BN129" s="2760"/>
      <c r="BO129" s="2760"/>
      <c r="BP129" s="2760"/>
      <c r="BQ129" s="2760"/>
      <c r="BR129" s="2760"/>
      <c r="BS129" s="2760"/>
      <c r="BT129" s="2760"/>
      <c r="BU129" s="2760"/>
      <c r="BV129" s="2760"/>
      <c r="BW129" s="2760"/>
      <c r="BX129" s="2760"/>
      <c r="BY129" s="2760"/>
      <c r="BZ129" s="2760"/>
    </row>
    <row r="130" spans="1:78">
      <c r="A130" s="2760"/>
      <c r="B130" s="2760"/>
      <c r="C130" s="2760"/>
      <c r="D130" s="2760"/>
      <c r="E130" s="2760"/>
      <c r="F130" s="2760"/>
      <c r="G130" s="2760"/>
      <c r="H130" s="2760"/>
      <c r="I130" s="2760"/>
      <c r="J130" s="2760"/>
      <c r="K130" s="2760"/>
      <c r="L130" s="2760"/>
      <c r="M130" s="2760"/>
      <c r="N130" s="2760"/>
      <c r="O130" s="2760"/>
      <c r="P130" s="2760"/>
      <c r="Q130" s="2760"/>
      <c r="R130" s="2760"/>
      <c r="S130" s="2760"/>
      <c r="T130" s="2760"/>
      <c r="U130" s="2760"/>
      <c r="V130" s="2760"/>
      <c r="W130" s="2760"/>
      <c r="X130" s="2760"/>
      <c r="Y130" s="2760"/>
      <c r="Z130" s="2760"/>
      <c r="AA130" s="2760"/>
      <c r="AB130" s="2760"/>
      <c r="AC130" s="2760"/>
      <c r="AD130" s="2760"/>
      <c r="AE130" s="2760"/>
      <c r="AF130" s="2760"/>
      <c r="AG130" s="2760"/>
      <c r="AH130" s="2760"/>
      <c r="AI130" s="2760"/>
      <c r="AJ130" s="2760"/>
      <c r="AK130" s="2760"/>
      <c r="AL130" s="2760"/>
      <c r="AM130" s="2760"/>
      <c r="AN130" s="2760"/>
      <c r="AO130" s="2760"/>
      <c r="AP130" s="2760"/>
      <c r="AQ130" s="2760"/>
      <c r="AR130" s="2760"/>
      <c r="AS130" s="2760"/>
      <c r="AT130" s="2760"/>
      <c r="AU130" s="2760"/>
      <c r="AV130" s="2760"/>
      <c r="AW130" s="2760"/>
      <c r="AX130" s="2760"/>
      <c r="AY130" s="2760"/>
      <c r="AZ130" s="2760"/>
      <c r="BA130" s="2760"/>
      <c r="BB130" s="2760"/>
      <c r="BC130" s="2760"/>
      <c r="BD130" s="2760"/>
      <c r="BE130" s="2760"/>
      <c r="BF130" s="2760"/>
      <c r="BG130" s="2760"/>
      <c r="BH130" s="2760"/>
      <c r="BI130" s="2760"/>
      <c r="BJ130" s="2760"/>
      <c r="BK130" s="2760"/>
      <c r="BL130" s="2760"/>
      <c r="BM130" s="2760"/>
      <c r="BN130" s="2760"/>
      <c r="BO130" s="2760"/>
      <c r="BP130" s="2760"/>
      <c r="BQ130" s="2760"/>
      <c r="BR130" s="2760"/>
      <c r="BS130" s="2760"/>
      <c r="BT130" s="2760"/>
      <c r="BU130" s="2760"/>
      <c r="BV130" s="2760"/>
      <c r="BW130" s="2760"/>
      <c r="BX130" s="2760"/>
      <c r="BY130" s="2760"/>
      <c r="BZ130" s="2760"/>
    </row>
    <row r="131" spans="1:78">
      <c r="A131" s="2760"/>
      <c r="B131" s="2760"/>
      <c r="C131" s="2760"/>
      <c r="D131" s="2760"/>
      <c r="E131" s="2760"/>
      <c r="F131" s="2760"/>
      <c r="G131" s="2760"/>
      <c r="H131" s="2760"/>
      <c r="I131" s="2760"/>
      <c r="J131" s="2760"/>
      <c r="K131" s="2760"/>
      <c r="L131" s="2760"/>
      <c r="M131" s="2760"/>
      <c r="N131" s="2760"/>
      <c r="O131" s="2760"/>
      <c r="P131" s="2760"/>
      <c r="Q131" s="2760"/>
      <c r="R131" s="2760"/>
      <c r="S131" s="2760"/>
      <c r="T131" s="2760"/>
      <c r="U131" s="2760"/>
      <c r="V131" s="2760"/>
      <c r="W131" s="2760"/>
      <c r="X131" s="2760"/>
      <c r="Y131" s="2760"/>
      <c r="Z131" s="2760"/>
      <c r="AA131" s="2760"/>
      <c r="AB131" s="2760"/>
      <c r="AC131" s="2760"/>
      <c r="AD131" s="2760"/>
      <c r="AE131" s="2760"/>
      <c r="AF131" s="2760"/>
      <c r="AG131" s="2760"/>
      <c r="AH131" s="2760"/>
      <c r="AI131" s="2760"/>
      <c r="AJ131" s="2760"/>
      <c r="AK131" s="2760"/>
      <c r="AL131" s="2760"/>
      <c r="AM131" s="2760"/>
      <c r="AN131" s="2760"/>
      <c r="AO131" s="2760"/>
      <c r="AP131" s="2760"/>
      <c r="AQ131" s="2760"/>
      <c r="AR131" s="2760"/>
      <c r="AS131" s="2760"/>
      <c r="AT131" s="2760"/>
      <c r="AU131" s="2760"/>
      <c r="AV131" s="2760"/>
      <c r="AW131" s="2760"/>
      <c r="AX131" s="2760"/>
      <c r="AY131" s="2760"/>
      <c r="AZ131" s="2760"/>
      <c r="BA131" s="2760"/>
      <c r="BB131" s="2760"/>
      <c r="BC131" s="2760"/>
      <c r="BD131" s="2760"/>
      <c r="BE131" s="2760"/>
      <c r="BF131" s="2760"/>
      <c r="BG131" s="2760"/>
      <c r="BH131" s="2760"/>
      <c r="BI131" s="2760"/>
      <c r="BJ131" s="2760"/>
      <c r="BK131" s="2760"/>
      <c r="BL131" s="2760"/>
      <c r="BM131" s="2760"/>
      <c r="BN131" s="2760"/>
      <c r="BO131" s="2760"/>
      <c r="BP131" s="2760"/>
      <c r="BQ131" s="2760"/>
      <c r="BR131" s="2760"/>
      <c r="BS131" s="2760"/>
      <c r="BT131" s="2760"/>
      <c r="BU131" s="2760"/>
      <c r="BV131" s="2760"/>
      <c r="BW131" s="2760"/>
      <c r="BX131" s="2760"/>
      <c r="BY131" s="2760"/>
      <c r="BZ131" s="2760"/>
    </row>
    <row r="132" spans="1:78">
      <c r="A132" s="2760"/>
      <c r="B132" s="2760"/>
      <c r="C132" s="2760"/>
      <c r="D132" s="2760"/>
      <c r="E132" s="2760"/>
      <c r="F132" s="2760"/>
      <c r="G132" s="2760"/>
      <c r="H132" s="2760"/>
      <c r="I132" s="2760"/>
      <c r="J132" s="2760"/>
      <c r="K132" s="2760"/>
      <c r="L132" s="2760"/>
      <c r="M132" s="2760"/>
      <c r="N132" s="2760"/>
      <c r="O132" s="2760"/>
      <c r="P132" s="2760"/>
      <c r="Q132" s="2760"/>
      <c r="R132" s="2760"/>
      <c r="S132" s="2760"/>
      <c r="T132" s="2760"/>
      <c r="U132" s="2760"/>
      <c r="V132" s="2760"/>
      <c r="W132" s="2760"/>
      <c r="X132" s="2760"/>
      <c r="Y132" s="2760"/>
      <c r="Z132" s="2760"/>
      <c r="AA132" s="2760"/>
      <c r="AB132" s="2760"/>
      <c r="AC132" s="2760"/>
      <c r="AD132" s="2760"/>
      <c r="AE132" s="2760"/>
      <c r="AF132" s="2760"/>
      <c r="AG132" s="2760"/>
      <c r="AH132" s="2760"/>
      <c r="AI132" s="2760"/>
      <c r="AJ132" s="2760"/>
      <c r="AK132" s="2760"/>
      <c r="AL132" s="2760"/>
      <c r="AM132" s="2760"/>
      <c r="AN132" s="2760"/>
      <c r="AO132" s="2760"/>
      <c r="AP132" s="2760"/>
      <c r="AQ132" s="2760"/>
      <c r="AR132" s="2760"/>
      <c r="AS132" s="2760"/>
      <c r="AT132" s="2760"/>
      <c r="AU132" s="2760"/>
      <c r="AV132" s="2760"/>
      <c r="AW132" s="2760"/>
      <c r="AX132" s="2760"/>
      <c r="AY132" s="2760"/>
      <c r="AZ132" s="2760"/>
      <c r="BA132" s="2760"/>
      <c r="BB132" s="2760"/>
      <c r="BC132" s="2760"/>
      <c r="BD132" s="2760"/>
      <c r="BE132" s="2760"/>
      <c r="BF132" s="2760"/>
      <c r="BG132" s="2760"/>
      <c r="BH132" s="2760"/>
      <c r="BI132" s="2760"/>
      <c r="BJ132" s="2760"/>
      <c r="BK132" s="2760"/>
      <c r="BL132" s="2760"/>
      <c r="BM132" s="2760"/>
      <c r="BN132" s="2760"/>
      <c r="BO132" s="2760"/>
      <c r="BP132" s="2760"/>
      <c r="BQ132" s="2760"/>
      <c r="BR132" s="2760"/>
      <c r="BS132" s="2760"/>
      <c r="BT132" s="2760"/>
      <c r="BU132" s="2760"/>
      <c r="BV132" s="2760"/>
      <c r="BW132" s="2760"/>
      <c r="BX132" s="2760"/>
      <c r="BY132" s="2760"/>
      <c r="BZ132" s="2760"/>
    </row>
    <row r="133" spans="1:78" ht="13.5" customHeight="1">
      <c r="A133" s="580"/>
      <c r="B133" s="580"/>
      <c r="C133" s="580"/>
      <c r="D133" s="580"/>
      <c r="E133" s="580"/>
      <c r="F133" s="580"/>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0"/>
      <c r="AY133" s="580"/>
      <c r="AZ133" s="580"/>
      <c r="BA133" s="580"/>
      <c r="BB133" s="580"/>
      <c r="BC133" s="580"/>
      <c r="BD133" s="580"/>
      <c r="BE133" s="580"/>
      <c r="BF133" s="580"/>
      <c r="BG133" s="580"/>
      <c r="BH133" s="580"/>
      <c r="BI133" s="580"/>
      <c r="BJ133" s="580"/>
      <c r="BK133" s="580"/>
      <c r="BL133" s="580"/>
      <c r="BM133" s="580"/>
      <c r="BN133" s="580"/>
      <c r="BO133" s="580"/>
      <c r="BP133" s="580"/>
      <c r="BQ133" s="580"/>
      <c r="BR133" s="580"/>
      <c r="BS133" s="580"/>
      <c r="BT133" s="580"/>
      <c r="BU133" s="580"/>
      <c r="BV133" s="580"/>
      <c r="BW133" s="580"/>
      <c r="BX133" s="580"/>
      <c r="BY133" s="580"/>
      <c r="BZ133" s="580"/>
    </row>
    <row r="134" spans="1:78">
      <c r="A134" s="2759" t="s">
        <v>280</v>
      </c>
      <c r="B134" s="2759"/>
      <c r="C134" s="2759"/>
      <c r="D134" s="2759"/>
      <c r="E134" s="2759"/>
      <c r="F134" s="2759"/>
      <c r="G134" s="2759"/>
      <c r="H134" s="2759"/>
      <c r="I134" s="2759"/>
      <c r="J134" s="2759"/>
      <c r="K134" s="2759"/>
      <c r="L134" s="2759"/>
      <c r="M134" s="2759"/>
      <c r="N134" s="2759"/>
      <c r="O134" s="2759"/>
      <c r="P134" s="2759"/>
      <c r="Q134" s="2759"/>
      <c r="R134" s="2759"/>
      <c r="S134" s="2759"/>
      <c r="T134" s="2759"/>
      <c r="U134" s="2759"/>
      <c r="V134" s="2759"/>
      <c r="W134" s="2759"/>
      <c r="X134" s="2759"/>
      <c r="Y134" s="2759"/>
      <c r="Z134" s="2759"/>
      <c r="AA134" s="2759"/>
      <c r="AB134" s="2759"/>
      <c r="AC134" s="2759"/>
      <c r="AD134" s="2759"/>
      <c r="AE134" s="2759"/>
      <c r="AF134" s="2759"/>
      <c r="AG134" s="2759"/>
      <c r="AH134" s="2759"/>
      <c r="AI134" s="2759"/>
      <c r="AJ134" s="2759"/>
      <c r="AK134" s="2759"/>
      <c r="AL134" s="2759"/>
      <c r="AM134" s="2759"/>
      <c r="AN134" s="2759"/>
      <c r="AO134" s="2759"/>
      <c r="AP134" s="2759"/>
      <c r="AQ134" s="2759"/>
      <c r="AR134" s="2759"/>
      <c r="AS134" s="2759"/>
      <c r="AT134" s="2759"/>
      <c r="AU134" s="2759"/>
      <c r="AV134" s="2759"/>
      <c r="AW134" s="2759"/>
      <c r="AX134" s="2759"/>
      <c r="AY134" s="2759"/>
      <c r="AZ134" s="2759"/>
      <c r="BA134" s="2759"/>
      <c r="BB134" s="2759"/>
      <c r="BC134" s="2759"/>
      <c r="BD134" s="2759"/>
      <c r="BE134" s="2759"/>
      <c r="BF134" s="2759"/>
      <c r="BG134" s="2759"/>
      <c r="BH134" s="2759"/>
      <c r="BI134" s="2759"/>
      <c r="BJ134" s="2759"/>
      <c r="BK134" s="2759"/>
      <c r="BL134" s="2759"/>
      <c r="BM134" s="2759"/>
      <c r="BN134" s="2759"/>
      <c r="BO134" s="2759"/>
      <c r="BP134" s="2759"/>
      <c r="BQ134" s="2759"/>
      <c r="BR134" s="2759"/>
      <c r="BS134" s="2759"/>
      <c r="BT134" s="2759"/>
      <c r="BU134" s="2759"/>
      <c r="BV134" s="2759"/>
      <c r="BW134" s="2759"/>
      <c r="BX134" s="2759"/>
      <c r="BY134" s="2759"/>
      <c r="BZ134" s="2759"/>
    </row>
    <row r="135" spans="1:78">
      <c r="A135" s="2759"/>
      <c r="B135" s="2759"/>
      <c r="C135" s="2759"/>
      <c r="D135" s="2759"/>
      <c r="E135" s="2759"/>
      <c r="F135" s="2759"/>
      <c r="G135" s="2759"/>
      <c r="H135" s="2759"/>
      <c r="I135" s="2759"/>
      <c r="J135" s="2759"/>
      <c r="K135" s="2759"/>
      <c r="L135" s="2759"/>
      <c r="M135" s="2759"/>
      <c r="N135" s="2759"/>
      <c r="O135" s="2759"/>
      <c r="P135" s="2759"/>
      <c r="Q135" s="2759"/>
      <c r="R135" s="2759"/>
      <c r="S135" s="2759"/>
      <c r="T135" s="2759"/>
      <c r="U135" s="2759"/>
      <c r="V135" s="2759"/>
      <c r="W135" s="2759"/>
      <c r="X135" s="2759"/>
      <c r="Y135" s="2759"/>
      <c r="Z135" s="2759"/>
      <c r="AA135" s="2759"/>
      <c r="AB135" s="2759"/>
      <c r="AC135" s="2759"/>
      <c r="AD135" s="2759"/>
      <c r="AE135" s="2759"/>
      <c r="AF135" s="2759"/>
      <c r="AG135" s="2759"/>
      <c r="AH135" s="2759"/>
      <c r="AI135" s="2759"/>
      <c r="AJ135" s="2759"/>
      <c r="AK135" s="2759"/>
      <c r="AL135" s="2759"/>
      <c r="AM135" s="2759"/>
      <c r="AN135" s="2759"/>
      <c r="AO135" s="2759"/>
      <c r="AP135" s="2759"/>
      <c r="AQ135" s="2759"/>
      <c r="AR135" s="2759"/>
      <c r="AS135" s="2759"/>
      <c r="AT135" s="2759"/>
      <c r="AU135" s="2759"/>
      <c r="AV135" s="2759"/>
      <c r="AW135" s="2759"/>
      <c r="AX135" s="2759"/>
      <c r="AY135" s="2759"/>
      <c r="AZ135" s="2759"/>
      <c r="BA135" s="2759"/>
      <c r="BB135" s="2759"/>
      <c r="BC135" s="2759"/>
      <c r="BD135" s="2759"/>
      <c r="BE135" s="2759"/>
      <c r="BF135" s="2759"/>
      <c r="BG135" s="2759"/>
      <c r="BH135" s="2759"/>
      <c r="BI135" s="2759"/>
      <c r="BJ135" s="2759"/>
      <c r="BK135" s="2759"/>
      <c r="BL135" s="2759"/>
      <c r="BM135" s="2759"/>
      <c r="BN135" s="2759"/>
      <c r="BO135" s="2759"/>
      <c r="BP135" s="2759"/>
      <c r="BQ135" s="2759"/>
      <c r="BR135" s="2759"/>
      <c r="BS135" s="2759"/>
      <c r="BT135" s="2759"/>
      <c r="BU135" s="2759"/>
      <c r="BV135" s="2759"/>
      <c r="BW135" s="2759"/>
      <c r="BX135" s="2759"/>
      <c r="BY135" s="2759"/>
      <c r="BZ135" s="2759"/>
    </row>
    <row r="136" spans="1:78" ht="23.25">
      <c r="A136" s="1452" t="s">
        <v>274</v>
      </c>
      <c r="B136" s="1452"/>
      <c r="C136" s="1452"/>
      <c r="D136" s="1452"/>
      <c r="E136" s="1452"/>
      <c r="F136" s="1452"/>
      <c r="G136" s="1452"/>
      <c r="H136" s="1452"/>
      <c r="I136" s="1452"/>
      <c r="J136" s="1452"/>
      <c r="K136" s="1452"/>
      <c r="L136" s="1452"/>
      <c r="M136" s="1452"/>
      <c r="N136" s="1452"/>
      <c r="O136" s="1452"/>
      <c r="P136" s="1452"/>
      <c r="Q136" s="1452"/>
      <c r="R136" s="1452"/>
      <c r="S136" s="1452"/>
      <c r="T136" s="1452"/>
      <c r="U136" s="1452"/>
      <c r="V136" s="1452"/>
      <c r="W136" s="1452"/>
      <c r="X136" s="1452"/>
      <c r="Y136" s="1452"/>
      <c r="Z136" s="1452"/>
      <c r="AA136" s="1452"/>
      <c r="AB136" s="1452"/>
      <c r="AC136" s="1452"/>
      <c r="AD136" s="1452"/>
      <c r="AE136" s="1452"/>
      <c r="AF136" s="1452"/>
      <c r="AG136" s="1452"/>
      <c r="AH136" s="1452"/>
      <c r="AI136" s="1452"/>
      <c r="AJ136" s="1452"/>
      <c r="AK136" s="1452"/>
      <c r="AL136" s="1452"/>
      <c r="AM136" s="1452"/>
      <c r="AN136" s="1452"/>
      <c r="AO136" s="1452"/>
      <c r="AP136" s="1452"/>
      <c r="AQ136" s="1452"/>
      <c r="AR136" s="1452"/>
      <c r="AS136" s="1452"/>
      <c r="AT136" s="1452"/>
      <c r="AU136" s="1452"/>
      <c r="AV136" s="1452"/>
      <c r="AW136" s="1452"/>
      <c r="AX136" s="1452"/>
      <c r="AY136" s="1452"/>
      <c r="AZ136" s="1452"/>
      <c r="BA136" s="1452"/>
      <c r="BB136" s="1452"/>
      <c r="BC136" s="1452"/>
      <c r="BD136" s="1452"/>
      <c r="BE136" s="1452"/>
      <c r="BF136" s="1452"/>
      <c r="BG136" s="1452"/>
      <c r="BH136" s="1452"/>
      <c r="BI136" s="1452"/>
      <c r="BJ136" s="1452"/>
      <c r="BK136" s="1452"/>
      <c r="BL136" s="1452"/>
      <c r="BM136" s="1452"/>
      <c r="BN136" s="1452"/>
      <c r="BO136" s="1452"/>
      <c r="BP136" s="1452"/>
      <c r="BQ136" s="1452"/>
      <c r="BR136" s="1452"/>
      <c r="BS136" s="1452"/>
      <c r="BT136" s="1452"/>
      <c r="BU136" s="1452"/>
      <c r="BV136" s="1452"/>
      <c r="BW136" s="1452"/>
      <c r="BX136" s="1452"/>
      <c r="BY136" s="1452"/>
      <c r="BZ136" s="1452"/>
    </row>
    <row r="137" spans="1:78" ht="23.25">
      <c r="A137" s="1452"/>
      <c r="B137" s="1452"/>
      <c r="C137" s="1452"/>
      <c r="D137" s="1452"/>
      <c r="E137" s="1452"/>
      <c r="F137" s="1452"/>
      <c r="G137" s="1452"/>
      <c r="H137" s="1452"/>
      <c r="I137" s="1452"/>
      <c r="J137" s="1452"/>
      <c r="K137" s="1452"/>
      <c r="L137" s="1452"/>
      <c r="M137" s="1452"/>
      <c r="N137" s="1452"/>
      <c r="O137" s="1452"/>
      <c r="P137" s="1452"/>
      <c r="Q137" s="1452"/>
      <c r="R137" s="1452"/>
      <c r="S137" s="1452"/>
      <c r="T137" s="1452"/>
      <c r="U137" s="1452"/>
      <c r="V137" s="1452"/>
      <c r="W137" s="1452"/>
      <c r="X137" s="1452"/>
      <c r="Y137" s="1452"/>
      <c r="Z137" s="1452"/>
      <c r="AA137" s="1452"/>
      <c r="AB137" s="1452"/>
      <c r="AC137" s="1452"/>
      <c r="AD137" s="1452"/>
      <c r="AE137" s="1452"/>
      <c r="AF137" s="1452"/>
      <c r="AG137" s="1452"/>
      <c r="AH137" s="1452"/>
      <c r="AI137" s="1452"/>
      <c r="AJ137" s="1452"/>
      <c r="AK137" s="1452"/>
      <c r="AL137" s="1452"/>
      <c r="AM137" s="1452"/>
      <c r="AN137" s="1452"/>
      <c r="AO137" s="1452"/>
      <c r="AP137" s="1452"/>
      <c r="AQ137" s="1452"/>
      <c r="AR137" s="1452"/>
      <c r="AS137" s="1452"/>
      <c r="AT137" s="1452"/>
      <c r="AU137" s="1452"/>
      <c r="AV137" s="1452"/>
      <c r="AW137" s="1452"/>
      <c r="AX137" s="1452"/>
      <c r="AY137" s="1452"/>
      <c r="AZ137" s="1452"/>
      <c r="BA137" s="1452"/>
      <c r="BB137" s="1452"/>
      <c r="BC137" s="1452"/>
      <c r="BD137" s="1452"/>
      <c r="BE137" s="1452"/>
      <c r="BF137" s="1452"/>
      <c r="BG137" s="1452"/>
      <c r="BH137" s="1452"/>
      <c r="BI137" s="1452"/>
      <c r="BJ137" s="1452"/>
      <c r="BK137" s="1452"/>
      <c r="BL137" s="1452"/>
      <c r="BM137" s="1452"/>
      <c r="BN137" s="1452"/>
      <c r="BO137" s="1452"/>
      <c r="BP137" s="1452"/>
      <c r="BQ137" s="1452"/>
      <c r="BR137" s="1452"/>
      <c r="BS137" s="1452"/>
      <c r="BT137" s="1452"/>
      <c r="BU137" s="1452"/>
      <c r="BV137" s="1452"/>
      <c r="BW137" s="1452"/>
      <c r="BX137" s="1452"/>
      <c r="BY137" s="1452"/>
      <c r="BZ137" s="1452"/>
    </row>
    <row r="138" spans="1:78">
      <c r="A138" s="2760" t="s">
        <v>275</v>
      </c>
      <c r="B138" s="2760"/>
      <c r="C138" s="2760"/>
      <c r="D138" s="2760"/>
      <c r="E138" s="2760"/>
      <c r="F138" s="2760"/>
      <c r="G138" s="2760"/>
      <c r="H138" s="2760"/>
      <c r="I138" s="2760"/>
      <c r="J138" s="2760"/>
      <c r="K138" s="2760"/>
      <c r="L138" s="2760"/>
      <c r="M138" s="2760"/>
      <c r="N138" s="2760"/>
      <c r="O138" s="2760"/>
      <c r="P138" s="2760"/>
      <c r="Q138" s="2760"/>
      <c r="R138" s="2789" t="str">
        <f>CONCATENATE('01 使用承認申請書'!C14)</f>
        <v/>
      </c>
      <c r="S138" s="2789"/>
      <c r="T138" s="2789"/>
      <c r="U138" s="2789"/>
      <c r="V138" s="2789"/>
      <c r="W138" s="2789"/>
      <c r="X138" s="2789"/>
      <c r="Y138" s="2789"/>
      <c r="Z138" s="2789"/>
      <c r="AA138" s="2789"/>
      <c r="AB138" s="2789"/>
      <c r="AC138" s="2760" t="s">
        <v>15</v>
      </c>
      <c r="AD138" s="2760"/>
      <c r="AE138" s="2760"/>
      <c r="AF138" s="2760"/>
      <c r="AG138" s="2760"/>
      <c r="AH138" s="2760"/>
      <c r="AI138" s="2760"/>
      <c r="AJ138" s="2760"/>
      <c r="AK138" s="2760"/>
      <c r="AL138" s="2760"/>
      <c r="AM138" s="2789" t="str">
        <f>CONCATENATE('01 使用承認申請書'!F14)</f>
        <v/>
      </c>
      <c r="AN138" s="2789"/>
      <c r="AO138" s="2789"/>
      <c r="AP138" s="2789"/>
      <c r="AQ138" s="2789"/>
      <c r="AR138" s="2789"/>
      <c r="AS138" s="2789"/>
      <c r="AT138" s="2789"/>
      <c r="AU138" s="2789"/>
      <c r="AV138" s="2789"/>
      <c r="AW138" s="2789"/>
      <c r="AX138" s="2760" t="s">
        <v>14</v>
      </c>
      <c r="AY138" s="2760"/>
      <c r="AZ138" s="2760"/>
      <c r="BA138" s="2760"/>
      <c r="BB138" s="2760"/>
      <c r="BC138" s="2760"/>
      <c r="BD138" s="2760"/>
      <c r="BE138" s="2760"/>
      <c r="BF138" s="2760"/>
      <c r="BG138" s="2760"/>
      <c r="BH138" s="2760" t="s">
        <v>38</v>
      </c>
      <c r="BI138" s="2760"/>
      <c r="BJ138" s="2760"/>
      <c r="BK138" s="2760"/>
      <c r="BL138" s="2761" t="str">
        <f>CONCATENATE('01 使用承認申請書'!J14)</f>
        <v/>
      </c>
      <c r="BM138" s="2761"/>
      <c r="BN138" s="2761"/>
      <c r="BO138" s="2761"/>
      <c r="BP138" s="2761"/>
      <c r="BQ138" s="2761"/>
      <c r="BR138" s="2761"/>
      <c r="BS138" s="2761"/>
      <c r="BT138" s="2761"/>
      <c r="BU138" s="2761"/>
      <c r="BV138" s="2761"/>
      <c r="BW138" s="2760" t="s">
        <v>37</v>
      </c>
      <c r="BX138" s="2760"/>
      <c r="BY138" s="2760"/>
      <c r="BZ138" s="2760"/>
    </row>
    <row r="139" spans="1:78">
      <c r="A139" s="2760"/>
      <c r="B139" s="2760"/>
      <c r="C139" s="2760"/>
      <c r="D139" s="2760"/>
      <c r="E139" s="2760"/>
      <c r="F139" s="2760"/>
      <c r="G139" s="2760"/>
      <c r="H139" s="2760"/>
      <c r="I139" s="2760"/>
      <c r="J139" s="2760"/>
      <c r="K139" s="2760"/>
      <c r="L139" s="2760"/>
      <c r="M139" s="2760"/>
      <c r="N139" s="2760"/>
      <c r="O139" s="2760"/>
      <c r="P139" s="2760"/>
      <c r="Q139" s="2760"/>
      <c r="R139" s="2789"/>
      <c r="S139" s="2789"/>
      <c r="T139" s="2789"/>
      <c r="U139" s="2789"/>
      <c r="V139" s="2789"/>
      <c r="W139" s="2789"/>
      <c r="X139" s="2789"/>
      <c r="Y139" s="2789"/>
      <c r="Z139" s="2789"/>
      <c r="AA139" s="2789"/>
      <c r="AB139" s="2789"/>
      <c r="AC139" s="2760"/>
      <c r="AD139" s="2760"/>
      <c r="AE139" s="2760"/>
      <c r="AF139" s="2760"/>
      <c r="AG139" s="2760"/>
      <c r="AH139" s="2760"/>
      <c r="AI139" s="2760"/>
      <c r="AJ139" s="2760"/>
      <c r="AK139" s="2760"/>
      <c r="AL139" s="2760"/>
      <c r="AM139" s="2789"/>
      <c r="AN139" s="2789"/>
      <c r="AO139" s="2789"/>
      <c r="AP139" s="2789"/>
      <c r="AQ139" s="2789"/>
      <c r="AR139" s="2789"/>
      <c r="AS139" s="2789"/>
      <c r="AT139" s="2789"/>
      <c r="AU139" s="2789"/>
      <c r="AV139" s="2789"/>
      <c r="AW139" s="2789"/>
      <c r="AX139" s="2760"/>
      <c r="AY139" s="2760"/>
      <c r="AZ139" s="2760"/>
      <c r="BA139" s="2760"/>
      <c r="BB139" s="2760"/>
      <c r="BC139" s="2760"/>
      <c r="BD139" s="2760"/>
      <c r="BE139" s="2760"/>
      <c r="BF139" s="2760"/>
      <c r="BG139" s="2760"/>
      <c r="BH139" s="2760"/>
      <c r="BI139" s="2760"/>
      <c r="BJ139" s="2760"/>
      <c r="BK139" s="2760"/>
      <c r="BL139" s="2761"/>
      <c r="BM139" s="2761"/>
      <c r="BN139" s="2761"/>
      <c r="BO139" s="2761"/>
      <c r="BP139" s="2761"/>
      <c r="BQ139" s="2761"/>
      <c r="BR139" s="2761"/>
      <c r="BS139" s="2761"/>
      <c r="BT139" s="2761"/>
      <c r="BU139" s="2761"/>
      <c r="BV139" s="2761"/>
      <c r="BW139" s="2760"/>
      <c r="BX139" s="2760"/>
      <c r="BY139" s="2760"/>
      <c r="BZ139" s="2760"/>
    </row>
    <row r="140" spans="1:78">
      <c r="A140" s="2760"/>
      <c r="B140" s="2760"/>
      <c r="C140" s="2760"/>
      <c r="D140" s="2760"/>
      <c r="E140" s="2760"/>
      <c r="F140" s="2760"/>
      <c r="G140" s="2760"/>
      <c r="H140" s="2760"/>
      <c r="I140" s="2760"/>
      <c r="J140" s="2760"/>
      <c r="K140" s="2760"/>
      <c r="L140" s="2760"/>
      <c r="M140" s="2760"/>
      <c r="N140" s="2760"/>
      <c r="O140" s="2760"/>
      <c r="P140" s="2760"/>
      <c r="Q140" s="2760"/>
      <c r="R140" s="2789"/>
      <c r="S140" s="2789"/>
      <c r="T140" s="2789"/>
      <c r="U140" s="2789"/>
      <c r="V140" s="2789"/>
      <c r="W140" s="2789"/>
      <c r="X140" s="2789"/>
      <c r="Y140" s="2789"/>
      <c r="Z140" s="2789"/>
      <c r="AA140" s="2789"/>
      <c r="AB140" s="2789"/>
      <c r="AC140" s="2760"/>
      <c r="AD140" s="2760"/>
      <c r="AE140" s="2760"/>
      <c r="AF140" s="2760"/>
      <c r="AG140" s="2760"/>
      <c r="AH140" s="2760"/>
      <c r="AI140" s="2760"/>
      <c r="AJ140" s="2760"/>
      <c r="AK140" s="2760"/>
      <c r="AL140" s="2760"/>
      <c r="AM140" s="2789"/>
      <c r="AN140" s="2789"/>
      <c r="AO140" s="2789"/>
      <c r="AP140" s="2789"/>
      <c r="AQ140" s="2789"/>
      <c r="AR140" s="2789"/>
      <c r="AS140" s="2789"/>
      <c r="AT140" s="2789"/>
      <c r="AU140" s="2789"/>
      <c r="AV140" s="2789"/>
      <c r="AW140" s="2789"/>
      <c r="AX140" s="2760"/>
      <c r="AY140" s="2760"/>
      <c r="AZ140" s="2760"/>
      <c r="BA140" s="2760"/>
      <c r="BB140" s="2760"/>
      <c r="BC140" s="2760"/>
      <c r="BD140" s="2760"/>
      <c r="BE140" s="2760"/>
      <c r="BF140" s="2760"/>
      <c r="BG140" s="2760"/>
      <c r="BH140" s="2760"/>
      <c r="BI140" s="2760"/>
      <c r="BJ140" s="2760"/>
      <c r="BK140" s="2760"/>
      <c r="BL140" s="2761"/>
      <c r="BM140" s="2761"/>
      <c r="BN140" s="2761"/>
      <c r="BO140" s="2761"/>
      <c r="BP140" s="2761"/>
      <c r="BQ140" s="2761"/>
      <c r="BR140" s="2761"/>
      <c r="BS140" s="2761"/>
      <c r="BT140" s="2761"/>
      <c r="BU140" s="2761"/>
      <c r="BV140" s="2761"/>
      <c r="BW140" s="2760"/>
      <c r="BX140" s="2760"/>
      <c r="BY140" s="2760"/>
      <c r="BZ140" s="2760"/>
    </row>
    <row r="141" spans="1:78">
      <c r="A141" s="2760"/>
      <c r="B141" s="2760"/>
      <c r="C141" s="2760"/>
      <c r="D141" s="2760"/>
      <c r="E141" s="2760"/>
      <c r="F141" s="2760"/>
      <c r="G141" s="2760"/>
      <c r="H141" s="2760"/>
      <c r="I141" s="2760"/>
      <c r="J141" s="2760"/>
      <c r="K141" s="2760"/>
      <c r="L141" s="2760"/>
      <c r="M141" s="2760"/>
      <c r="N141" s="2760"/>
      <c r="O141" s="2760"/>
      <c r="P141" s="2760"/>
      <c r="Q141" s="2760"/>
      <c r="R141" s="2789"/>
      <c r="S141" s="2789"/>
      <c r="T141" s="2789"/>
      <c r="U141" s="2789"/>
      <c r="V141" s="2789"/>
      <c r="W141" s="2789"/>
      <c r="X141" s="2789"/>
      <c r="Y141" s="2789"/>
      <c r="Z141" s="2789"/>
      <c r="AA141" s="2789"/>
      <c r="AB141" s="2789"/>
      <c r="AC141" s="2760"/>
      <c r="AD141" s="2760"/>
      <c r="AE141" s="2760"/>
      <c r="AF141" s="2760"/>
      <c r="AG141" s="2760"/>
      <c r="AH141" s="2760"/>
      <c r="AI141" s="2760"/>
      <c r="AJ141" s="2760"/>
      <c r="AK141" s="2760"/>
      <c r="AL141" s="2760"/>
      <c r="AM141" s="2789"/>
      <c r="AN141" s="2789"/>
      <c r="AO141" s="2789"/>
      <c r="AP141" s="2789"/>
      <c r="AQ141" s="2789"/>
      <c r="AR141" s="2789"/>
      <c r="AS141" s="2789"/>
      <c r="AT141" s="2789"/>
      <c r="AU141" s="2789"/>
      <c r="AV141" s="2789"/>
      <c r="AW141" s="2789"/>
      <c r="AX141" s="2760"/>
      <c r="AY141" s="2760"/>
      <c r="AZ141" s="2760"/>
      <c r="BA141" s="2760"/>
      <c r="BB141" s="2760"/>
      <c r="BC141" s="2760"/>
      <c r="BD141" s="2760"/>
      <c r="BE141" s="2760"/>
      <c r="BF141" s="2760"/>
      <c r="BG141" s="2760"/>
      <c r="BH141" s="2760"/>
      <c r="BI141" s="2760"/>
      <c r="BJ141" s="2760"/>
      <c r="BK141" s="2760"/>
      <c r="BL141" s="2761"/>
      <c r="BM141" s="2761"/>
      <c r="BN141" s="2761"/>
      <c r="BO141" s="2761"/>
      <c r="BP141" s="2761"/>
      <c r="BQ141" s="2761"/>
      <c r="BR141" s="2761"/>
      <c r="BS141" s="2761"/>
      <c r="BT141" s="2761"/>
      <c r="BU141" s="2761"/>
      <c r="BV141" s="2761"/>
      <c r="BW141" s="2760"/>
      <c r="BX141" s="2760"/>
      <c r="BY141" s="2760"/>
      <c r="BZ141" s="2760"/>
    </row>
    <row r="142" spans="1:78">
      <c r="A142" s="2760"/>
      <c r="B142" s="2760"/>
      <c r="C142" s="2760"/>
      <c r="D142" s="2760"/>
      <c r="E142" s="2760"/>
      <c r="F142" s="2760"/>
      <c r="G142" s="2760"/>
      <c r="H142" s="2760"/>
      <c r="I142" s="2760"/>
      <c r="J142" s="2760"/>
      <c r="K142" s="2760"/>
      <c r="L142" s="2760"/>
      <c r="M142" s="2760"/>
      <c r="N142" s="2760"/>
      <c r="O142" s="2760"/>
      <c r="P142" s="2760"/>
      <c r="Q142" s="2760"/>
      <c r="R142" s="2789"/>
      <c r="S142" s="2789"/>
      <c r="T142" s="2789"/>
      <c r="U142" s="2789"/>
      <c r="V142" s="2789"/>
      <c r="W142" s="2789"/>
      <c r="X142" s="2789"/>
      <c r="Y142" s="2789"/>
      <c r="Z142" s="2789"/>
      <c r="AA142" s="2789"/>
      <c r="AB142" s="2789"/>
      <c r="AC142" s="2760"/>
      <c r="AD142" s="2760"/>
      <c r="AE142" s="2760"/>
      <c r="AF142" s="2760"/>
      <c r="AG142" s="2760"/>
      <c r="AH142" s="2760"/>
      <c r="AI142" s="2760"/>
      <c r="AJ142" s="2760"/>
      <c r="AK142" s="2760"/>
      <c r="AL142" s="2760"/>
      <c r="AM142" s="2789"/>
      <c r="AN142" s="2789"/>
      <c r="AO142" s="2789"/>
      <c r="AP142" s="2789"/>
      <c r="AQ142" s="2789"/>
      <c r="AR142" s="2789"/>
      <c r="AS142" s="2789"/>
      <c r="AT142" s="2789"/>
      <c r="AU142" s="2789"/>
      <c r="AV142" s="2789"/>
      <c r="AW142" s="2789"/>
      <c r="AX142" s="2760"/>
      <c r="AY142" s="2760"/>
      <c r="AZ142" s="2760"/>
      <c r="BA142" s="2760"/>
      <c r="BB142" s="2760"/>
      <c r="BC142" s="2760"/>
      <c r="BD142" s="2760"/>
      <c r="BE142" s="2760"/>
      <c r="BF142" s="2760"/>
      <c r="BG142" s="2760"/>
      <c r="BH142" s="2760"/>
      <c r="BI142" s="2760"/>
      <c r="BJ142" s="2760"/>
      <c r="BK142" s="2760"/>
      <c r="BL142" s="2761"/>
      <c r="BM142" s="2761"/>
      <c r="BN142" s="2761"/>
      <c r="BO142" s="2761"/>
      <c r="BP142" s="2761"/>
      <c r="BQ142" s="2761"/>
      <c r="BR142" s="2761"/>
      <c r="BS142" s="2761"/>
      <c r="BT142" s="2761"/>
      <c r="BU142" s="2761"/>
      <c r="BV142" s="2761"/>
      <c r="BW142" s="2760"/>
      <c r="BX142" s="2760"/>
      <c r="BY142" s="2760"/>
      <c r="BZ142" s="2760"/>
    </row>
    <row r="143" spans="1:78">
      <c r="A143" s="2760"/>
      <c r="B143" s="2760"/>
      <c r="C143" s="2760"/>
      <c r="D143" s="2760"/>
      <c r="E143" s="2760"/>
      <c r="F143" s="2760"/>
      <c r="G143" s="2760"/>
      <c r="H143" s="2760"/>
      <c r="I143" s="2760"/>
      <c r="J143" s="2760"/>
      <c r="K143" s="2760"/>
      <c r="L143" s="2760"/>
      <c r="M143" s="2760"/>
      <c r="N143" s="2760"/>
      <c r="O143" s="2760"/>
      <c r="P143" s="2760"/>
      <c r="Q143" s="2760"/>
      <c r="R143" s="2789"/>
      <c r="S143" s="2789"/>
      <c r="T143" s="2789"/>
      <c r="U143" s="2789"/>
      <c r="V143" s="2789"/>
      <c r="W143" s="2789"/>
      <c r="X143" s="2789"/>
      <c r="Y143" s="2789"/>
      <c r="Z143" s="2789"/>
      <c r="AA143" s="2789"/>
      <c r="AB143" s="2789"/>
      <c r="AC143" s="2760"/>
      <c r="AD143" s="2760"/>
      <c r="AE143" s="2760"/>
      <c r="AF143" s="2760"/>
      <c r="AG143" s="2760"/>
      <c r="AH143" s="2760"/>
      <c r="AI143" s="2760"/>
      <c r="AJ143" s="2760"/>
      <c r="AK143" s="2760"/>
      <c r="AL143" s="2760"/>
      <c r="AM143" s="2789"/>
      <c r="AN143" s="2789"/>
      <c r="AO143" s="2789"/>
      <c r="AP143" s="2789"/>
      <c r="AQ143" s="2789"/>
      <c r="AR143" s="2789"/>
      <c r="AS143" s="2789"/>
      <c r="AT143" s="2789"/>
      <c r="AU143" s="2789"/>
      <c r="AV143" s="2789"/>
      <c r="AW143" s="2789"/>
      <c r="AX143" s="2760"/>
      <c r="AY143" s="2760"/>
      <c r="AZ143" s="2760"/>
      <c r="BA143" s="2760"/>
      <c r="BB143" s="2760"/>
      <c r="BC143" s="2760"/>
      <c r="BD143" s="2760"/>
      <c r="BE143" s="2760"/>
      <c r="BF143" s="2760"/>
      <c r="BG143" s="2760"/>
      <c r="BH143" s="2760"/>
      <c r="BI143" s="2760"/>
      <c r="BJ143" s="2760"/>
      <c r="BK143" s="2760"/>
      <c r="BL143" s="2761"/>
      <c r="BM143" s="2761"/>
      <c r="BN143" s="2761"/>
      <c r="BO143" s="2761"/>
      <c r="BP143" s="2761"/>
      <c r="BQ143" s="2761"/>
      <c r="BR143" s="2761"/>
      <c r="BS143" s="2761"/>
      <c r="BT143" s="2761"/>
      <c r="BU143" s="2761"/>
      <c r="BV143" s="2761"/>
      <c r="BW143" s="2760"/>
      <c r="BX143" s="2760"/>
      <c r="BY143" s="2760"/>
      <c r="BZ143" s="2760"/>
    </row>
    <row r="144" spans="1:78">
      <c r="A144" s="2760"/>
      <c r="B144" s="2760"/>
      <c r="C144" s="2760"/>
      <c r="D144" s="2760"/>
      <c r="E144" s="2760"/>
      <c r="F144" s="2760"/>
      <c r="G144" s="2760"/>
      <c r="H144" s="2760"/>
      <c r="I144" s="2760"/>
      <c r="J144" s="2760"/>
      <c r="K144" s="2760"/>
      <c r="L144" s="2760"/>
      <c r="M144" s="2760"/>
      <c r="N144" s="2760"/>
      <c r="O144" s="2760"/>
      <c r="P144" s="2760"/>
      <c r="Q144" s="2760"/>
      <c r="R144" s="2789"/>
      <c r="S144" s="2789"/>
      <c r="T144" s="2789"/>
      <c r="U144" s="2789"/>
      <c r="V144" s="2789"/>
      <c r="W144" s="2789"/>
      <c r="X144" s="2789"/>
      <c r="Y144" s="2789"/>
      <c r="Z144" s="2789"/>
      <c r="AA144" s="2789"/>
      <c r="AB144" s="2789"/>
      <c r="AC144" s="2760"/>
      <c r="AD144" s="2760"/>
      <c r="AE144" s="2760"/>
      <c r="AF144" s="2760"/>
      <c r="AG144" s="2760"/>
      <c r="AH144" s="2760"/>
      <c r="AI144" s="2760"/>
      <c r="AJ144" s="2760"/>
      <c r="AK144" s="2760"/>
      <c r="AL144" s="2760"/>
      <c r="AM144" s="2789"/>
      <c r="AN144" s="2789"/>
      <c r="AO144" s="2789"/>
      <c r="AP144" s="2789"/>
      <c r="AQ144" s="2789"/>
      <c r="AR144" s="2789"/>
      <c r="AS144" s="2789"/>
      <c r="AT144" s="2789"/>
      <c r="AU144" s="2789"/>
      <c r="AV144" s="2789"/>
      <c r="AW144" s="2789"/>
      <c r="AX144" s="2760"/>
      <c r="AY144" s="2760"/>
      <c r="AZ144" s="2760"/>
      <c r="BA144" s="2760"/>
      <c r="BB144" s="2760"/>
      <c r="BC144" s="2760"/>
      <c r="BD144" s="2760"/>
      <c r="BE144" s="2760"/>
      <c r="BF144" s="2760"/>
      <c r="BG144" s="2760"/>
      <c r="BH144" s="2760"/>
      <c r="BI144" s="2760"/>
      <c r="BJ144" s="2760"/>
      <c r="BK144" s="2760"/>
      <c r="BL144" s="2761"/>
      <c r="BM144" s="2761"/>
      <c r="BN144" s="2761"/>
      <c r="BO144" s="2761"/>
      <c r="BP144" s="2761"/>
      <c r="BQ144" s="2761"/>
      <c r="BR144" s="2761"/>
      <c r="BS144" s="2761"/>
      <c r="BT144" s="2761"/>
      <c r="BU144" s="2761"/>
      <c r="BV144" s="2761"/>
      <c r="BW144" s="2760"/>
      <c r="BX144" s="2760"/>
      <c r="BY144" s="2760"/>
      <c r="BZ144" s="2760"/>
    </row>
    <row r="145" spans="1:78">
      <c r="A145" s="2760"/>
      <c r="B145" s="2760"/>
      <c r="C145" s="2760"/>
      <c r="D145" s="2760"/>
      <c r="E145" s="2760"/>
      <c r="F145" s="2760"/>
      <c r="G145" s="2760"/>
      <c r="H145" s="2760"/>
      <c r="I145" s="2760"/>
      <c r="J145" s="2760"/>
      <c r="K145" s="2760"/>
      <c r="L145" s="2760"/>
      <c r="M145" s="2760"/>
      <c r="N145" s="2760"/>
      <c r="O145" s="2760"/>
      <c r="P145" s="2760"/>
      <c r="Q145" s="2760"/>
      <c r="R145" s="2789"/>
      <c r="S145" s="2789"/>
      <c r="T145" s="2789"/>
      <c r="U145" s="2789"/>
      <c r="V145" s="2789"/>
      <c r="W145" s="2789"/>
      <c r="X145" s="2789"/>
      <c r="Y145" s="2789"/>
      <c r="Z145" s="2789"/>
      <c r="AA145" s="2789"/>
      <c r="AB145" s="2789"/>
      <c r="AC145" s="2760"/>
      <c r="AD145" s="2760"/>
      <c r="AE145" s="2760"/>
      <c r="AF145" s="2760"/>
      <c r="AG145" s="2760"/>
      <c r="AH145" s="2760"/>
      <c r="AI145" s="2760"/>
      <c r="AJ145" s="2760"/>
      <c r="AK145" s="2760"/>
      <c r="AL145" s="2760"/>
      <c r="AM145" s="2789"/>
      <c r="AN145" s="2789"/>
      <c r="AO145" s="2789"/>
      <c r="AP145" s="2789"/>
      <c r="AQ145" s="2789"/>
      <c r="AR145" s="2789"/>
      <c r="AS145" s="2789"/>
      <c r="AT145" s="2789"/>
      <c r="AU145" s="2789"/>
      <c r="AV145" s="2789"/>
      <c r="AW145" s="2789"/>
      <c r="AX145" s="2760"/>
      <c r="AY145" s="2760"/>
      <c r="AZ145" s="2760"/>
      <c r="BA145" s="2760"/>
      <c r="BB145" s="2760"/>
      <c r="BC145" s="2760"/>
      <c r="BD145" s="2760"/>
      <c r="BE145" s="2760"/>
      <c r="BF145" s="2760"/>
      <c r="BG145" s="2760"/>
      <c r="BH145" s="2760"/>
      <c r="BI145" s="2760"/>
      <c r="BJ145" s="2760"/>
      <c r="BK145" s="2760"/>
      <c r="BL145" s="2761"/>
      <c r="BM145" s="2761"/>
      <c r="BN145" s="2761"/>
      <c r="BO145" s="2761"/>
      <c r="BP145" s="2761"/>
      <c r="BQ145" s="2761"/>
      <c r="BR145" s="2761"/>
      <c r="BS145" s="2761"/>
      <c r="BT145" s="2761"/>
      <c r="BU145" s="2761"/>
      <c r="BV145" s="2761"/>
      <c r="BW145" s="2760"/>
      <c r="BX145" s="2760"/>
      <c r="BY145" s="2760"/>
      <c r="BZ145" s="2760"/>
    </row>
    <row r="146" spans="1:78">
      <c r="A146" s="2760"/>
      <c r="B146" s="2760"/>
      <c r="C146" s="2760"/>
      <c r="D146" s="2760"/>
      <c r="E146" s="2760"/>
      <c r="F146" s="2760"/>
      <c r="G146" s="2760"/>
      <c r="H146" s="2760"/>
      <c r="I146" s="2760"/>
      <c r="J146" s="2760"/>
      <c r="K146" s="2760"/>
      <c r="L146" s="2760"/>
      <c r="M146" s="2760"/>
      <c r="N146" s="2760"/>
      <c r="O146" s="2760"/>
      <c r="P146" s="2760"/>
      <c r="Q146" s="2760"/>
      <c r="R146" s="2790"/>
      <c r="S146" s="2790"/>
      <c r="T146" s="2790"/>
      <c r="U146" s="2790"/>
      <c r="V146" s="2790"/>
      <c r="W146" s="2790"/>
      <c r="X146" s="2790"/>
      <c r="Y146" s="2790"/>
      <c r="Z146" s="2790"/>
      <c r="AA146" s="2790"/>
      <c r="AB146" s="2790"/>
      <c r="AC146" s="2760"/>
      <c r="AD146" s="2760"/>
      <c r="AE146" s="2760"/>
      <c r="AF146" s="2760"/>
      <c r="AG146" s="2760"/>
      <c r="AH146" s="2760"/>
      <c r="AI146" s="2760"/>
      <c r="AJ146" s="2760"/>
      <c r="AK146" s="2760"/>
      <c r="AL146" s="2760"/>
      <c r="AM146" s="2790"/>
      <c r="AN146" s="2790"/>
      <c r="AO146" s="2790"/>
      <c r="AP146" s="2790"/>
      <c r="AQ146" s="2790"/>
      <c r="AR146" s="2790"/>
      <c r="AS146" s="2790"/>
      <c r="AT146" s="2790"/>
      <c r="AU146" s="2790"/>
      <c r="AV146" s="2790"/>
      <c r="AW146" s="2790"/>
      <c r="AX146" s="2760"/>
      <c r="AY146" s="2760"/>
      <c r="AZ146" s="2760"/>
      <c r="BA146" s="2760"/>
      <c r="BB146" s="2760"/>
      <c r="BC146" s="2760"/>
      <c r="BD146" s="2760"/>
      <c r="BE146" s="2760"/>
      <c r="BF146" s="2760"/>
      <c r="BG146" s="2760"/>
      <c r="BH146" s="2760"/>
      <c r="BI146" s="2760"/>
      <c r="BJ146" s="2760"/>
      <c r="BK146" s="2760"/>
      <c r="BL146" s="2762"/>
      <c r="BM146" s="2762"/>
      <c r="BN146" s="2762"/>
      <c r="BO146" s="2762"/>
      <c r="BP146" s="2762"/>
      <c r="BQ146" s="2762"/>
      <c r="BR146" s="2762"/>
      <c r="BS146" s="2762"/>
      <c r="BT146" s="2762"/>
      <c r="BU146" s="2762"/>
      <c r="BV146" s="2762"/>
      <c r="BW146" s="2760"/>
      <c r="BX146" s="2760"/>
      <c r="BY146" s="2760"/>
      <c r="BZ146" s="2760"/>
    </row>
    <row r="147" spans="1:78">
      <c r="A147" s="2763" t="s">
        <v>2980</v>
      </c>
      <c r="B147" s="2764"/>
      <c r="C147" s="2764"/>
      <c r="D147" s="2764"/>
      <c r="E147" s="2764"/>
      <c r="F147" s="2764"/>
      <c r="G147" s="2764"/>
      <c r="H147" s="2764"/>
      <c r="I147" s="2764"/>
      <c r="J147" s="2764"/>
      <c r="K147" s="2764"/>
      <c r="L147" s="2764"/>
      <c r="M147" s="2764"/>
      <c r="N147" s="2764"/>
      <c r="O147" s="2764"/>
      <c r="P147" s="2764"/>
      <c r="Q147" s="2764"/>
      <c r="R147" s="2765" t="str">
        <f>CONCATENATE('01 使用承認申請書'!D4)</f>
        <v/>
      </c>
      <c r="S147" s="2765"/>
      <c r="T147" s="2765"/>
      <c r="U147" s="2765"/>
      <c r="V147" s="2765"/>
      <c r="W147" s="2765"/>
      <c r="X147" s="2765"/>
      <c r="Y147" s="2765"/>
      <c r="Z147" s="2765"/>
      <c r="AA147" s="2765"/>
      <c r="AB147" s="2765"/>
      <c r="AC147" s="2765"/>
      <c r="AD147" s="2765"/>
      <c r="AE147" s="2765"/>
      <c r="AF147" s="2765"/>
      <c r="AG147" s="2765"/>
      <c r="AH147" s="2765"/>
      <c r="AI147" s="2765"/>
      <c r="AJ147" s="2765"/>
      <c r="AK147" s="2765"/>
      <c r="AL147" s="2765"/>
      <c r="AM147" s="2765"/>
      <c r="AN147" s="2765"/>
      <c r="AO147" s="2765"/>
      <c r="AP147" s="2765"/>
      <c r="AQ147" s="2765"/>
      <c r="AR147" s="2765"/>
      <c r="AS147" s="2765"/>
      <c r="AT147" s="2765"/>
      <c r="AU147" s="2765"/>
      <c r="AV147" s="2765"/>
      <c r="AW147" s="2765"/>
      <c r="AX147" s="2765"/>
      <c r="AY147" s="2765"/>
      <c r="AZ147" s="2765"/>
      <c r="BA147" s="2765"/>
      <c r="BB147" s="2765"/>
      <c r="BC147" s="2765"/>
      <c r="BD147" s="2765"/>
      <c r="BE147" s="2765"/>
      <c r="BF147" s="2765"/>
      <c r="BG147" s="2765"/>
      <c r="BH147" s="2765"/>
      <c r="BI147" s="2765"/>
      <c r="BJ147" s="2765"/>
      <c r="BK147" s="2765"/>
      <c r="BL147" s="2765"/>
      <c r="BM147" s="2765"/>
      <c r="BN147" s="2765"/>
      <c r="BO147" s="2765"/>
      <c r="BP147" s="2765"/>
      <c r="BQ147" s="2765"/>
      <c r="BR147" s="2765"/>
      <c r="BS147" s="2765"/>
      <c r="BT147" s="2765"/>
      <c r="BU147" s="2765"/>
      <c r="BV147" s="2765"/>
      <c r="BW147" s="2765"/>
      <c r="BX147" s="2765"/>
      <c r="BY147" s="2765"/>
      <c r="BZ147" s="2765"/>
    </row>
    <row r="148" spans="1:78">
      <c r="A148" s="2764"/>
      <c r="B148" s="2764"/>
      <c r="C148" s="2764"/>
      <c r="D148" s="2764"/>
      <c r="E148" s="2764"/>
      <c r="F148" s="2764"/>
      <c r="G148" s="2764"/>
      <c r="H148" s="2764"/>
      <c r="I148" s="2764"/>
      <c r="J148" s="2764"/>
      <c r="K148" s="2764"/>
      <c r="L148" s="2764"/>
      <c r="M148" s="2764"/>
      <c r="N148" s="2764"/>
      <c r="O148" s="2764"/>
      <c r="P148" s="2764"/>
      <c r="Q148" s="2764"/>
      <c r="R148" s="2765"/>
      <c r="S148" s="2765"/>
      <c r="T148" s="2765"/>
      <c r="U148" s="2765"/>
      <c r="V148" s="2765"/>
      <c r="W148" s="2765"/>
      <c r="X148" s="2765"/>
      <c r="Y148" s="2765"/>
      <c r="Z148" s="2765"/>
      <c r="AA148" s="2765"/>
      <c r="AB148" s="2765"/>
      <c r="AC148" s="2765"/>
      <c r="AD148" s="2765"/>
      <c r="AE148" s="2765"/>
      <c r="AF148" s="2765"/>
      <c r="AG148" s="2765"/>
      <c r="AH148" s="2765"/>
      <c r="AI148" s="2765"/>
      <c r="AJ148" s="2765"/>
      <c r="AK148" s="2765"/>
      <c r="AL148" s="2765"/>
      <c r="AM148" s="2765"/>
      <c r="AN148" s="2765"/>
      <c r="AO148" s="2765"/>
      <c r="AP148" s="2765"/>
      <c r="AQ148" s="2765"/>
      <c r="AR148" s="2765"/>
      <c r="AS148" s="2765"/>
      <c r="AT148" s="2765"/>
      <c r="AU148" s="2765"/>
      <c r="AV148" s="2765"/>
      <c r="AW148" s="2765"/>
      <c r="AX148" s="2765"/>
      <c r="AY148" s="2765"/>
      <c r="AZ148" s="2765"/>
      <c r="BA148" s="2765"/>
      <c r="BB148" s="2765"/>
      <c r="BC148" s="2765"/>
      <c r="BD148" s="2765"/>
      <c r="BE148" s="2765"/>
      <c r="BF148" s="2765"/>
      <c r="BG148" s="2765"/>
      <c r="BH148" s="2765"/>
      <c r="BI148" s="2765"/>
      <c r="BJ148" s="2765"/>
      <c r="BK148" s="2765"/>
      <c r="BL148" s="2765"/>
      <c r="BM148" s="2765"/>
      <c r="BN148" s="2765"/>
      <c r="BO148" s="2765"/>
      <c r="BP148" s="2765"/>
      <c r="BQ148" s="2765"/>
      <c r="BR148" s="2765"/>
      <c r="BS148" s="2765"/>
      <c r="BT148" s="2765"/>
      <c r="BU148" s="2765"/>
      <c r="BV148" s="2765"/>
      <c r="BW148" s="2765"/>
      <c r="BX148" s="2765"/>
      <c r="BY148" s="2765"/>
      <c r="BZ148" s="2765"/>
    </row>
    <row r="149" spans="1:78">
      <c r="A149" s="2764"/>
      <c r="B149" s="2764"/>
      <c r="C149" s="2764"/>
      <c r="D149" s="2764"/>
      <c r="E149" s="2764"/>
      <c r="F149" s="2764"/>
      <c r="G149" s="2764"/>
      <c r="H149" s="2764"/>
      <c r="I149" s="2764"/>
      <c r="J149" s="2764"/>
      <c r="K149" s="2764"/>
      <c r="L149" s="2764"/>
      <c r="M149" s="2764"/>
      <c r="N149" s="2764"/>
      <c r="O149" s="2764"/>
      <c r="P149" s="2764"/>
      <c r="Q149" s="2764"/>
      <c r="R149" s="2765"/>
      <c r="S149" s="2765"/>
      <c r="T149" s="2765"/>
      <c r="U149" s="2765"/>
      <c r="V149" s="2765"/>
      <c r="W149" s="2765"/>
      <c r="X149" s="2765"/>
      <c r="Y149" s="2765"/>
      <c r="Z149" s="2765"/>
      <c r="AA149" s="2765"/>
      <c r="AB149" s="2765"/>
      <c r="AC149" s="2765"/>
      <c r="AD149" s="2765"/>
      <c r="AE149" s="2765"/>
      <c r="AF149" s="2765"/>
      <c r="AG149" s="2765"/>
      <c r="AH149" s="2765"/>
      <c r="AI149" s="2765"/>
      <c r="AJ149" s="2765"/>
      <c r="AK149" s="2765"/>
      <c r="AL149" s="2765"/>
      <c r="AM149" s="2765"/>
      <c r="AN149" s="2765"/>
      <c r="AO149" s="2765"/>
      <c r="AP149" s="2765"/>
      <c r="AQ149" s="2765"/>
      <c r="AR149" s="2765"/>
      <c r="AS149" s="2765"/>
      <c r="AT149" s="2765"/>
      <c r="AU149" s="2765"/>
      <c r="AV149" s="2765"/>
      <c r="AW149" s="2765"/>
      <c r="AX149" s="2765"/>
      <c r="AY149" s="2765"/>
      <c r="AZ149" s="2765"/>
      <c r="BA149" s="2765"/>
      <c r="BB149" s="2765"/>
      <c r="BC149" s="2765"/>
      <c r="BD149" s="2765"/>
      <c r="BE149" s="2765"/>
      <c r="BF149" s="2765"/>
      <c r="BG149" s="2765"/>
      <c r="BH149" s="2765"/>
      <c r="BI149" s="2765"/>
      <c r="BJ149" s="2765"/>
      <c r="BK149" s="2765"/>
      <c r="BL149" s="2765"/>
      <c r="BM149" s="2765"/>
      <c r="BN149" s="2765"/>
      <c r="BO149" s="2765"/>
      <c r="BP149" s="2765"/>
      <c r="BQ149" s="2765"/>
      <c r="BR149" s="2765"/>
      <c r="BS149" s="2765"/>
      <c r="BT149" s="2765"/>
      <c r="BU149" s="2765"/>
      <c r="BV149" s="2765"/>
      <c r="BW149" s="2765"/>
      <c r="BX149" s="2765"/>
      <c r="BY149" s="2765"/>
      <c r="BZ149" s="2765"/>
    </row>
    <row r="150" spans="1:78">
      <c r="A150" s="2764"/>
      <c r="B150" s="2764"/>
      <c r="C150" s="2764"/>
      <c r="D150" s="2764"/>
      <c r="E150" s="2764"/>
      <c r="F150" s="2764"/>
      <c r="G150" s="2764"/>
      <c r="H150" s="2764"/>
      <c r="I150" s="2764"/>
      <c r="J150" s="2764"/>
      <c r="K150" s="2764"/>
      <c r="L150" s="2764"/>
      <c r="M150" s="2764"/>
      <c r="N150" s="2764"/>
      <c r="O150" s="2764"/>
      <c r="P150" s="2764"/>
      <c r="Q150" s="2764"/>
      <c r="R150" s="2765"/>
      <c r="S150" s="2765"/>
      <c r="T150" s="2765"/>
      <c r="U150" s="2765"/>
      <c r="V150" s="2765"/>
      <c r="W150" s="2765"/>
      <c r="X150" s="2765"/>
      <c r="Y150" s="2765"/>
      <c r="Z150" s="2765"/>
      <c r="AA150" s="2765"/>
      <c r="AB150" s="2765"/>
      <c r="AC150" s="2765"/>
      <c r="AD150" s="2765"/>
      <c r="AE150" s="2765"/>
      <c r="AF150" s="2765"/>
      <c r="AG150" s="2765"/>
      <c r="AH150" s="2765"/>
      <c r="AI150" s="2765"/>
      <c r="AJ150" s="2765"/>
      <c r="AK150" s="2765"/>
      <c r="AL150" s="2765"/>
      <c r="AM150" s="2765"/>
      <c r="AN150" s="2765"/>
      <c r="AO150" s="2765"/>
      <c r="AP150" s="2765"/>
      <c r="AQ150" s="2765"/>
      <c r="AR150" s="2765"/>
      <c r="AS150" s="2765"/>
      <c r="AT150" s="2765"/>
      <c r="AU150" s="2765"/>
      <c r="AV150" s="2765"/>
      <c r="AW150" s="2765"/>
      <c r="AX150" s="2765"/>
      <c r="AY150" s="2765"/>
      <c r="AZ150" s="2765"/>
      <c r="BA150" s="2765"/>
      <c r="BB150" s="2765"/>
      <c r="BC150" s="2765"/>
      <c r="BD150" s="2765"/>
      <c r="BE150" s="2765"/>
      <c r="BF150" s="2765"/>
      <c r="BG150" s="2765"/>
      <c r="BH150" s="2765"/>
      <c r="BI150" s="2765"/>
      <c r="BJ150" s="2765"/>
      <c r="BK150" s="2765"/>
      <c r="BL150" s="2765"/>
      <c r="BM150" s="2765"/>
      <c r="BN150" s="2765"/>
      <c r="BO150" s="2765"/>
      <c r="BP150" s="2765"/>
      <c r="BQ150" s="2765"/>
      <c r="BR150" s="2765"/>
      <c r="BS150" s="2765"/>
      <c r="BT150" s="2765"/>
      <c r="BU150" s="2765"/>
      <c r="BV150" s="2765"/>
      <c r="BW150" s="2765"/>
      <c r="BX150" s="2765"/>
      <c r="BY150" s="2765"/>
      <c r="BZ150" s="2765"/>
    </row>
    <row r="151" spans="1:78">
      <c r="A151" s="2764"/>
      <c r="B151" s="2764"/>
      <c r="C151" s="2764"/>
      <c r="D151" s="2764"/>
      <c r="E151" s="2764"/>
      <c r="F151" s="2764"/>
      <c r="G151" s="2764"/>
      <c r="H151" s="2764"/>
      <c r="I151" s="2764"/>
      <c r="J151" s="2764"/>
      <c r="K151" s="2764"/>
      <c r="L151" s="2764"/>
      <c r="M151" s="2764"/>
      <c r="N151" s="2764"/>
      <c r="O151" s="2764"/>
      <c r="P151" s="2764"/>
      <c r="Q151" s="2764"/>
      <c r="R151" s="2765"/>
      <c r="S151" s="2765"/>
      <c r="T151" s="2765"/>
      <c r="U151" s="2765"/>
      <c r="V151" s="2765"/>
      <c r="W151" s="2765"/>
      <c r="X151" s="2765"/>
      <c r="Y151" s="2765"/>
      <c r="Z151" s="2765"/>
      <c r="AA151" s="2765"/>
      <c r="AB151" s="2765"/>
      <c r="AC151" s="2765"/>
      <c r="AD151" s="2765"/>
      <c r="AE151" s="2765"/>
      <c r="AF151" s="2765"/>
      <c r="AG151" s="2765"/>
      <c r="AH151" s="2765"/>
      <c r="AI151" s="2765"/>
      <c r="AJ151" s="2765"/>
      <c r="AK151" s="2765"/>
      <c r="AL151" s="2765"/>
      <c r="AM151" s="2765"/>
      <c r="AN151" s="2765"/>
      <c r="AO151" s="2765"/>
      <c r="AP151" s="2765"/>
      <c r="AQ151" s="2765"/>
      <c r="AR151" s="2765"/>
      <c r="AS151" s="2765"/>
      <c r="AT151" s="2765"/>
      <c r="AU151" s="2765"/>
      <c r="AV151" s="2765"/>
      <c r="AW151" s="2765"/>
      <c r="AX151" s="2765"/>
      <c r="AY151" s="2765"/>
      <c r="AZ151" s="2765"/>
      <c r="BA151" s="2765"/>
      <c r="BB151" s="2765"/>
      <c r="BC151" s="2765"/>
      <c r="BD151" s="2765"/>
      <c r="BE151" s="2765"/>
      <c r="BF151" s="2765"/>
      <c r="BG151" s="2765"/>
      <c r="BH151" s="2765"/>
      <c r="BI151" s="2765"/>
      <c r="BJ151" s="2765"/>
      <c r="BK151" s="2765"/>
      <c r="BL151" s="2765"/>
      <c r="BM151" s="2765"/>
      <c r="BN151" s="2765"/>
      <c r="BO151" s="2765"/>
      <c r="BP151" s="2765"/>
      <c r="BQ151" s="2765"/>
      <c r="BR151" s="2765"/>
      <c r="BS151" s="2765"/>
      <c r="BT151" s="2765"/>
      <c r="BU151" s="2765"/>
      <c r="BV151" s="2765"/>
      <c r="BW151" s="2765"/>
      <c r="BX151" s="2765"/>
      <c r="BY151" s="2765"/>
      <c r="BZ151" s="2765"/>
    </row>
    <row r="152" spans="1:78">
      <c r="A152" s="2764"/>
      <c r="B152" s="2764"/>
      <c r="C152" s="2764"/>
      <c r="D152" s="2764"/>
      <c r="E152" s="2764"/>
      <c r="F152" s="2764"/>
      <c r="G152" s="2764"/>
      <c r="H152" s="2764"/>
      <c r="I152" s="2764"/>
      <c r="J152" s="2764"/>
      <c r="K152" s="2764"/>
      <c r="L152" s="2764"/>
      <c r="M152" s="2764"/>
      <c r="N152" s="2764"/>
      <c r="O152" s="2764"/>
      <c r="P152" s="2764"/>
      <c r="Q152" s="2764"/>
      <c r="R152" s="2765"/>
      <c r="S152" s="2765"/>
      <c r="T152" s="2765"/>
      <c r="U152" s="2765"/>
      <c r="V152" s="2765"/>
      <c r="W152" s="2765"/>
      <c r="X152" s="2765"/>
      <c r="Y152" s="2765"/>
      <c r="Z152" s="2765"/>
      <c r="AA152" s="2765"/>
      <c r="AB152" s="2765"/>
      <c r="AC152" s="2765"/>
      <c r="AD152" s="2765"/>
      <c r="AE152" s="2765"/>
      <c r="AF152" s="2765"/>
      <c r="AG152" s="2765"/>
      <c r="AH152" s="2765"/>
      <c r="AI152" s="2765"/>
      <c r="AJ152" s="2765"/>
      <c r="AK152" s="2765"/>
      <c r="AL152" s="2765"/>
      <c r="AM152" s="2765"/>
      <c r="AN152" s="2765"/>
      <c r="AO152" s="2765"/>
      <c r="AP152" s="2765"/>
      <c r="AQ152" s="2765"/>
      <c r="AR152" s="2765"/>
      <c r="AS152" s="2765"/>
      <c r="AT152" s="2765"/>
      <c r="AU152" s="2765"/>
      <c r="AV152" s="2765"/>
      <c r="AW152" s="2765"/>
      <c r="AX152" s="2765"/>
      <c r="AY152" s="2765"/>
      <c r="AZ152" s="2765"/>
      <c r="BA152" s="2765"/>
      <c r="BB152" s="2765"/>
      <c r="BC152" s="2765"/>
      <c r="BD152" s="2765"/>
      <c r="BE152" s="2765"/>
      <c r="BF152" s="2765"/>
      <c r="BG152" s="2765"/>
      <c r="BH152" s="2765"/>
      <c r="BI152" s="2765"/>
      <c r="BJ152" s="2765"/>
      <c r="BK152" s="2765"/>
      <c r="BL152" s="2765"/>
      <c r="BM152" s="2765"/>
      <c r="BN152" s="2765"/>
      <c r="BO152" s="2765"/>
      <c r="BP152" s="2765"/>
      <c r="BQ152" s="2765"/>
      <c r="BR152" s="2765"/>
      <c r="BS152" s="2765"/>
      <c r="BT152" s="2765"/>
      <c r="BU152" s="2765"/>
      <c r="BV152" s="2765"/>
      <c r="BW152" s="2765"/>
      <c r="BX152" s="2765"/>
      <c r="BY152" s="2765"/>
      <c r="BZ152" s="2765"/>
    </row>
    <row r="153" spans="1:78">
      <c r="A153" s="2764"/>
      <c r="B153" s="2764"/>
      <c r="C153" s="2764"/>
      <c r="D153" s="2764"/>
      <c r="E153" s="2764"/>
      <c r="F153" s="2764"/>
      <c r="G153" s="2764"/>
      <c r="H153" s="2764"/>
      <c r="I153" s="2764"/>
      <c r="J153" s="2764"/>
      <c r="K153" s="2764"/>
      <c r="L153" s="2764"/>
      <c r="M153" s="2764"/>
      <c r="N153" s="2764"/>
      <c r="O153" s="2764"/>
      <c r="P153" s="2764"/>
      <c r="Q153" s="2764"/>
      <c r="R153" s="2765"/>
      <c r="S153" s="2765"/>
      <c r="T153" s="2765"/>
      <c r="U153" s="2765"/>
      <c r="V153" s="2765"/>
      <c r="W153" s="2765"/>
      <c r="X153" s="2765"/>
      <c r="Y153" s="2765"/>
      <c r="Z153" s="2765"/>
      <c r="AA153" s="2765"/>
      <c r="AB153" s="2765"/>
      <c r="AC153" s="2765"/>
      <c r="AD153" s="2765"/>
      <c r="AE153" s="2765"/>
      <c r="AF153" s="2765"/>
      <c r="AG153" s="2765"/>
      <c r="AH153" s="2765"/>
      <c r="AI153" s="2765"/>
      <c r="AJ153" s="2765"/>
      <c r="AK153" s="2765"/>
      <c r="AL153" s="2765"/>
      <c r="AM153" s="2765"/>
      <c r="AN153" s="2765"/>
      <c r="AO153" s="2765"/>
      <c r="AP153" s="2765"/>
      <c r="AQ153" s="2765"/>
      <c r="AR153" s="2765"/>
      <c r="AS153" s="2765"/>
      <c r="AT153" s="2765"/>
      <c r="AU153" s="2765"/>
      <c r="AV153" s="2765"/>
      <c r="AW153" s="2765"/>
      <c r="AX153" s="2765"/>
      <c r="AY153" s="2765"/>
      <c r="AZ153" s="2765"/>
      <c r="BA153" s="2765"/>
      <c r="BB153" s="2765"/>
      <c r="BC153" s="2765"/>
      <c r="BD153" s="2765"/>
      <c r="BE153" s="2765"/>
      <c r="BF153" s="2765"/>
      <c r="BG153" s="2765"/>
      <c r="BH153" s="2765"/>
      <c r="BI153" s="2765"/>
      <c r="BJ153" s="2765"/>
      <c r="BK153" s="2765"/>
      <c r="BL153" s="2765"/>
      <c r="BM153" s="2765"/>
      <c r="BN153" s="2765"/>
      <c r="BO153" s="2765"/>
      <c r="BP153" s="2765"/>
      <c r="BQ153" s="2765"/>
      <c r="BR153" s="2765"/>
      <c r="BS153" s="2765"/>
      <c r="BT153" s="2765"/>
      <c r="BU153" s="2765"/>
      <c r="BV153" s="2765"/>
      <c r="BW153" s="2765"/>
      <c r="BX153" s="2765"/>
      <c r="BY153" s="2765"/>
      <c r="BZ153" s="2765"/>
    </row>
    <row r="154" spans="1:78">
      <c r="A154" s="2764"/>
      <c r="B154" s="2764"/>
      <c r="C154" s="2764"/>
      <c r="D154" s="2764"/>
      <c r="E154" s="2764"/>
      <c r="F154" s="2764"/>
      <c r="G154" s="2764"/>
      <c r="H154" s="2764"/>
      <c r="I154" s="2764"/>
      <c r="J154" s="2764"/>
      <c r="K154" s="2764"/>
      <c r="L154" s="2764"/>
      <c r="M154" s="2764"/>
      <c r="N154" s="2764"/>
      <c r="O154" s="2764"/>
      <c r="P154" s="2764"/>
      <c r="Q154" s="2764"/>
      <c r="R154" s="2766"/>
      <c r="S154" s="2766"/>
      <c r="T154" s="2766"/>
      <c r="U154" s="2766"/>
      <c r="V154" s="2766"/>
      <c r="W154" s="2766"/>
      <c r="X154" s="2766"/>
      <c r="Y154" s="2766"/>
      <c r="Z154" s="2766"/>
      <c r="AA154" s="2766"/>
      <c r="AB154" s="2766"/>
      <c r="AC154" s="2766"/>
      <c r="AD154" s="2766"/>
      <c r="AE154" s="2766"/>
      <c r="AF154" s="2766"/>
      <c r="AG154" s="2766"/>
      <c r="AH154" s="2766"/>
      <c r="AI154" s="2766"/>
      <c r="AJ154" s="2766"/>
      <c r="AK154" s="2766"/>
      <c r="AL154" s="2766"/>
      <c r="AM154" s="2766"/>
      <c r="AN154" s="2766"/>
      <c r="AO154" s="2766"/>
      <c r="AP154" s="2766"/>
      <c r="AQ154" s="2766"/>
      <c r="AR154" s="2766"/>
      <c r="AS154" s="2766"/>
      <c r="AT154" s="2766"/>
      <c r="AU154" s="2766"/>
      <c r="AV154" s="2766"/>
      <c r="AW154" s="2766"/>
      <c r="AX154" s="2766"/>
      <c r="AY154" s="2766"/>
      <c r="AZ154" s="2766"/>
      <c r="BA154" s="2766"/>
      <c r="BB154" s="2766"/>
      <c r="BC154" s="2766"/>
      <c r="BD154" s="2766"/>
      <c r="BE154" s="2766"/>
      <c r="BF154" s="2766"/>
      <c r="BG154" s="2766"/>
      <c r="BH154" s="2766"/>
      <c r="BI154" s="2766"/>
      <c r="BJ154" s="2766"/>
      <c r="BK154" s="2766"/>
      <c r="BL154" s="2766"/>
      <c r="BM154" s="2766"/>
      <c r="BN154" s="2766"/>
      <c r="BO154" s="2766"/>
      <c r="BP154" s="2766"/>
      <c r="BQ154" s="2766"/>
      <c r="BR154" s="2766"/>
      <c r="BS154" s="2766"/>
      <c r="BT154" s="2766"/>
      <c r="BU154" s="2766"/>
      <c r="BV154" s="2766"/>
      <c r="BW154" s="2766"/>
      <c r="BX154" s="2766"/>
      <c r="BY154" s="2766"/>
      <c r="BZ154" s="2766"/>
    </row>
    <row r="155" spans="1:78" ht="14.25" thickBot="1">
      <c r="A155" s="578"/>
      <c r="B155" s="578"/>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8"/>
      <c r="AL155" s="578"/>
      <c r="AM155" s="578"/>
      <c r="AN155" s="578"/>
      <c r="AO155" s="578"/>
      <c r="AP155" s="578"/>
      <c r="AQ155" s="578"/>
      <c r="AR155" s="578"/>
      <c r="AS155" s="578"/>
      <c r="AT155" s="578"/>
      <c r="AU155" s="578"/>
      <c r="AV155" s="578"/>
      <c r="AW155" s="578"/>
      <c r="AX155" s="2784" t="s">
        <v>277</v>
      </c>
      <c r="AY155" s="2784"/>
      <c r="AZ155" s="2784"/>
      <c r="BA155" s="2784"/>
      <c r="BB155" s="2784"/>
      <c r="BC155" s="2784"/>
      <c r="BD155" s="2784"/>
      <c r="BE155" s="2784"/>
      <c r="BF155" s="2784"/>
      <c r="BG155" s="2784"/>
      <c r="BH155" s="2756"/>
      <c r="BI155" s="2756"/>
      <c r="BJ155" s="2756"/>
      <c r="BK155" s="2756"/>
      <c r="BL155" s="2756"/>
      <c r="BM155" s="2756"/>
      <c r="BN155" s="2756"/>
      <c r="BO155" s="2756"/>
      <c r="BP155" s="2756"/>
      <c r="BQ155" s="2756"/>
      <c r="BR155" s="2756"/>
      <c r="BS155" s="2756"/>
      <c r="BT155" s="2756"/>
      <c r="BU155" s="2756"/>
      <c r="BV155" s="2756"/>
      <c r="BW155" s="2756"/>
      <c r="BX155" s="2756"/>
      <c r="BY155" s="2756"/>
      <c r="BZ155" s="2756"/>
    </row>
    <row r="156" spans="1:78">
      <c r="A156" s="578"/>
      <c r="B156" s="578"/>
      <c r="C156" s="578"/>
      <c r="D156" s="2767" t="s">
        <v>2974</v>
      </c>
      <c r="E156" s="2768"/>
      <c r="F156" s="2768"/>
      <c r="G156" s="2768"/>
      <c r="H156" s="2768"/>
      <c r="I156" s="2768"/>
      <c r="J156" s="2768"/>
      <c r="K156" s="2768"/>
      <c r="L156" s="2768"/>
      <c r="M156" s="2768"/>
      <c r="N156" s="2768"/>
      <c r="O156" s="2768"/>
      <c r="P156" s="2768"/>
      <c r="Q156" s="2768"/>
      <c r="R156" s="2768"/>
      <c r="S156" s="2768"/>
      <c r="T156" s="2768"/>
      <c r="U156" s="2768"/>
      <c r="V156" s="2768"/>
      <c r="W156" s="2768"/>
      <c r="X156" s="2768"/>
      <c r="Y156" s="2768"/>
      <c r="Z156" s="2768"/>
      <c r="AA156" s="2768"/>
      <c r="AB156" s="2768"/>
      <c r="AC156" s="2768"/>
      <c r="AD156" s="2768"/>
      <c r="AE156" s="2768"/>
      <c r="AF156" s="2768"/>
      <c r="AG156" s="2768"/>
      <c r="AH156" s="2768"/>
      <c r="AI156" s="2768"/>
      <c r="AJ156" s="2768"/>
      <c r="AK156" s="2768"/>
      <c r="AL156" s="2768"/>
      <c r="AM156" s="2768"/>
      <c r="AN156" s="2768"/>
      <c r="AO156" s="2768"/>
      <c r="AP156" s="2768"/>
      <c r="AQ156" s="2768"/>
      <c r="AR156" s="2769"/>
      <c r="AS156" s="578"/>
      <c r="AT156" s="578"/>
      <c r="AU156" s="578"/>
      <c r="AV156" s="578"/>
      <c r="AW156" s="578"/>
      <c r="AX156" s="2784"/>
      <c r="AY156" s="2784"/>
      <c r="AZ156" s="2784"/>
      <c r="BA156" s="2784"/>
      <c r="BB156" s="2784"/>
      <c r="BC156" s="2784"/>
      <c r="BD156" s="2784"/>
      <c r="BE156" s="2784"/>
      <c r="BF156" s="2784"/>
      <c r="BG156" s="2784"/>
      <c r="BH156" s="2757"/>
      <c r="BI156" s="2757"/>
      <c r="BJ156" s="2757"/>
      <c r="BK156" s="2757"/>
      <c r="BL156" s="2757"/>
      <c r="BM156" s="2757"/>
      <c r="BN156" s="2757"/>
      <c r="BO156" s="2757"/>
      <c r="BP156" s="2757"/>
      <c r="BQ156" s="2757"/>
      <c r="BR156" s="2757"/>
      <c r="BS156" s="2757"/>
      <c r="BT156" s="2757"/>
      <c r="BU156" s="2757"/>
      <c r="BV156" s="2757"/>
      <c r="BW156" s="2757"/>
      <c r="BX156" s="2757"/>
      <c r="BY156" s="2757"/>
      <c r="BZ156" s="2757"/>
    </row>
    <row r="157" spans="1:78">
      <c r="A157" s="578"/>
      <c r="B157" s="578"/>
      <c r="C157" s="578"/>
      <c r="D157" s="2770"/>
      <c r="E157" s="2771"/>
      <c r="F157" s="2771"/>
      <c r="G157" s="2771"/>
      <c r="H157" s="2771"/>
      <c r="I157" s="2771"/>
      <c r="J157" s="2771"/>
      <c r="K157" s="2771"/>
      <c r="L157" s="2771"/>
      <c r="M157" s="2771"/>
      <c r="N157" s="2771"/>
      <c r="O157" s="2771"/>
      <c r="P157" s="2771"/>
      <c r="Q157" s="2771"/>
      <c r="R157" s="2771"/>
      <c r="S157" s="2771"/>
      <c r="T157" s="2771"/>
      <c r="U157" s="2771"/>
      <c r="V157" s="2771"/>
      <c r="W157" s="2771"/>
      <c r="X157" s="2771"/>
      <c r="Y157" s="2771"/>
      <c r="Z157" s="2771"/>
      <c r="AA157" s="2771"/>
      <c r="AB157" s="2771"/>
      <c r="AC157" s="2771"/>
      <c r="AD157" s="2771"/>
      <c r="AE157" s="2771"/>
      <c r="AF157" s="2771"/>
      <c r="AG157" s="2771"/>
      <c r="AH157" s="2771"/>
      <c r="AI157" s="2771"/>
      <c r="AJ157" s="2771"/>
      <c r="AK157" s="2771"/>
      <c r="AL157" s="2771"/>
      <c r="AM157" s="2771"/>
      <c r="AN157" s="2771"/>
      <c r="AO157" s="2771"/>
      <c r="AP157" s="2771"/>
      <c r="AQ157" s="2771"/>
      <c r="AR157" s="2772"/>
      <c r="AS157" s="578"/>
      <c r="AT157" s="578"/>
      <c r="AU157" s="578"/>
      <c r="AV157" s="578"/>
      <c r="AW157" s="578"/>
      <c r="AX157" s="2784"/>
      <c r="AY157" s="2784"/>
      <c r="AZ157" s="2784"/>
      <c r="BA157" s="2784"/>
      <c r="BB157" s="2784"/>
      <c r="BC157" s="2784"/>
      <c r="BD157" s="2784"/>
      <c r="BE157" s="2784"/>
      <c r="BF157" s="2784"/>
      <c r="BG157" s="2784"/>
      <c r="BH157" s="2757"/>
      <c r="BI157" s="2757"/>
      <c r="BJ157" s="2757"/>
      <c r="BK157" s="2757"/>
      <c r="BL157" s="2757"/>
      <c r="BM157" s="2757"/>
      <c r="BN157" s="2757"/>
      <c r="BO157" s="2757"/>
      <c r="BP157" s="2757"/>
      <c r="BQ157" s="2757"/>
      <c r="BR157" s="2757"/>
      <c r="BS157" s="2757"/>
      <c r="BT157" s="2757"/>
      <c r="BU157" s="2757"/>
      <c r="BV157" s="2757"/>
      <c r="BW157" s="2757"/>
      <c r="BX157" s="2757"/>
      <c r="BY157" s="2757"/>
      <c r="BZ157" s="2757"/>
    </row>
    <row r="158" spans="1:78">
      <c r="A158" s="578"/>
      <c r="B158" s="578"/>
      <c r="C158" s="578"/>
      <c r="D158" s="2770"/>
      <c r="E158" s="2771"/>
      <c r="F158" s="2771"/>
      <c r="G158" s="2771"/>
      <c r="H158" s="2771"/>
      <c r="I158" s="2771"/>
      <c r="J158" s="2771"/>
      <c r="K158" s="2771"/>
      <c r="L158" s="2771"/>
      <c r="M158" s="2771"/>
      <c r="N158" s="2771"/>
      <c r="O158" s="2771"/>
      <c r="P158" s="2771"/>
      <c r="Q158" s="2771"/>
      <c r="R158" s="2771"/>
      <c r="S158" s="2771"/>
      <c r="T158" s="2771"/>
      <c r="U158" s="2771"/>
      <c r="V158" s="2771"/>
      <c r="W158" s="2771"/>
      <c r="X158" s="2771"/>
      <c r="Y158" s="2771"/>
      <c r="Z158" s="2771"/>
      <c r="AA158" s="2771"/>
      <c r="AB158" s="2771"/>
      <c r="AC158" s="2771"/>
      <c r="AD158" s="2771"/>
      <c r="AE158" s="2771"/>
      <c r="AF158" s="2771"/>
      <c r="AG158" s="2771"/>
      <c r="AH158" s="2771"/>
      <c r="AI158" s="2771"/>
      <c r="AJ158" s="2771"/>
      <c r="AK158" s="2771"/>
      <c r="AL158" s="2771"/>
      <c r="AM158" s="2771"/>
      <c r="AN158" s="2771"/>
      <c r="AO158" s="2771"/>
      <c r="AP158" s="2771"/>
      <c r="AQ158" s="2771"/>
      <c r="AR158" s="2772"/>
      <c r="AS158" s="578"/>
      <c r="AT158" s="578"/>
      <c r="AU158" s="578"/>
      <c r="AV158" s="578"/>
      <c r="AW158" s="578"/>
      <c r="AX158" s="2784"/>
      <c r="AY158" s="2784"/>
      <c r="AZ158" s="2784"/>
      <c r="BA158" s="2784"/>
      <c r="BB158" s="2784"/>
      <c r="BC158" s="2784"/>
      <c r="BD158" s="2784"/>
      <c r="BE158" s="2784"/>
      <c r="BF158" s="2784"/>
      <c r="BG158" s="2784"/>
      <c r="BH158" s="2757"/>
      <c r="BI158" s="2757"/>
      <c r="BJ158" s="2757"/>
      <c r="BK158" s="2757"/>
      <c r="BL158" s="2757"/>
      <c r="BM158" s="2757"/>
      <c r="BN158" s="2757"/>
      <c r="BO158" s="2757"/>
      <c r="BP158" s="2757"/>
      <c r="BQ158" s="2757"/>
      <c r="BR158" s="2757"/>
      <c r="BS158" s="2757"/>
      <c r="BT158" s="2757"/>
      <c r="BU158" s="2757"/>
      <c r="BV158" s="2757"/>
      <c r="BW158" s="2757"/>
      <c r="BX158" s="2757"/>
      <c r="BY158" s="2757"/>
      <c r="BZ158" s="2757"/>
    </row>
    <row r="159" spans="1:78">
      <c r="A159" s="578"/>
      <c r="B159" s="578"/>
      <c r="C159" s="578"/>
      <c r="D159" s="2770"/>
      <c r="E159" s="2771"/>
      <c r="F159" s="2771"/>
      <c r="G159" s="2771"/>
      <c r="H159" s="2771"/>
      <c r="I159" s="2771"/>
      <c r="J159" s="2771"/>
      <c r="K159" s="2771"/>
      <c r="L159" s="2771"/>
      <c r="M159" s="2771"/>
      <c r="N159" s="2771"/>
      <c r="O159" s="2771"/>
      <c r="P159" s="2771"/>
      <c r="Q159" s="2771"/>
      <c r="R159" s="2771"/>
      <c r="S159" s="2771"/>
      <c r="T159" s="2771"/>
      <c r="U159" s="2771"/>
      <c r="V159" s="2771"/>
      <c r="W159" s="2771"/>
      <c r="X159" s="2771"/>
      <c r="Y159" s="2771"/>
      <c r="Z159" s="2771"/>
      <c r="AA159" s="2771"/>
      <c r="AB159" s="2771"/>
      <c r="AC159" s="2771"/>
      <c r="AD159" s="2771"/>
      <c r="AE159" s="2771"/>
      <c r="AF159" s="2771"/>
      <c r="AG159" s="2771"/>
      <c r="AH159" s="2771"/>
      <c r="AI159" s="2771"/>
      <c r="AJ159" s="2771"/>
      <c r="AK159" s="2771"/>
      <c r="AL159" s="2771"/>
      <c r="AM159" s="2771"/>
      <c r="AN159" s="2771"/>
      <c r="AO159" s="2771"/>
      <c r="AP159" s="2771"/>
      <c r="AQ159" s="2771"/>
      <c r="AR159" s="2772"/>
      <c r="AS159" s="578"/>
      <c r="AT159" s="578"/>
      <c r="AU159" s="578"/>
      <c r="AV159" s="578"/>
      <c r="AW159" s="578"/>
      <c r="AX159" s="2784"/>
      <c r="AY159" s="2784"/>
      <c r="AZ159" s="2784"/>
      <c r="BA159" s="2784"/>
      <c r="BB159" s="2784"/>
      <c r="BC159" s="2784"/>
      <c r="BD159" s="2784"/>
      <c r="BE159" s="2784"/>
      <c r="BF159" s="2784"/>
      <c r="BG159" s="2784"/>
      <c r="BH159" s="2757"/>
      <c r="BI159" s="2757"/>
      <c r="BJ159" s="2757"/>
      <c r="BK159" s="2757"/>
      <c r="BL159" s="2757"/>
      <c r="BM159" s="2757"/>
      <c r="BN159" s="2757"/>
      <c r="BO159" s="2757"/>
      <c r="BP159" s="2757"/>
      <c r="BQ159" s="2757"/>
      <c r="BR159" s="2757"/>
      <c r="BS159" s="2757"/>
      <c r="BT159" s="2757"/>
      <c r="BU159" s="2757"/>
      <c r="BV159" s="2757"/>
      <c r="BW159" s="2757"/>
      <c r="BX159" s="2757"/>
      <c r="BY159" s="2757"/>
      <c r="BZ159" s="2757"/>
    </row>
    <row r="160" spans="1:78">
      <c r="A160" s="578"/>
      <c r="B160" s="578"/>
      <c r="C160" s="578"/>
      <c r="D160" s="2770"/>
      <c r="E160" s="2771"/>
      <c r="F160" s="2771"/>
      <c r="G160" s="2771"/>
      <c r="H160" s="2771"/>
      <c r="I160" s="2771"/>
      <c r="J160" s="2771"/>
      <c r="K160" s="2771"/>
      <c r="L160" s="2771"/>
      <c r="M160" s="2771"/>
      <c r="N160" s="2771"/>
      <c r="O160" s="2771"/>
      <c r="P160" s="2771"/>
      <c r="Q160" s="2771"/>
      <c r="R160" s="2771"/>
      <c r="S160" s="2771"/>
      <c r="T160" s="2771"/>
      <c r="U160" s="2771"/>
      <c r="V160" s="2771"/>
      <c r="W160" s="2771"/>
      <c r="X160" s="2771"/>
      <c r="Y160" s="2771"/>
      <c r="Z160" s="2771"/>
      <c r="AA160" s="2771"/>
      <c r="AB160" s="2771"/>
      <c r="AC160" s="2771"/>
      <c r="AD160" s="2771"/>
      <c r="AE160" s="2771"/>
      <c r="AF160" s="2771"/>
      <c r="AG160" s="2771"/>
      <c r="AH160" s="2771"/>
      <c r="AI160" s="2771"/>
      <c r="AJ160" s="2771"/>
      <c r="AK160" s="2771"/>
      <c r="AL160" s="2771"/>
      <c r="AM160" s="2771"/>
      <c r="AN160" s="2771"/>
      <c r="AO160" s="2771"/>
      <c r="AP160" s="2771"/>
      <c r="AQ160" s="2771"/>
      <c r="AR160" s="2772"/>
      <c r="AS160" s="578"/>
      <c r="AT160" s="578"/>
      <c r="AU160" s="578"/>
      <c r="AV160" s="578"/>
      <c r="AW160" s="578"/>
      <c r="AX160" s="2784"/>
      <c r="AY160" s="2784"/>
      <c r="AZ160" s="2784"/>
      <c r="BA160" s="2784"/>
      <c r="BB160" s="2784"/>
      <c r="BC160" s="2784"/>
      <c r="BD160" s="2784"/>
      <c r="BE160" s="2784"/>
      <c r="BF160" s="2784"/>
      <c r="BG160" s="2784"/>
      <c r="BH160" s="2757"/>
      <c r="BI160" s="2757"/>
      <c r="BJ160" s="2757"/>
      <c r="BK160" s="2757"/>
      <c r="BL160" s="2757"/>
      <c r="BM160" s="2757"/>
      <c r="BN160" s="2757"/>
      <c r="BO160" s="2757"/>
      <c r="BP160" s="2757"/>
      <c r="BQ160" s="2757"/>
      <c r="BR160" s="2757"/>
      <c r="BS160" s="2757"/>
      <c r="BT160" s="2757"/>
      <c r="BU160" s="2757"/>
      <c r="BV160" s="2757"/>
      <c r="BW160" s="2757"/>
      <c r="BX160" s="2757"/>
      <c r="BY160" s="2757"/>
      <c r="BZ160" s="2757"/>
    </row>
    <row r="161" spans="1:78">
      <c r="A161" s="578"/>
      <c r="B161" s="578"/>
      <c r="C161" s="578"/>
      <c r="D161" s="2770"/>
      <c r="E161" s="2771"/>
      <c r="F161" s="2771"/>
      <c r="G161" s="2771"/>
      <c r="H161" s="2771"/>
      <c r="I161" s="2771"/>
      <c r="J161" s="2771"/>
      <c r="K161" s="2771"/>
      <c r="L161" s="2771"/>
      <c r="M161" s="2771"/>
      <c r="N161" s="2771"/>
      <c r="O161" s="2771"/>
      <c r="P161" s="2771"/>
      <c r="Q161" s="2771"/>
      <c r="R161" s="2771"/>
      <c r="S161" s="2771"/>
      <c r="T161" s="2771"/>
      <c r="U161" s="2771"/>
      <c r="V161" s="2771"/>
      <c r="W161" s="2771"/>
      <c r="X161" s="2771"/>
      <c r="Y161" s="2771"/>
      <c r="Z161" s="2771"/>
      <c r="AA161" s="2771"/>
      <c r="AB161" s="2771"/>
      <c r="AC161" s="2771"/>
      <c r="AD161" s="2771"/>
      <c r="AE161" s="2771"/>
      <c r="AF161" s="2771"/>
      <c r="AG161" s="2771"/>
      <c r="AH161" s="2771"/>
      <c r="AI161" s="2771"/>
      <c r="AJ161" s="2771"/>
      <c r="AK161" s="2771"/>
      <c r="AL161" s="2771"/>
      <c r="AM161" s="2771"/>
      <c r="AN161" s="2771"/>
      <c r="AO161" s="2771"/>
      <c r="AP161" s="2771"/>
      <c r="AQ161" s="2771"/>
      <c r="AR161" s="2772"/>
      <c r="AS161" s="578"/>
      <c r="AT161" s="578"/>
      <c r="AU161" s="578"/>
      <c r="AV161" s="578"/>
      <c r="AW161" s="578"/>
      <c r="AX161" s="2784"/>
      <c r="AY161" s="2784"/>
      <c r="AZ161" s="2784"/>
      <c r="BA161" s="2784"/>
      <c r="BB161" s="2784"/>
      <c r="BC161" s="2784"/>
      <c r="BD161" s="2784"/>
      <c r="BE161" s="2784"/>
      <c r="BF161" s="2784"/>
      <c r="BG161" s="2784"/>
      <c r="BH161" s="2757"/>
      <c r="BI161" s="2757"/>
      <c r="BJ161" s="2757"/>
      <c r="BK161" s="2757"/>
      <c r="BL161" s="2757"/>
      <c r="BM161" s="2757"/>
      <c r="BN161" s="2757"/>
      <c r="BO161" s="2757"/>
      <c r="BP161" s="2757"/>
      <c r="BQ161" s="2757"/>
      <c r="BR161" s="2757"/>
      <c r="BS161" s="2757"/>
      <c r="BT161" s="2757"/>
      <c r="BU161" s="2757"/>
      <c r="BV161" s="2757"/>
      <c r="BW161" s="2757"/>
      <c r="BX161" s="2757"/>
      <c r="BY161" s="2757"/>
      <c r="BZ161" s="2757"/>
    </row>
    <row r="162" spans="1:78">
      <c r="A162" s="578"/>
      <c r="B162" s="578"/>
      <c r="C162" s="578"/>
      <c r="D162" s="2770"/>
      <c r="E162" s="2771"/>
      <c r="F162" s="2771"/>
      <c r="G162" s="2771"/>
      <c r="H162" s="2771"/>
      <c r="I162" s="2771"/>
      <c r="J162" s="2771"/>
      <c r="K162" s="2771"/>
      <c r="L162" s="2771"/>
      <c r="M162" s="2771"/>
      <c r="N162" s="2771"/>
      <c r="O162" s="2771"/>
      <c r="P162" s="2771"/>
      <c r="Q162" s="2771"/>
      <c r="R162" s="2771"/>
      <c r="S162" s="2771"/>
      <c r="T162" s="2771"/>
      <c r="U162" s="2771"/>
      <c r="V162" s="2771"/>
      <c r="W162" s="2771"/>
      <c r="X162" s="2771"/>
      <c r="Y162" s="2771"/>
      <c r="Z162" s="2771"/>
      <c r="AA162" s="2771"/>
      <c r="AB162" s="2771"/>
      <c r="AC162" s="2771"/>
      <c r="AD162" s="2771"/>
      <c r="AE162" s="2771"/>
      <c r="AF162" s="2771"/>
      <c r="AG162" s="2771"/>
      <c r="AH162" s="2771"/>
      <c r="AI162" s="2771"/>
      <c r="AJ162" s="2771"/>
      <c r="AK162" s="2771"/>
      <c r="AL162" s="2771"/>
      <c r="AM162" s="2771"/>
      <c r="AN162" s="2771"/>
      <c r="AO162" s="2771"/>
      <c r="AP162" s="2771"/>
      <c r="AQ162" s="2771"/>
      <c r="AR162" s="2772"/>
      <c r="AS162" s="578"/>
      <c r="AT162" s="578"/>
      <c r="AU162" s="578"/>
      <c r="AV162" s="578"/>
      <c r="AW162" s="578"/>
      <c r="AX162" s="2784"/>
      <c r="AY162" s="2784"/>
      <c r="AZ162" s="2784"/>
      <c r="BA162" s="2784"/>
      <c r="BB162" s="2784"/>
      <c r="BC162" s="2784"/>
      <c r="BD162" s="2784"/>
      <c r="BE162" s="2784"/>
      <c r="BF162" s="2784"/>
      <c r="BG162" s="2784"/>
      <c r="BH162" s="2758"/>
      <c r="BI162" s="2758"/>
      <c r="BJ162" s="2758"/>
      <c r="BK162" s="2758"/>
      <c r="BL162" s="2758"/>
      <c r="BM162" s="2758"/>
      <c r="BN162" s="2758"/>
      <c r="BO162" s="2758"/>
      <c r="BP162" s="2758"/>
      <c r="BQ162" s="2758"/>
      <c r="BR162" s="2758"/>
      <c r="BS162" s="2758"/>
      <c r="BT162" s="2758"/>
      <c r="BU162" s="2758"/>
      <c r="BV162" s="2758"/>
      <c r="BW162" s="2758"/>
      <c r="BX162" s="2758"/>
      <c r="BY162" s="2758"/>
      <c r="BZ162" s="2758"/>
    </row>
    <row r="163" spans="1:78" ht="14.25" thickBot="1">
      <c r="A163" s="578"/>
      <c r="B163" s="578"/>
      <c r="C163" s="578"/>
      <c r="D163" s="2773"/>
      <c r="E163" s="2774"/>
      <c r="F163" s="2774"/>
      <c r="G163" s="2774"/>
      <c r="H163" s="2774"/>
      <c r="I163" s="2774"/>
      <c r="J163" s="2774"/>
      <c r="K163" s="2774"/>
      <c r="L163" s="2774"/>
      <c r="M163" s="2774"/>
      <c r="N163" s="2774"/>
      <c r="O163" s="2774"/>
      <c r="P163" s="2774"/>
      <c r="Q163" s="2774"/>
      <c r="R163" s="2774"/>
      <c r="S163" s="2774"/>
      <c r="T163" s="2774"/>
      <c r="U163" s="2774"/>
      <c r="V163" s="2774"/>
      <c r="W163" s="2774"/>
      <c r="X163" s="2774"/>
      <c r="Y163" s="2774"/>
      <c r="Z163" s="2774"/>
      <c r="AA163" s="2774"/>
      <c r="AB163" s="2774"/>
      <c r="AC163" s="2774"/>
      <c r="AD163" s="2774"/>
      <c r="AE163" s="2774"/>
      <c r="AF163" s="2774"/>
      <c r="AG163" s="2774"/>
      <c r="AH163" s="2774"/>
      <c r="AI163" s="2774"/>
      <c r="AJ163" s="2774"/>
      <c r="AK163" s="2774"/>
      <c r="AL163" s="2774"/>
      <c r="AM163" s="2774"/>
      <c r="AN163" s="2774"/>
      <c r="AO163" s="2774"/>
      <c r="AP163" s="2774"/>
      <c r="AQ163" s="2774"/>
      <c r="AR163" s="2775"/>
      <c r="AS163" s="578"/>
      <c r="AT163" s="578"/>
      <c r="AU163" s="578"/>
      <c r="AV163" s="578"/>
      <c r="AW163" s="578"/>
      <c r="AX163" s="578"/>
      <c r="AY163" s="578"/>
      <c r="AZ163" s="578"/>
      <c r="BA163" s="578"/>
      <c r="BB163" s="578"/>
      <c r="BC163" s="578"/>
      <c r="BD163" s="578"/>
      <c r="BE163" s="578"/>
      <c r="BF163" s="578"/>
      <c r="BG163" s="578"/>
      <c r="BH163" s="578"/>
      <c r="BI163" s="578"/>
      <c r="BJ163" s="578"/>
      <c r="BK163" s="578"/>
      <c r="BL163" s="578"/>
      <c r="BM163" s="578"/>
      <c r="BN163" s="578"/>
      <c r="BO163" s="578"/>
      <c r="BP163" s="578"/>
      <c r="BQ163" s="578"/>
      <c r="BR163" s="578"/>
      <c r="BS163" s="578"/>
      <c r="BT163" s="578"/>
      <c r="BU163" s="578"/>
      <c r="BV163" s="578"/>
      <c r="BW163" s="578"/>
      <c r="BX163" s="578"/>
      <c r="BY163" s="578"/>
      <c r="BZ163" s="578"/>
    </row>
    <row r="164" spans="1:78">
      <c r="A164" s="578"/>
      <c r="B164" s="578"/>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8"/>
      <c r="AL164" s="578"/>
      <c r="AM164" s="578"/>
      <c r="AN164" s="578"/>
      <c r="AO164" s="578"/>
      <c r="AP164" s="578"/>
      <c r="AQ164" s="578"/>
      <c r="AR164" s="578"/>
      <c r="AS164" s="578"/>
      <c r="AT164" s="578"/>
      <c r="AU164" s="578"/>
      <c r="AV164" s="578"/>
      <c r="AW164" s="578"/>
      <c r="AX164" s="578"/>
      <c r="AY164" s="578"/>
      <c r="AZ164" s="578"/>
      <c r="BA164" s="578"/>
      <c r="BB164" s="578"/>
      <c r="BC164" s="578"/>
      <c r="BD164" s="578"/>
      <c r="BE164" s="578"/>
      <c r="BF164" s="578"/>
      <c r="BG164" s="578"/>
      <c r="BH164" s="578"/>
      <c r="BI164" s="578"/>
      <c r="BJ164" s="578"/>
      <c r="BK164" s="578"/>
      <c r="BL164" s="578"/>
      <c r="BM164" s="578"/>
      <c r="BN164" s="578"/>
      <c r="BO164" s="578"/>
      <c r="BP164" s="578"/>
      <c r="BQ164" s="578"/>
      <c r="BR164" s="578"/>
      <c r="BS164" s="578"/>
      <c r="BT164" s="578"/>
      <c r="BU164" s="578"/>
      <c r="BV164" s="578"/>
      <c r="BW164" s="578"/>
      <c r="BX164" s="578"/>
      <c r="BY164" s="578"/>
      <c r="BZ164" s="578"/>
    </row>
    <row r="165" spans="1:78">
      <c r="A165" s="2759" t="s">
        <v>2975</v>
      </c>
      <c r="B165" s="2759"/>
      <c r="C165" s="2759"/>
      <c r="D165" s="2759"/>
      <c r="E165" s="2759"/>
      <c r="F165" s="2759"/>
      <c r="G165" s="2759"/>
      <c r="H165" s="2759"/>
      <c r="I165" s="2759"/>
      <c r="J165" s="2759"/>
      <c r="K165" s="2759"/>
      <c r="L165" s="2759"/>
      <c r="M165" s="2759"/>
      <c r="N165" s="2759"/>
      <c r="O165" s="2759"/>
      <c r="P165" s="2759"/>
      <c r="Q165" s="2759"/>
      <c r="R165" s="2759"/>
      <c r="S165" s="2759"/>
      <c r="T165" s="2759"/>
      <c r="U165" s="2759"/>
      <c r="V165" s="2759"/>
      <c r="W165" s="2759"/>
      <c r="X165" s="2759"/>
      <c r="Y165" s="2759"/>
      <c r="Z165" s="2759"/>
      <c r="AA165" s="2759"/>
      <c r="AB165" s="2759"/>
      <c r="AC165" s="2759"/>
      <c r="AD165" s="2759"/>
      <c r="AE165" s="2759"/>
      <c r="AF165" s="2759"/>
      <c r="AG165" s="2759"/>
      <c r="AH165" s="2759"/>
      <c r="AI165" s="2759"/>
      <c r="AJ165" s="2759"/>
      <c r="AK165" s="2759"/>
      <c r="AL165" s="2759"/>
      <c r="AM165" s="2759"/>
      <c r="AN165" s="2759"/>
      <c r="AO165" s="2759"/>
      <c r="AP165" s="2759"/>
      <c r="AQ165" s="2759"/>
      <c r="AR165" s="2759"/>
      <c r="AS165" s="2759"/>
      <c r="AT165" s="2759"/>
      <c r="AU165" s="2759"/>
      <c r="AV165" s="2759"/>
      <c r="AW165" s="2759"/>
      <c r="AX165" s="2759"/>
      <c r="AY165" s="2759"/>
      <c r="AZ165" s="2759"/>
      <c r="BA165" s="2759"/>
      <c r="BB165" s="2759"/>
      <c r="BC165" s="2759"/>
      <c r="BD165" s="2759"/>
      <c r="BE165" s="2759"/>
      <c r="BF165" s="2759"/>
      <c r="BG165" s="2759"/>
      <c r="BH165" s="2759"/>
      <c r="BI165" s="2759"/>
      <c r="BJ165" s="2759"/>
      <c r="BK165" s="2759"/>
      <c r="BL165" s="2759"/>
      <c r="BM165" s="2759"/>
      <c r="BN165" s="2759"/>
      <c r="BO165" s="2759"/>
      <c r="BP165" s="2759"/>
      <c r="BQ165" s="2759"/>
      <c r="BR165" s="2759"/>
      <c r="BS165" s="2759"/>
      <c r="BT165" s="2759"/>
      <c r="BU165" s="2759"/>
      <c r="BV165" s="2759"/>
      <c r="BW165" s="2759"/>
      <c r="BX165" s="2759"/>
      <c r="BY165" s="2759"/>
      <c r="BZ165" s="2759"/>
    </row>
    <row r="166" spans="1:78">
      <c r="A166" s="2759"/>
      <c r="B166" s="2759"/>
      <c r="C166" s="2759"/>
      <c r="D166" s="2759"/>
      <c r="E166" s="2759"/>
      <c r="F166" s="2759"/>
      <c r="G166" s="2759"/>
      <c r="H166" s="2759"/>
      <c r="I166" s="2759"/>
      <c r="J166" s="2759"/>
      <c r="K166" s="2759"/>
      <c r="L166" s="2759"/>
      <c r="M166" s="2759"/>
      <c r="N166" s="2759"/>
      <c r="O166" s="2759"/>
      <c r="P166" s="2759"/>
      <c r="Q166" s="2759"/>
      <c r="R166" s="2759"/>
      <c r="S166" s="2759"/>
      <c r="T166" s="2759"/>
      <c r="U166" s="2759"/>
      <c r="V166" s="2759"/>
      <c r="W166" s="2759"/>
      <c r="X166" s="2759"/>
      <c r="Y166" s="2759"/>
      <c r="Z166" s="2759"/>
      <c r="AA166" s="2759"/>
      <c r="AB166" s="2759"/>
      <c r="AC166" s="2759"/>
      <c r="AD166" s="2759"/>
      <c r="AE166" s="2759"/>
      <c r="AF166" s="2759"/>
      <c r="AG166" s="2759"/>
      <c r="AH166" s="2759"/>
      <c r="AI166" s="2759"/>
      <c r="AJ166" s="2759"/>
      <c r="AK166" s="2759"/>
      <c r="AL166" s="2759"/>
      <c r="AM166" s="2759"/>
      <c r="AN166" s="2759"/>
      <c r="AO166" s="2759"/>
      <c r="AP166" s="2759"/>
      <c r="AQ166" s="2759"/>
      <c r="AR166" s="2759"/>
      <c r="AS166" s="2759"/>
      <c r="AT166" s="2759"/>
      <c r="AU166" s="2759"/>
      <c r="AV166" s="2759"/>
      <c r="AW166" s="2759"/>
      <c r="AX166" s="2759"/>
      <c r="AY166" s="2759"/>
      <c r="AZ166" s="2759"/>
      <c r="BA166" s="2759"/>
      <c r="BB166" s="2759"/>
      <c r="BC166" s="2759"/>
      <c r="BD166" s="2759"/>
      <c r="BE166" s="2759"/>
      <c r="BF166" s="2759"/>
      <c r="BG166" s="2759"/>
      <c r="BH166" s="2759"/>
      <c r="BI166" s="2759"/>
      <c r="BJ166" s="2759"/>
      <c r="BK166" s="2759"/>
      <c r="BL166" s="2759"/>
      <c r="BM166" s="2759"/>
      <c r="BN166" s="2759"/>
      <c r="BO166" s="2759"/>
      <c r="BP166" s="2759"/>
      <c r="BQ166" s="2759"/>
      <c r="BR166" s="2759"/>
      <c r="BS166" s="2759"/>
      <c r="BT166" s="2759"/>
      <c r="BU166" s="2759"/>
      <c r="BV166" s="2759"/>
      <c r="BW166" s="2759"/>
      <c r="BX166" s="2759"/>
      <c r="BY166" s="2759"/>
      <c r="BZ166" s="2759"/>
    </row>
    <row r="167" spans="1:78">
      <c r="A167" s="2759" t="s">
        <v>2976</v>
      </c>
      <c r="B167" s="2759"/>
      <c r="C167" s="2759"/>
      <c r="D167" s="2759"/>
      <c r="E167" s="2759"/>
      <c r="F167" s="2759"/>
      <c r="G167" s="2759"/>
      <c r="H167" s="2759"/>
      <c r="I167" s="2759"/>
      <c r="J167" s="2759"/>
      <c r="K167" s="2759"/>
      <c r="L167" s="2759"/>
      <c r="M167" s="2759"/>
      <c r="N167" s="2759"/>
      <c r="O167" s="2759"/>
      <c r="P167" s="2759"/>
      <c r="Q167" s="2759"/>
      <c r="R167" s="2759"/>
      <c r="S167" s="2759"/>
      <c r="T167" s="2759"/>
      <c r="U167" s="2759"/>
      <c r="V167" s="2759"/>
      <c r="W167" s="2759"/>
      <c r="X167" s="2759"/>
      <c r="Y167" s="2759"/>
      <c r="Z167" s="2759"/>
      <c r="AA167" s="2759"/>
      <c r="AB167" s="2759"/>
      <c r="AC167" s="2759"/>
      <c r="AD167" s="2759"/>
      <c r="AE167" s="2759"/>
      <c r="AF167" s="2759"/>
      <c r="AG167" s="2759"/>
      <c r="AH167" s="2759"/>
      <c r="AI167" s="2759"/>
      <c r="AJ167" s="2759"/>
      <c r="AK167" s="2759"/>
      <c r="AL167" s="2759"/>
      <c r="AM167" s="2759"/>
      <c r="AN167" s="2759"/>
      <c r="AO167" s="2759"/>
      <c r="AP167" s="2759"/>
      <c r="AQ167" s="2759"/>
      <c r="AR167" s="2759"/>
      <c r="AS167" s="2759"/>
      <c r="AT167" s="2759"/>
      <c r="AU167" s="2759"/>
      <c r="AV167" s="2759"/>
      <c r="AW167" s="2759"/>
      <c r="AX167" s="2759"/>
      <c r="AY167" s="2759"/>
      <c r="AZ167" s="2759"/>
      <c r="BA167" s="2759"/>
      <c r="BB167" s="2759"/>
      <c r="BC167" s="2759"/>
      <c r="BD167" s="2759"/>
      <c r="BE167" s="2759"/>
      <c r="BF167" s="2759"/>
      <c r="BG167" s="2759"/>
      <c r="BH167" s="2759"/>
      <c r="BI167" s="2759"/>
      <c r="BJ167" s="2759"/>
      <c r="BK167" s="2759"/>
      <c r="BL167" s="2759"/>
      <c r="BM167" s="2759"/>
      <c r="BN167" s="2759"/>
      <c r="BO167" s="2759"/>
      <c r="BP167" s="2759"/>
      <c r="BQ167" s="2759"/>
      <c r="BR167" s="2759"/>
      <c r="BS167" s="2759"/>
      <c r="BT167" s="2759"/>
      <c r="BU167" s="2759"/>
      <c r="BV167" s="2759"/>
      <c r="BW167" s="2759"/>
      <c r="BX167" s="2759"/>
      <c r="BY167" s="2759"/>
      <c r="BZ167" s="2759"/>
    </row>
    <row r="168" spans="1:78">
      <c r="A168" s="2759"/>
      <c r="B168" s="2759"/>
      <c r="C168" s="2759"/>
      <c r="D168" s="2759"/>
      <c r="E168" s="2759"/>
      <c r="F168" s="2759"/>
      <c r="G168" s="2759"/>
      <c r="H168" s="2759"/>
      <c r="I168" s="2759"/>
      <c r="J168" s="2759"/>
      <c r="K168" s="2759"/>
      <c r="L168" s="2759"/>
      <c r="M168" s="2759"/>
      <c r="N168" s="2759"/>
      <c r="O168" s="2759"/>
      <c r="P168" s="2759"/>
      <c r="Q168" s="2759"/>
      <c r="R168" s="2759"/>
      <c r="S168" s="2759"/>
      <c r="T168" s="2759"/>
      <c r="U168" s="2759"/>
      <c r="V168" s="2759"/>
      <c r="W168" s="2759"/>
      <c r="X168" s="2759"/>
      <c r="Y168" s="2759"/>
      <c r="Z168" s="2759"/>
      <c r="AA168" s="2759"/>
      <c r="AB168" s="2759"/>
      <c r="AC168" s="2759"/>
      <c r="AD168" s="2759"/>
      <c r="AE168" s="2759"/>
      <c r="AF168" s="2759"/>
      <c r="AG168" s="2759"/>
      <c r="AH168" s="2759"/>
      <c r="AI168" s="2759"/>
      <c r="AJ168" s="2759"/>
      <c r="AK168" s="2759"/>
      <c r="AL168" s="2759"/>
      <c r="AM168" s="2759"/>
      <c r="AN168" s="2759"/>
      <c r="AO168" s="2759"/>
      <c r="AP168" s="2759"/>
      <c r="AQ168" s="2759"/>
      <c r="AR168" s="2759"/>
      <c r="AS168" s="2759"/>
      <c r="AT168" s="2759"/>
      <c r="AU168" s="2759"/>
      <c r="AV168" s="2759"/>
      <c r="AW168" s="2759"/>
      <c r="AX168" s="2759"/>
      <c r="AY168" s="2759"/>
      <c r="AZ168" s="2759"/>
      <c r="BA168" s="2759"/>
      <c r="BB168" s="2759"/>
      <c r="BC168" s="2759"/>
      <c r="BD168" s="2759"/>
      <c r="BE168" s="2759"/>
      <c r="BF168" s="2759"/>
      <c r="BG168" s="2759"/>
      <c r="BH168" s="2759"/>
      <c r="BI168" s="2759"/>
      <c r="BJ168" s="2759"/>
      <c r="BK168" s="2759"/>
      <c r="BL168" s="2759"/>
      <c r="BM168" s="2759"/>
      <c r="BN168" s="2759"/>
      <c r="BO168" s="2759"/>
      <c r="BP168" s="2759"/>
      <c r="BQ168" s="2759"/>
      <c r="BR168" s="2759"/>
      <c r="BS168" s="2759"/>
      <c r="BT168" s="2759"/>
      <c r="BU168" s="2759"/>
      <c r="BV168" s="2759"/>
      <c r="BW168" s="2759"/>
      <c r="BX168" s="2759"/>
      <c r="BY168" s="2759"/>
      <c r="BZ168" s="2759"/>
    </row>
    <row r="169" spans="1:78" ht="23.25">
      <c r="A169" s="579"/>
      <c r="B169" s="579"/>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79"/>
      <c r="AL169" s="579"/>
      <c r="AM169" s="579"/>
      <c r="AN169" s="579"/>
      <c r="AO169" s="579"/>
      <c r="AP169" s="579"/>
      <c r="AQ169" s="579"/>
      <c r="AR169" s="579"/>
      <c r="AS169" s="579"/>
      <c r="AT169" s="579"/>
      <c r="AU169" s="579"/>
      <c r="AV169" s="579"/>
      <c r="AW169" s="579"/>
      <c r="AX169" s="579"/>
      <c r="AY169" s="579"/>
      <c r="AZ169" s="579"/>
      <c r="BA169" s="579"/>
      <c r="BB169" s="579"/>
      <c r="BC169" s="579"/>
      <c r="BD169" s="579"/>
      <c r="BE169" s="579"/>
      <c r="BF169" s="579"/>
      <c r="BG169" s="579"/>
      <c r="BH169" s="579"/>
      <c r="BI169" s="579"/>
      <c r="BJ169" s="579"/>
      <c r="BK169" s="579"/>
      <c r="BL169" s="579"/>
      <c r="BM169" s="579"/>
      <c r="BN169" s="579"/>
      <c r="BO169" s="579"/>
      <c r="BP169" s="579"/>
      <c r="BQ169" s="579"/>
      <c r="BR169" s="579"/>
      <c r="BS169" s="579"/>
      <c r="BT169" s="579"/>
      <c r="BU169" s="579"/>
      <c r="BV169" s="579"/>
      <c r="BW169" s="579"/>
      <c r="BX169" s="579"/>
      <c r="BY169" s="579"/>
      <c r="BZ169" s="579"/>
    </row>
    <row r="170" spans="1:78">
      <c r="A170" s="2760" t="s">
        <v>2955</v>
      </c>
      <c r="B170" s="2760"/>
      <c r="C170" s="2760"/>
      <c r="D170" s="2760"/>
      <c r="E170" s="2760"/>
      <c r="F170" s="2760"/>
      <c r="G170" s="2760"/>
      <c r="H170" s="2760"/>
      <c r="I170" s="2760"/>
      <c r="J170" s="2760"/>
      <c r="K170" s="2760"/>
      <c r="L170" s="2760"/>
      <c r="M170" s="2760"/>
      <c r="N170" s="2760"/>
      <c r="O170" s="2760"/>
      <c r="P170" s="2760"/>
      <c r="Q170" s="2760"/>
      <c r="R170" s="2760"/>
      <c r="S170" s="2760"/>
      <c r="T170" s="2760"/>
      <c r="U170" s="2760"/>
      <c r="V170" s="2760"/>
      <c r="W170" s="2760"/>
      <c r="X170" s="2760"/>
      <c r="Y170" s="2760"/>
      <c r="Z170" s="2760"/>
      <c r="AA170" s="2760"/>
      <c r="AB170" s="2760"/>
      <c r="AC170" s="2760"/>
      <c r="AD170" s="2760"/>
      <c r="AE170" s="2760"/>
      <c r="AF170" s="2760"/>
      <c r="AG170" s="2760"/>
      <c r="AH170" s="2760"/>
      <c r="AI170" s="2760"/>
      <c r="AJ170" s="2760"/>
      <c r="AK170" s="2760"/>
      <c r="AL170" s="2760"/>
      <c r="AM170" s="2760"/>
      <c r="AN170" s="2760"/>
      <c r="AO170" s="2760"/>
      <c r="AP170" s="2760"/>
      <c r="AQ170" s="2760"/>
      <c r="AR170" s="2760"/>
      <c r="AS170" s="2760"/>
      <c r="AT170" s="2760"/>
      <c r="AU170" s="2760"/>
      <c r="AV170" s="2760"/>
      <c r="AW170" s="2760"/>
      <c r="AX170" s="2760"/>
      <c r="AY170" s="2760"/>
      <c r="AZ170" s="2760"/>
      <c r="BA170" s="2760"/>
      <c r="BB170" s="2760"/>
      <c r="BC170" s="2760"/>
      <c r="BD170" s="2760"/>
      <c r="BE170" s="2760"/>
      <c r="BF170" s="2760"/>
      <c r="BG170" s="2760"/>
      <c r="BH170" s="2760"/>
      <c r="BI170" s="2760"/>
      <c r="BJ170" s="2760"/>
      <c r="BK170" s="2760"/>
      <c r="BL170" s="2760"/>
      <c r="BM170" s="2760"/>
      <c r="BN170" s="2760"/>
      <c r="BO170" s="2760"/>
      <c r="BP170" s="2760"/>
      <c r="BQ170" s="2760"/>
      <c r="BR170" s="2760"/>
      <c r="BS170" s="2760"/>
      <c r="BT170" s="2760"/>
      <c r="BU170" s="2760"/>
      <c r="BV170" s="2760"/>
      <c r="BW170" s="2760"/>
      <c r="BX170" s="2760"/>
      <c r="BY170" s="2760"/>
      <c r="BZ170" s="2760"/>
    </row>
    <row r="171" spans="1:78">
      <c r="A171" s="2760"/>
      <c r="B171" s="2760"/>
      <c r="C171" s="2760"/>
      <c r="D171" s="2760"/>
      <c r="E171" s="2760"/>
      <c r="F171" s="2760"/>
      <c r="G171" s="2760"/>
      <c r="H171" s="2760"/>
      <c r="I171" s="2760"/>
      <c r="J171" s="2760"/>
      <c r="K171" s="2760"/>
      <c r="L171" s="2760"/>
      <c r="M171" s="2760"/>
      <c r="N171" s="2760"/>
      <c r="O171" s="2760"/>
      <c r="P171" s="2760"/>
      <c r="Q171" s="2760"/>
      <c r="R171" s="2760"/>
      <c r="S171" s="2760"/>
      <c r="T171" s="2760"/>
      <c r="U171" s="2760"/>
      <c r="V171" s="2760"/>
      <c r="W171" s="2760"/>
      <c r="X171" s="2760"/>
      <c r="Y171" s="2760"/>
      <c r="Z171" s="2760"/>
      <c r="AA171" s="2760"/>
      <c r="AB171" s="2760"/>
      <c r="AC171" s="2760"/>
      <c r="AD171" s="2760"/>
      <c r="AE171" s="2760"/>
      <c r="AF171" s="2760"/>
      <c r="AG171" s="2760"/>
      <c r="AH171" s="2760"/>
      <c r="AI171" s="2760"/>
      <c r="AJ171" s="2760"/>
      <c r="AK171" s="2760"/>
      <c r="AL171" s="2760"/>
      <c r="AM171" s="2760"/>
      <c r="AN171" s="2760"/>
      <c r="AO171" s="2760"/>
      <c r="AP171" s="2760"/>
      <c r="AQ171" s="2760"/>
      <c r="AR171" s="2760"/>
      <c r="AS171" s="2760"/>
      <c r="AT171" s="2760"/>
      <c r="AU171" s="2760"/>
      <c r="AV171" s="2760"/>
      <c r="AW171" s="2760"/>
      <c r="AX171" s="2760"/>
      <c r="AY171" s="2760"/>
      <c r="AZ171" s="2760"/>
      <c r="BA171" s="2760"/>
      <c r="BB171" s="2760"/>
      <c r="BC171" s="2760"/>
      <c r="BD171" s="2760"/>
      <c r="BE171" s="2760"/>
      <c r="BF171" s="2760"/>
      <c r="BG171" s="2760"/>
      <c r="BH171" s="2760"/>
      <c r="BI171" s="2760"/>
      <c r="BJ171" s="2760"/>
      <c r="BK171" s="2760"/>
      <c r="BL171" s="2760"/>
      <c r="BM171" s="2760"/>
      <c r="BN171" s="2760"/>
      <c r="BO171" s="2760"/>
      <c r="BP171" s="2760"/>
      <c r="BQ171" s="2760"/>
      <c r="BR171" s="2760"/>
      <c r="BS171" s="2760"/>
      <c r="BT171" s="2760"/>
      <c r="BU171" s="2760"/>
      <c r="BV171" s="2760"/>
      <c r="BW171" s="2760"/>
      <c r="BX171" s="2760"/>
      <c r="BY171" s="2760"/>
      <c r="BZ171" s="2760"/>
    </row>
    <row r="172" spans="1:78">
      <c r="A172" s="2760"/>
      <c r="B172" s="2760"/>
      <c r="C172" s="2760"/>
      <c r="D172" s="2760"/>
      <c r="E172" s="2760"/>
      <c r="F172" s="2760"/>
      <c r="G172" s="2760"/>
      <c r="H172" s="2760"/>
      <c r="I172" s="2760"/>
      <c r="J172" s="2760"/>
      <c r="K172" s="2760"/>
      <c r="L172" s="2760"/>
      <c r="M172" s="2760"/>
      <c r="N172" s="2760"/>
      <c r="O172" s="2760"/>
      <c r="P172" s="2760"/>
      <c r="Q172" s="2760"/>
      <c r="R172" s="2760"/>
      <c r="S172" s="2760"/>
      <c r="T172" s="2760"/>
      <c r="U172" s="2760"/>
      <c r="V172" s="2760"/>
      <c r="W172" s="2760"/>
      <c r="X172" s="2760"/>
      <c r="Y172" s="2760"/>
      <c r="Z172" s="2760"/>
      <c r="AA172" s="2760"/>
      <c r="AB172" s="2760"/>
      <c r="AC172" s="2760"/>
      <c r="AD172" s="2760"/>
      <c r="AE172" s="2760"/>
      <c r="AF172" s="2760"/>
      <c r="AG172" s="2760"/>
      <c r="AH172" s="2760"/>
      <c r="AI172" s="2760"/>
      <c r="AJ172" s="2760"/>
      <c r="AK172" s="2760"/>
      <c r="AL172" s="2760"/>
      <c r="AM172" s="2760"/>
      <c r="AN172" s="2760"/>
      <c r="AO172" s="2760"/>
      <c r="AP172" s="2760"/>
      <c r="AQ172" s="2760"/>
      <c r="AR172" s="2760"/>
      <c r="AS172" s="2760"/>
      <c r="AT172" s="2760"/>
      <c r="AU172" s="2760"/>
      <c r="AV172" s="2760"/>
      <c r="AW172" s="2760"/>
      <c r="AX172" s="2760"/>
      <c r="AY172" s="2760"/>
      <c r="AZ172" s="2760"/>
      <c r="BA172" s="2760"/>
      <c r="BB172" s="2760"/>
      <c r="BC172" s="2760"/>
      <c r="BD172" s="2760"/>
      <c r="BE172" s="2760"/>
      <c r="BF172" s="2760"/>
      <c r="BG172" s="2760"/>
      <c r="BH172" s="2760"/>
      <c r="BI172" s="2760"/>
      <c r="BJ172" s="2760"/>
      <c r="BK172" s="2760"/>
      <c r="BL172" s="2760"/>
      <c r="BM172" s="2760"/>
      <c r="BN172" s="2760"/>
      <c r="BO172" s="2760"/>
      <c r="BP172" s="2760"/>
      <c r="BQ172" s="2760"/>
      <c r="BR172" s="2760"/>
      <c r="BS172" s="2760"/>
      <c r="BT172" s="2760"/>
      <c r="BU172" s="2760"/>
      <c r="BV172" s="2760"/>
      <c r="BW172" s="2760"/>
      <c r="BX172" s="2760"/>
      <c r="BY172" s="2760"/>
      <c r="BZ172" s="2760"/>
    </row>
    <row r="173" spans="1:78">
      <c r="A173" s="2760"/>
      <c r="B173" s="2760"/>
      <c r="C173" s="2760"/>
      <c r="D173" s="2760"/>
      <c r="E173" s="2760"/>
      <c r="F173" s="2760"/>
      <c r="G173" s="2760"/>
      <c r="H173" s="2760"/>
      <c r="I173" s="2760"/>
      <c r="J173" s="2760"/>
      <c r="K173" s="2760"/>
      <c r="L173" s="2760"/>
      <c r="M173" s="2760"/>
      <c r="N173" s="2760"/>
      <c r="O173" s="2760"/>
      <c r="P173" s="2760"/>
      <c r="Q173" s="2760"/>
      <c r="R173" s="2760"/>
      <c r="S173" s="2760"/>
      <c r="T173" s="2760"/>
      <c r="U173" s="2760"/>
      <c r="V173" s="2760"/>
      <c r="W173" s="2760"/>
      <c r="X173" s="2760"/>
      <c r="Y173" s="2760"/>
      <c r="Z173" s="2760"/>
      <c r="AA173" s="2760"/>
      <c r="AB173" s="2760"/>
      <c r="AC173" s="2760"/>
      <c r="AD173" s="2760"/>
      <c r="AE173" s="2760"/>
      <c r="AF173" s="2760"/>
      <c r="AG173" s="2760"/>
      <c r="AH173" s="2760"/>
      <c r="AI173" s="2760"/>
      <c r="AJ173" s="2760"/>
      <c r="AK173" s="2760"/>
      <c r="AL173" s="2760"/>
      <c r="AM173" s="2760"/>
      <c r="AN173" s="2760"/>
      <c r="AO173" s="2760"/>
      <c r="AP173" s="2760"/>
      <c r="AQ173" s="2760"/>
      <c r="AR173" s="2760"/>
      <c r="AS173" s="2760"/>
      <c r="AT173" s="2760"/>
      <c r="AU173" s="2760"/>
      <c r="AV173" s="2760"/>
      <c r="AW173" s="2760"/>
      <c r="AX173" s="2760"/>
      <c r="AY173" s="2760"/>
      <c r="AZ173" s="2760"/>
      <c r="BA173" s="2760"/>
      <c r="BB173" s="2760"/>
      <c r="BC173" s="2760"/>
      <c r="BD173" s="2760"/>
      <c r="BE173" s="2760"/>
      <c r="BF173" s="2760"/>
      <c r="BG173" s="2760"/>
      <c r="BH173" s="2760"/>
      <c r="BI173" s="2760"/>
      <c r="BJ173" s="2760"/>
      <c r="BK173" s="2760"/>
      <c r="BL173" s="2760"/>
      <c r="BM173" s="2760"/>
      <c r="BN173" s="2760"/>
      <c r="BO173" s="2760"/>
      <c r="BP173" s="2760"/>
      <c r="BQ173" s="2760"/>
      <c r="BR173" s="2760"/>
      <c r="BS173" s="2760"/>
      <c r="BT173" s="2760"/>
      <c r="BU173" s="2760"/>
      <c r="BV173" s="2760"/>
      <c r="BW173" s="2760"/>
      <c r="BX173" s="2760"/>
      <c r="BY173" s="2760"/>
      <c r="BZ173" s="2760"/>
    </row>
    <row r="174" spans="1:78">
      <c r="A174" s="2760"/>
      <c r="B174" s="2760"/>
      <c r="C174" s="2760"/>
      <c r="D174" s="2760"/>
      <c r="E174" s="2760"/>
      <c r="F174" s="2760"/>
      <c r="G174" s="2760"/>
      <c r="H174" s="2760"/>
      <c r="I174" s="2760"/>
      <c r="J174" s="2760"/>
      <c r="K174" s="2760"/>
      <c r="L174" s="2760"/>
      <c r="M174" s="2760"/>
      <c r="N174" s="2760"/>
      <c r="O174" s="2760"/>
      <c r="P174" s="2760"/>
      <c r="Q174" s="2760"/>
      <c r="R174" s="2760"/>
      <c r="S174" s="2760"/>
      <c r="T174" s="2760"/>
      <c r="U174" s="2760"/>
      <c r="V174" s="2760"/>
      <c r="W174" s="2760"/>
      <c r="X174" s="2760"/>
      <c r="Y174" s="2760"/>
      <c r="Z174" s="2760"/>
      <c r="AA174" s="2760"/>
      <c r="AB174" s="2760"/>
      <c r="AC174" s="2760"/>
      <c r="AD174" s="2760"/>
      <c r="AE174" s="2760"/>
      <c r="AF174" s="2760"/>
      <c r="AG174" s="2760"/>
      <c r="AH174" s="2760"/>
      <c r="AI174" s="2760"/>
      <c r="AJ174" s="2760"/>
      <c r="AK174" s="2760"/>
      <c r="AL174" s="2760"/>
      <c r="AM174" s="2760"/>
      <c r="AN174" s="2760"/>
      <c r="AO174" s="2760"/>
      <c r="AP174" s="2760"/>
      <c r="AQ174" s="2760"/>
      <c r="AR174" s="2760"/>
      <c r="AS174" s="2760"/>
      <c r="AT174" s="2760"/>
      <c r="AU174" s="2760"/>
      <c r="AV174" s="2760"/>
      <c r="AW174" s="2760"/>
      <c r="AX174" s="2760"/>
      <c r="AY174" s="2760"/>
      <c r="AZ174" s="2760"/>
      <c r="BA174" s="2760"/>
      <c r="BB174" s="2760"/>
      <c r="BC174" s="2760"/>
      <c r="BD174" s="2760"/>
      <c r="BE174" s="2760"/>
      <c r="BF174" s="2760"/>
      <c r="BG174" s="2760"/>
      <c r="BH174" s="2760"/>
      <c r="BI174" s="2760"/>
      <c r="BJ174" s="2760"/>
      <c r="BK174" s="2760"/>
      <c r="BL174" s="2760"/>
      <c r="BM174" s="2760"/>
      <c r="BN174" s="2760"/>
      <c r="BO174" s="2760"/>
      <c r="BP174" s="2760"/>
      <c r="BQ174" s="2760"/>
      <c r="BR174" s="2760"/>
      <c r="BS174" s="2760"/>
      <c r="BT174" s="2760"/>
      <c r="BU174" s="2760"/>
      <c r="BV174" s="2760"/>
      <c r="BW174" s="2760"/>
      <c r="BX174" s="2760"/>
      <c r="BY174" s="2760"/>
      <c r="BZ174" s="2760"/>
    </row>
    <row r="175" spans="1:78">
      <c r="A175" s="2760"/>
      <c r="B175" s="2760"/>
      <c r="C175" s="2760"/>
      <c r="D175" s="2760"/>
      <c r="E175" s="2760"/>
      <c r="F175" s="2760"/>
      <c r="G175" s="2760"/>
      <c r="H175" s="2760"/>
      <c r="I175" s="2760"/>
      <c r="J175" s="2760"/>
      <c r="K175" s="2760"/>
      <c r="L175" s="2760"/>
      <c r="M175" s="2760"/>
      <c r="N175" s="2760"/>
      <c r="O175" s="2760"/>
      <c r="P175" s="2760"/>
      <c r="Q175" s="2760"/>
      <c r="R175" s="2760"/>
      <c r="S175" s="2760"/>
      <c r="T175" s="2760"/>
      <c r="U175" s="2760"/>
      <c r="V175" s="2760"/>
      <c r="W175" s="2760"/>
      <c r="X175" s="2760"/>
      <c r="Y175" s="2760"/>
      <c r="Z175" s="2760"/>
      <c r="AA175" s="2760"/>
      <c r="AB175" s="2760"/>
      <c r="AC175" s="2760"/>
      <c r="AD175" s="2760"/>
      <c r="AE175" s="2760"/>
      <c r="AF175" s="2760"/>
      <c r="AG175" s="2760"/>
      <c r="AH175" s="2760"/>
      <c r="AI175" s="2760"/>
      <c r="AJ175" s="2760"/>
      <c r="AK175" s="2760"/>
      <c r="AL175" s="2760"/>
      <c r="AM175" s="2760"/>
      <c r="AN175" s="2760"/>
      <c r="AO175" s="2760"/>
      <c r="AP175" s="2760"/>
      <c r="AQ175" s="2760"/>
      <c r="AR175" s="2760"/>
      <c r="AS175" s="2760"/>
      <c r="AT175" s="2760"/>
      <c r="AU175" s="2760"/>
      <c r="AV175" s="2760"/>
      <c r="AW175" s="2760"/>
      <c r="AX175" s="2760"/>
      <c r="AY175" s="2760"/>
      <c r="AZ175" s="2760"/>
      <c r="BA175" s="2760"/>
      <c r="BB175" s="2760"/>
      <c r="BC175" s="2760"/>
      <c r="BD175" s="2760"/>
      <c r="BE175" s="2760"/>
      <c r="BF175" s="2760"/>
      <c r="BG175" s="2760"/>
      <c r="BH175" s="2760"/>
      <c r="BI175" s="2760"/>
      <c r="BJ175" s="2760"/>
      <c r="BK175" s="2760"/>
      <c r="BL175" s="2760"/>
      <c r="BM175" s="2760"/>
      <c r="BN175" s="2760"/>
      <c r="BO175" s="2760"/>
      <c r="BP175" s="2760"/>
      <c r="BQ175" s="2760"/>
      <c r="BR175" s="2760"/>
      <c r="BS175" s="2760"/>
      <c r="BT175" s="2760"/>
      <c r="BU175" s="2760"/>
      <c r="BV175" s="2760"/>
      <c r="BW175" s="2760"/>
      <c r="BX175" s="2760"/>
      <c r="BY175" s="2760"/>
      <c r="BZ175" s="2760"/>
    </row>
    <row r="176" spans="1:78">
      <c r="A176" s="2760"/>
      <c r="B176" s="2760"/>
      <c r="C176" s="2760"/>
      <c r="D176" s="2760"/>
      <c r="E176" s="2760"/>
      <c r="F176" s="2760"/>
      <c r="G176" s="2760"/>
      <c r="H176" s="2760"/>
      <c r="I176" s="2760"/>
      <c r="J176" s="2760"/>
      <c r="K176" s="2760"/>
      <c r="L176" s="2760"/>
      <c r="M176" s="2760"/>
      <c r="N176" s="2760"/>
      <c r="O176" s="2760"/>
      <c r="P176" s="2760"/>
      <c r="Q176" s="2760"/>
      <c r="R176" s="2760"/>
      <c r="S176" s="2760"/>
      <c r="T176" s="2760"/>
      <c r="U176" s="2760"/>
      <c r="V176" s="2760"/>
      <c r="W176" s="2760"/>
      <c r="X176" s="2760"/>
      <c r="Y176" s="2760"/>
      <c r="Z176" s="2760"/>
      <c r="AA176" s="2760"/>
      <c r="AB176" s="2760"/>
      <c r="AC176" s="2760"/>
      <c r="AD176" s="2760"/>
      <c r="AE176" s="2760"/>
      <c r="AF176" s="2760"/>
      <c r="AG176" s="2760"/>
      <c r="AH176" s="2760"/>
      <c r="AI176" s="2760"/>
      <c r="AJ176" s="2760"/>
      <c r="AK176" s="2760"/>
      <c r="AL176" s="2760"/>
      <c r="AM176" s="2760"/>
      <c r="AN176" s="2760"/>
      <c r="AO176" s="2760"/>
      <c r="AP176" s="2760"/>
      <c r="AQ176" s="2760"/>
      <c r="AR176" s="2760"/>
      <c r="AS176" s="2760"/>
      <c r="AT176" s="2760"/>
      <c r="AU176" s="2760"/>
      <c r="AV176" s="2760"/>
      <c r="AW176" s="2760"/>
      <c r="AX176" s="2760"/>
      <c r="AY176" s="2760"/>
      <c r="AZ176" s="2760"/>
      <c r="BA176" s="2760"/>
      <c r="BB176" s="2760"/>
      <c r="BC176" s="2760"/>
      <c r="BD176" s="2760"/>
      <c r="BE176" s="2760"/>
      <c r="BF176" s="2760"/>
      <c r="BG176" s="2760"/>
      <c r="BH176" s="2760"/>
      <c r="BI176" s="2760"/>
      <c r="BJ176" s="2760"/>
      <c r="BK176" s="2760"/>
      <c r="BL176" s="2760"/>
      <c r="BM176" s="2760"/>
      <c r="BN176" s="2760"/>
      <c r="BO176" s="2760"/>
      <c r="BP176" s="2760"/>
      <c r="BQ176" s="2760"/>
      <c r="BR176" s="2760"/>
      <c r="BS176" s="2760"/>
      <c r="BT176" s="2760"/>
      <c r="BU176" s="2760"/>
      <c r="BV176" s="2760"/>
      <c r="BW176" s="2760"/>
      <c r="BX176" s="2760"/>
      <c r="BY176" s="2760"/>
      <c r="BZ176" s="2760"/>
    </row>
    <row r="177" spans="1:78">
      <c r="A177" s="2760"/>
      <c r="B177" s="2760"/>
      <c r="C177" s="2760"/>
      <c r="D177" s="2760"/>
      <c r="E177" s="2760"/>
      <c r="F177" s="2760"/>
      <c r="G177" s="2760"/>
      <c r="H177" s="2760"/>
      <c r="I177" s="2760"/>
      <c r="J177" s="2760"/>
      <c r="K177" s="2760"/>
      <c r="L177" s="2760"/>
      <c r="M177" s="2760"/>
      <c r="N177" s="2760"/>
      <c r="O177" s="2760"/>
      <c r="P177" s="2760"/>
      <c r="Q177" s="2760"/>
      <c r="R177" s="2760"/>
      <c r="S177" s="2760"/>
      <c r="T177" s="2760"/>
      <c r="U177" s="2760"/>
      <c r="V177" s="2760"/>
      <c r="W177" s="2760"/>
      <c r="X177" s="2760"/>
      <c r="Y177" s="2760"/>
      <c r="Z177" s="2760"/>
      <c r="AA177" s="2760"/>
      <c r="AB177" s="2760"/>
      <c r="AC177" s="2760"/>
      <c r="AD177" s="2760"/>
      <c r="AE177" s="2760"/>
      <c r="AF177" s="2760"/>
      <c r="AG177" s="2760"/>
      <c r="AH177" s="2760"/>
      <c r="AI177" s="2760"/>
      <c r="AJ177" s="2760"/>
      <c r="AK177" s="2760"/>
      <c r="AL177" s="2760"/>
      <c r="AM177" s="2760"/>
      <c r="AN177" s="2760"/>
      <c r="AO177" s="2760"/>
      <c r="AP177" s="2760"/>
      <c r="AQ177" s="2760"/>
      <c r="AR177" s="2760"/>
      <c r="AS177" s="2760"/>
      <c r="AT177" s="2760"/>
      <c r="AU177" s="2760"/>
      <c r="AV177" s="2760"/>
      <c r="AW177" s="2760"/>
      <c r="AX177" s="2760"/>
      <c r="AY177" s="2760"/>
      <c r="AZ177" s="2760"/>
      <c r="BA177" s="2760"/>
      <c r="BB177" s="2760"/>
      <c r="BC177" s="2760"/>
      <c r="BD177" s="2760"/>
      <c r="BE177" s="2760"/>
      <c r="BF177" s="2760"/>
      <c r="BG177" s="2760"/>
      <c r="BH177" s="2760"/>
      <c r="BI177" s="2760"/>
      <c r="BJ177" s="2760"/>
      <c r="BK177" s="2760"/>
      <c r="BL177" s="2760"/>
      <c r="BM177" s="2760"/>
      <c r="BN177" s="2760"/>
      <c r="BO177" s="2760"/>
      <c r="BP177" s="2760"/>
      <c r="BQ177" s="2760"/>
      <c r="BR177" s="2760"/>
      <c r="BS177" s="2760"/>
      <c r="BT177" s="2760"/>
      <c r="BU177" s="2760"/>
      <c r="BV177" s="2760"/>
      <c r="BW177" s="2760"/>
      <c r="BX177" s="2760"/>
      <c r="BY177" s="2760"/>
      <c r="BZ177" s="2760"/>
    </row>
    <row r="178" spans="1:78" ht="13.5" customHeight="1">
      <c r="A178" s="580"/>
      <c r="B178" s="580"/>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0"/>
      <c r="AL178" s="580"/>
      <c r="AM178" s="580"/>
      <c r="AN178" s="580"/>
      <c r="AO178" s="580"/>
      <c r="AP178" s="580"/>
      <c r="AQ178" s="580"/>
      <c r="AR178" s="580"/>
      <c r="AS178" s="580"/>
      <c r="AT178" s="580"/>
      <c r="AU178" s="580"/>
      <c r="AV178" s="580"/>
      <c r="AW178" s="580"/>
      <c r="AX178" s="580"/>
      <c r="AY178" s="580"/>
      <c r="AZ178" s="580"/>
      <c r="BA178" s="580"/>
      <c r="BB178" s="580"/>
      <c r="BC178" s="580"/>
      <c r="BD178" s="580"/>
      <c r="BE178" s="580"/>
      <c r="BF178" s="580"/>
      <c r="BG178" s="580"/>
      <c r="BH178" s="580"/>
      <c r="BI178" s="580"/>
      <c r="BJ178" s="580"/>
      <c r="BK178" s="580"/>
      <c r="BL178" s="580"/>
      <c r="BM178" s="580"/>
      <c r="BN178" s="580"/>
      <c r="BO178" s="580"/>
      <c r="BP178" s="580"/>
      <c r="BQ178" s="580"/>
      <c r="BR178" s="580"/>
      <c r="BS178" s="580"/>
      <c r="BT178" s="580"/>
      <c r="BU178" s="580"/>
      <c r="BV178" s="580"/>
      <c r="BW178" s="580"/>
      <c r="BX178" s="580"/>
      <c r="BY178" s="580"/>
      <c r="BZ178" s="580"/>
    </row>
    <row r="179" spans="1:78">
      <c r="A179" s="2759" t="s">
        <v>280</v>
      </c>
      <c r="B179" s="2759"/>
      <c r="C179" s="2759"/>
      <c r="D179" s="2759"/>
      <c r="E179" s="2759"/>
      <c r="F179" s="2759"/>
      <c r="G179" s="2759"/>
      <c r="H179" s="2759"/>
      <c r="I179" s="2759"/>
      <c r="J179" s="2759"/>
      <c r="K179" s="2759"/>
      <c r="L179" s="2759"/>
      <c r="M179" s="2759"/>
      <c r="N179" s="2759"/>
      <c r="O179" s="2759"/>
      <c r="P179" s="2759"/>
      <c r="Q179" s="2759"/>
      <c r="R179" s="2759"/>
      <c r="S179" s="2759"/>
      <c r="T179" s="2759"/>
      <c r="U179" s="2759"/>
      <c r="V179" s="2759"/>
      <c r="W179" s="2759"/>
      <c r="X179" s="2759"/>
      <c r="Y179" s="2759"/>
      <c r="Z179" s="2759"/>
      <c r="AA179" s="2759"/>
      <c r="AB179" s="2759"/>
      <c r="AC179" s="2759"/>
      <c r="AD179" s="2759"/>
      <c r="AE179" s="2759"/>
      <c r="AF179" s="2759"/>
      <c r="AG179" s="2759"/>
      <c r="AH179" s="2759"/>
      <c r="AI179" s="2759"/>
      <c r="AJ179" s="2759"/>
      <c r="AK179" s="2759"/>
      <c r="AL179" s="2759"/>
      <c r="AM179" s="2759"/>
      <c r="AN179" s="2759"/>
      <c r="AO179" s="2759"/>
      <c r="AP179" s="2759"/>
      <c r="AQ179" s="2759"/>
      <c r="AR179" s="2759"/>
      <c r="AS179" s="2759"/>
      <c r="AT179" s="2759"/>
      <c r="AU179" s="2759"/>
      <c r="AV179" s="2759"/>
      <c r="AW179" s="2759"/>
      <c r="AX179" s="2759"/>
      <c r="AY179" s="2759"/>
      <c r="AZ179" s="2759"/>
      <c r="BA179" s="2759"/>
      <c r="BB179" s="2759"/>
      <c r="BC179" s="2759"/>
      <c r="BD179" s="2759"/>
      <c r="BE179" s="2759"/>
      <c r="BF179" s="2759"/>
      <c r="BG179" s="2759"/>
      <c r="BH179" s="2759"/>
      <c r="BI179" s="2759"/>
      <c r="BJ179" s="2759"/>
      <c r="BK179" s="2759"/>
      <c r="BL179" s="2759"/>
      <c r="BM179" s="2759"/>
      <c r="BN179" s="2759"/>
      <c r="BO179" s="2759"/>
      <c r="BP179" s="2759"/>
      <c r="BQ179" s="2759"/>
      <c r="BR179" s="2759"/>
      <c r="BS179" s="2759"/>
      <c r="BT179" s="2759"/>
      <c r="BU179" s="2759"/>
      <c r="BV179" s="2759"/>
      <c r="BW179" s="2759"/>
      <c r="BX179" s="2759"/>
      <c r="BY179" s="2759"/>
      <c r="BZ179" s="2759"/>
    </row>
    <row r="180" spans="1:78">
      <c r="A180" s="2759"/>
      <c r="B180" s="2759"/>
      <c r="C180" s="2759"/>
      <c r="D180" s="2759"/>
      <c r="E180" s="2759"/>
      <c r="F180" s="2759"/>
      <c r="G180" s="2759"/>
      <c r="H180" s="2759"/>
      <c r="I180" s="2759"/>
      <c r="J180" s="2759"/>
      <c r="K180" s="2759"/>
      <c r="L180" s="2759"/>
      <c r="M180" s="2759"/>
      <c r="N180" s="2759"/>
      <c r="O180" s="2759"/>
      <c r="P180" s="2759"/>
      <c r="Q180" s="2759"/>
      <c r="R180" s="2759"/>
      <c r="S180" s="2759"/>
      <c r="T180" s="2759"/>
      <c r="U180" s="2759"/>
      <c r="V180" s="2759"/>
      <c r="W180" s="2759"/>
      <c r="X180" s="2759"/>
      <c r="Y180" s="2759"/>
      <c r="Z180" s="2759"/>
      <c r="AA180" s="2759"/>
      <c r="AB180" s="2759"/>
      <c r="AC180" s="2759"/>
      <c r="AD180" s="2759"/>
      <c r="AE180" s="2759"/>
      <c r="AF180" s="2759"/>
      <c r="AG180" s="2759"/>
      <c r="AH180" s="2759"/>
      <c r="AI180" s="2759"/>
      <c r="AJ180" s="2759"/>
      <c r="AK180" s="2759"/>
      <c r="AL180" s="2759"/>
      <c r="AM180" s="2759"/>
      <c r="AN180" s="2759"/>
      <c r="AO180" s="2759"/>
      <c r="AP180" s="2759"/>
      <c r="AQ180" s="2759"/>
      <c r="AR180" s="2759"/>
      <c r="AS180" s="2759"/>
      <c r="AT180" s="2759"/>
      <c r="AU180" s="2759"/>
      <c r="AV180" s="2759"/>
      <c r="AW180" s="2759"/>
      <c r="AX180" s="2759"/>
      <c r="AY180" s="2759"/>
      <c r="AZ180" s="2759"/>
      <c r="BA180" s="2759"/>
      <c r="BB180" s="2759"/>
      <c r="BC180" s="2759"/>
      <c r="BD180" s="2759"/>
      <c r="BE180" s="2759"/>
      <c r="BF180" s="2759"/>
      <c r="BG180" s="2759"/>
      <c r="BH180" s="2759"/>
      <c r="BI180" s="2759"/>
      <c r="BJ180" s="2759"/>
      <c r="BK180" s="2759"/>
      <c r="BL180" s="2759"/>
      <c r="BM180" s="2759"/>
      <c r="BN180" s="2759"/>
      <c r="BO180" s="2759"/>
      <c r="BP180" s="2759"/>
      <c r="BQ180" s="2759"/>
      <c r="BR180" s="2759"/>
      <c r="BS180" s="2759"/>
      <c r="BT180" s="2759"/>
      <c r="BU180" s="2759"/>
      <c r="BV180" s="2759"/>
      <c r="BW180" s="2759"/>
      <c r="BX180" s="2759"/>
      <c r="BY180" s="2759"/>
      <c r="BZ180" s="2759"/>
    </row>
  </sheetData>
  <sheetProtection algorithmName="SHA-512" hashValue="vybRe8JXh2wsPCKR9eBgcWlbKa6qDj96aiG+MON1/YzTXWp/J3dVp6hIG0eyEd4sLIwbVwYAW+dSWpNBs2jKbg==" saltValue="2G6Uj8uBudzPqtSxTjxbfg==" spinCount="100000" sheet="1" selectLockedCells="1"/>
  <dataConsolidate/>
  <mergeCells count="94">
    <mergeCell ref="A165:BZ166"/>
    <mergeCell ref="A167:BZ168"/>
    <mergeCell ref="A170:BZ177"/>
    <mergeCell ref="A179:BZ180"/>
    <mergeCell ref="A147:Q154"/>
    <mergeCell ref="R147:BZ154"/>
    <mergeCell ref="AX155:BG162"/>
    <mergeCell ref="BH155:BZ162"/>
    <mergeCell ref="D156:AR163"/>
    <mergeCell ref="A137:BZ137"/>
    <mergeCell ref="A138:Q146"/>
    <mergeCell ref="R138:AB146"/>
    <mergeCell ref="AC138:AL146"/>
    <mergeCell ref="AM138:AW146"/>
    <mergeCell ref="AX138:BG146"/>
    <mergeCell ref="BH138:BK146"/>
    <mergeCell ref="BL138:BV146"/>
    <mergeCell ref="BW138:BZ146"/>
    <mergeCell ref="A120:BZ121"/>
    <mergeCell ref="A122:BZ123"/>
    <mergeCell ref="A125:BZ132"/>
    <mergeCell ref="A134:BZ135"/>
    <mergeCell ref="A136:BZ136"/>
    <mergeCell ref="A102:Q109"/>
    <mergeCell ref="R102:BZ109"/>
    <mergeCell ref="AX110:BG117"/>
    <mergeCell ref="BH110:BZ117"/>
    <mergeCell ref="D111:AR118"/>
    <mergeCell ref="A91:BZ91"/>
    <mergeCell ref="A92:BZ92"/>
    <mergeCell ref="A93:Q101"/>
    <mergeCell ref="R93:AB101"/>
    <mergeCell ref="AC93:AL101"/>
    <mergeCell ref="AM93:AW101"/>
    <mergeCell ref="AX93:BG101"/>
    <mergeCell ref="BH93:BK101"/>
    <mergeCell ref="BL93:BV101"/>
    <mergeCell ref="BW93:BZ101"/>
    <mergeCell ref="A75:BZ76"/>
    <mergeCell ref="A77:BZ78"/>
    <mergeCell ref="A80:BZ87"/>
    <mergeCell ref="A89:BZ90"/>
    <mergeCell ref="A57:Q64"/>
    <mergeCell ref="R57:BZ64"/>
    <mergeCell ref="AX65:BG72"/>
    <mergeCell ref="BH65:BZ72"/>
    <mergeCell ref="D66:AR73"/>
    <mergeCell ref="CA29:EZ30"/>
    <mergeCell ref="CA31:EZ32"/>
    <mergeCell ref="CA34:EZ41"/>
    <mergeCell ref="CA43:EZ44"/>
    <mergeCell ref="A35:BZ42"/>
    <mergeCell ref="A44:BZ45"/>
    <mergeCell ref="A47:BZ47"/>
    <mergeCell ref="A48:Q56"/>
    <mergeCell ref="R48:AB56"/>
    <mergeCell ref="AC48:AL56"/>
    <mergeCell ref="AM48:AW56"/>
    <mergeCell ref="AX48:BG56"/>
    <mergeCell ref="BH48:BK56"/>
    <mergeCell ref="BL48:BV56"/>
    <mergeCell ref="BW48:BZ56"/>
    <mergeCell ref="EL2:EV10"/>
    <mergeCell ref="EW2:EZ10"/>
    <mergeCell ref="CA11:CQ18"/>
    <mergeCell ref="CR11:EZ18"/>
    <mergeCell ref="DX19:EG26"/>
    <mergeCell ref="EH19:EZ26"/>
    <mergeCell ref="CD20:DR27"/>
    <mergeCell ref="A46:BZ46"/>
    <mergeCell ref="CA1:EZ1"/>
    <mergeCell ref="CA2:CQ10"/>
    <mergeCell ref="CR2:DB10"/>
    <mergeCell ref="DC2:DL10"/>
    <mergeCell ref="DM2:DW10"/>
    <mergeCell ref="DX2:EG10"/>
    <mergeCell ref="EH2:EK10"/>
    <mergeCell ref="A32:BZ33"/>
    <mergeCell ref="A1:BZ1"/>
    <mergeCell ref="A2:BZ2"/>
    <mergeCell ref="A3:Q11"/>
    <mergeCell ref="R3:AB11"/>
    <mergeCell ref="AC3:AL11"/>
    <mergeCell ref="AM3:AW11"/>
    <mergeCell ref="AX20:BG27"/>
    <mergeCell ref="BH20:BZ27"/>
    <mergeCell ref="A30:BZ31"/>
    <mergeCell ref="AX3:BG11"/>
    <mergeCell ref="BH3:BK11"/>
    <mergeCell ref="BL3:BV11"/>
    <mergeCell ref="BW3:BZ11"/>
    <mergeCell ref="A12:Q19"/>
    <mergeCell ref="R12:BZ19"/>
    <mergeCell ref="D21:AR28"/>
  </mergeCells>
  <phoneticPr fontId="8"/>
  <conditionalFormatting sqref="BH20:BZ27">
    <cfRule type="cellIs" dxfId="299" priority="20" stopIfTrue="1" operator="equal">
      <formula>""</formula>
    </cfRule>
  </conditionalFormatting>
  <conditionalFormatting sqref="R3:AB11">
    <cfRule type="containsBlanks" dxfId="298" priority="21">
      <formula>LEN(TRIM(R3))=0</formula>
    </cfRule>
  </conditionalFormatting>
  <conditionalFormatting sqref="AM3:AW11">
    <cfRule type="containsBlanks" dxfId="297" priority="22">
      <formula>LEN(TRIM(AM3))=0</formula>
    </cfRule>
  </conditionalFormatting>
  <conditionalFormatting sqref="BL3:BV11">
    <cfRule type="containsBlanks" dxfId="296" priority="23">
      <formula>LEN(TRIM(BL3))=0</formula>
    </cfRule>
  </conditionalFormatting>
  <conditionalFormatting sqref="R12:BZ19">
    <cfRule type="containsBlanks" dxfId="295" priority="24">
      <formula>LEN(TRIM(R12))=0</formula>
    </cfRule>
  </conditionalFormatting>
  <conditionalFormatting sqref="BH65:BZ72">
    <cfRule type="cellIs" dxfId="294" priority="15" stopIfTrue="1" operator="equal">
      <formula>""</formula>
    </cfRule>
  </conditionalFormatting>
  <conditionalFormatting sqref="R48:AB56">
    <cfRule type="containsBlanks" dxfId="293" priority="25">
      <formula>LEN(TRIM(R48))=0</formula>
    </cfRule>
  </conditionalFormatting>
  <conditionalFormatting sqref="AM48:AW56">
    <cfRule type="containsBlanks" dxfId="292" priority="26">
      <formula>LEN(TRIM(AM48))=0</formula>
    </cfRule>
  </conditionalFormatting>
  <conditionalFormatting sqref="BL48:BV56">
    <cfRule type="containsBlanks" dxfId="291" priority="27">
      <formula>LEN(TRIM(BL48))=0</formula>
    </cfRule>
  </conditionalFormatting>
  <conditionalFormatting sqref="R57:BZ64">
    <cfRule type="containsBlanks" dxfId="290" priority="28">
      <formula>LEN(TRIM(R57))=0</formula>
    </cfRule>
  </conditionalFormatting>
  <conditionalFormatting sqref="BH110:BZ117">
    <cfRule type="cellIs" dxfId="289" priority="10" stopIfTrue="1" operator="equal">
      <formula>""</formula>
    </cfRule>
  </conditionalFormatting>
  <conditionalFormatting sqref="R93:AB101">
    <cfRule type="containsBlanks" dxfId="288" priority="29">
      <formula>LEN(TRIM(R93))=0</formula>
    </cfRule>
  </conditionalFormatting>
  <conditionalFormatting sqref="AM93:AW101">
    <cfRule type="containsBlanks" dxfId="287" priority="30">
      <formula>LEN(TRIM(AM93))=0</formula>
    </cfRule>
  </conditionalFormatting>
  <conditionalFormatting sqref="BL93:BV101">
    <cfRule type="containsBlanks" dxfId="286" priority="31">
      <formula>LEN(TRIM(BL93))=0</formula>
    </cfRule>
  </conditionalFormatting>
  <conditionalFormatting sqref="R102:BZ109">
    <cfRule type="containsBlanks" dxfId="285" priority="32">
      <formula>LEN(TRIM(R102))=0</formula>
    </cfRule>
  </conditionalFormatting>
  <conditionalFormatting sqref="BH155:BZ162">
    <cfRule type="cellIs" dxfId="284" priority="5" stopIfTrue="1" operator="equal">
      <formula>""</formula>
    </cfRule>
  </conditionalFormatting>
  <conditionalFormatting sqref="R138:AB146">
    <cfRule type="containsBlanks" dxfId="283" priority="33">
      <formula>LEN(TRIM(R138))=0</formula>
    </cfRule>
  </conditionalFormatting>
  <conditionalFormatting sqref="AM138:AW146">
    <cfRule type="containsBlanks" dxfId="282" priority="34">
      <formula>LEN(TRIM(AM138))=0</formula>
    </cfRule>
  </conditionalFormatting>
  <conditionalFormatting sqref="BL138:BV146">
    <cfRule type="containsBlanks" dxfId="281" priority="35">
      <formula>LEN(TRIM(BL138))=0</formula>
    </cfRule>
  </conditionalFormatting>
  <conditionalFormatting sqref="R147:BZ154">
    <cfRule type="containsBlanks" dxfId="280" priority="36">
      <formula>LEN(TRIM(R147))=0</formula>
    </cfRule>
  </conditionalFormatting>
  <dataValidations count="6">
    <dataValidation type="list" allowBlank="1" showInputMessage="1" showErrorMessage="1" sqref="R3:AB11" xr:uid="{5938B504-1B6B-4935-A6CF-743282AE7DE8}">
      <formula1>$FK$7:$FK$18</formula1>
    </dataValidation>
    <dataValidation type="list" allowBlank="1" showInputMessage="1" showErrorMessage="1" sqref="AM3:AW11" xr:uid="{C8F6DC08-97E7-4481-AD2D-07292132D78F}">
      <formula1>$FK$7:$FK$37</formula1>
    </dataValidation>
    <dataValidation type="list" allowBlank="1" showInputMessage="1" showErrorMessage="1" sqref="BL3:BV11" xr:uid="{4895071D-B906-403A-A9E0-0D6905012437}">
      <formula1>$FL$7:$FL$13</formula1>
    </dataValidation>
    <dataValidation type="list" allowBlank="1" showInputMessage="1" sqref="R48:AB56 R93:AB101 R138:AB146" xr:uid="{91412774-DB23-45A6-A171-C8C31E809B60}">
      <formula1>$FK$7:$FK$18</formula1>
    </dataValidation>
    <dataValidation type="list" allowBlank="1" showInputMessage="1" sqref="AM48:AW56 AM93:AW101 AM138:AW146" xr:uid="{AC764796-81DA-4BE9-ABC4-6BB391B1FA98}">
      <formula1>$FK$7:$FK$37</formula1>
    </dataValidation>
    <dataValidation type="list" allowBlank="1" showInputMessage="1" sqref="BL48:BV56 BL93:BV101 BL138:BV146" xr:uid="{CB813C9F-E098-4586-87D4-A41E430E45FD}">
      <formula1>$FL$7:$FL$13</formula1>
    </dataValidation>
  </dataValidations>
  <printOptions horizontalCentered="1" verticalCentered="1"/>
  <pageMargins left="0.39370078740157483" right="0.39370078740157483" top="0.39370078740157483" bottom="0.39370078740157483" header="0" footer="0"/>
  <pageSetup paperSize="9" scale="95" orientation="landscape" r:id="rId1"/>
  <headerFooter>
    <oddFooter>&amp;R&amp;D &amp;T</oddFooter>
  </headerFooter>
  <rowBreaks count="2" manualBreakCount="2">
    <brk id="45" max="155" man="1"/>
    <brk id="90" max="155" man="1"/>
  </rowBreaks>
  <colBreaks count="1" manualBreakCount="1">
    <brk id="78" max="179"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A4B39-2F60-4D48-8F59-7A9EAB8F538C}">
  <sheetPr>
    <tabColor rgb="FFFFFF00"/>
  </sheetPr>
  <dimension ref="A1:BV74"/>
  <sheetViews>
    <sheetView view="pageBreakPreview" zoomScale="115" zoomScaleNormal="115" zoomScaleSheetLayoutView="115" workbookViewId="0">
      <selection activeCell="L10" sqref="L10:L12"/>
    </sheetView>
  </sheetViews>
  <sheetFormatPr defaultRowHeight="21"/>
  <cols>
    <col min="1" max="6" width="3.875" style="1002" customWidth="1"/>
    <col min="7" max="7" width="4.75" style="1003" customWidth="1"/>
    <col min="8" max="10" width="4.75" style="1002" customWidth="1"/>
    <col min="11" max="11" width="7.625" style="1002" customWidth="1"/>
    <col min="12" max="12" width="8.5" style="1002" customWidth="1"/>
    <col min="13" max="13" width="8.5" style="1002" hidden="1" customWidth="1"/>
    <col min="14" max="14" width="8.5" style="1002" customWidth="1"/>
    <col min="15" max="17" width="8.5" style="1002" hidden="1" customWidth="1"/>
    <col min="18" max="18" width="8.5" style="1002" customWidth="1"/>
    <col min="19" max="19" width="8.5" style="1002" hidden="1" customWidth="1"/>
    <col min="20" max="20" width="8.5" style="1002" customWidth="1"/>
    <col min="21" max="23" width="8.5" style="1002" hidden="1" customWidth="1"/>
    <col min="24" max="24" width="8.5" style="1002" customWidth="1"/>
    <col min="25" max="25" width="8.5" style="1002" hidden="1" customWidth="1"/>
    <col min="26" max="26" width="8.5" style="1002" customWidth="1"/>
    <col min="27" max="27" width="8.5" style="1002" hidden="1" customWidth="1"/>
    <col min="28" max="28" width="8.5" style="1002" customWidth="1"/>
    <col min="29" max="29" width="8.5" style="1002" hidden="1" customWidth="1"/>
    <col min="30" max="30" width="8.5" style="1002" customWidth="1"/>
    <col min="31" max="31" width="8.5" style="1002" hidden="1" customWidth="1"/>
    <col min="32" max="32" width="3.375" style="1002" customWidth="1"/>
    <col min="33" max="33" width="5.75" style="1002" customWidth="1"/>
    <col min="34" max="34" width="18.5" style="1002" customWidth="1"/>
    <col min="35" max="35" width="3" style="1002" customWidth="1"/>
    <col min="36" max="36" width="1.125" style="1002" customWidth="1"/>
    <col min="37" max="38" width="3" style="1002" customWidth="1"/>
    <col min="39" max="39" width="1.125" style="1002" customWidth="1"/>
    <col min="40" max="40" width="3" style="1002" customWidth="1"/>
    <col min="41" max="41" width="4.75" style="1003" customWidth="1"/>
    <col min="42" max="44" width="4.75" style="1002" customWidth="1"/>
    <col min="45" max="45" width="7.625" style="1002" customWidth="1"/>
    <col min="46" max="46" width="8.5" style="1002" customWidth="1"/>
    <col min="47" max="47" width="8.5" style="1002" hidden="1" customWidth="1"/>
    <col min="48" max="48" width="8.5" style="1002" customWidth="1"/>
    <col min="49" max="51" width="8.5" style="1002" hidden="1" customWidth="1"/>
    <col min="52" max="52" width="8.5" style="1002" customWidth="1"/>
    <col min="53" max="53" width="8.5" style="1002" hidden="1" customWidth="1"/>
    <col min="54" max="54" width="8.5" style="1002" customWidth="1"/>
    <col min="55" max="57" width="8.5" style="1002" hidden="1" customWidth="1"/>
    <col min="58" max="58" width="8.5" style="1002" customWidth="1"/>
    <col min="59" max="59" width="8.5" style="1002" hidden="1" customWidth="1"/>
    <col min="60" max="60" width="8.5" style="1002" customWidth="1"/>
    <col min="61" max="61" width="2.625" style="1002" hidden="1" customWidth="1"/>
    <col min="62" max="62" width="8.5" style="1002" customWidth="1"/>
    <col min="63" max="63" width="8.5" style="1002" hidden="1" customWidth="1"/>
    <col min="64" max="64" width="8.5" style="1002" customWidth="1"/>
    <col min="65" max="65" width="8.5" style="1002" hidden="1" customWidth="1"/>
    <col min="66" max="66" width="3.375" style="1002" customWidth="1"/>
    <col min="67" max="67" width="5.75" style="1002" customWidth="1"/>
    <col min="68" max="68" width="18.5" style="1002" customWidth="1"/>
    <col min="69" max="16384" width="9" style="1002"/>
  </cols>
  <sheetData>
    <row r="1" spans="1:74" ht="21" customHeight="1" thickBot="1">
      <c r="A1" s="2797" t="s">
        <v>3192</v>
      </c>
      <c r="B1" s="2797"/>
      <c r="C1" s="2797"/>
      <c r="D1" s="2797"/>
      <c r="E1" s="2797"/>
      <c r="F1" s="2797"/>
      <c r="G1" s="2797"/>
      <c r="H1" s="2797"/>
      <c r="I1" s="2797"/>
      <c r="J1" s="2797"/>
      <c r="K1" s="2797"/>
      <c r="L1" s="2797"/>
      <c r="AI1" s="2797" t="s">
        <v>3192</v>
      </c>
      <c r="AJ1" s="2797"/>
      <c r="AK1" s="2797"/>
      <c r="AL1" s="2797"/>
      <c r="AM1" s="2797"/>
      <c r="AN1" s="2797"/>
      <c r="AO1" s="2797"/>
      <c r="AP1" s="2797"/>
      <c r="AQ1" s="2797"/>
      <c r="AR1" s="2797"/>
      <c r="AS1" s="2797"/>
      <c r="AT1" s="2797"/>
    </row>
    <row r="2" spans="1:74" ht="17.25" customHeight="1" thickTop="1">
      <c r="A2" s="1035"/>
      <c r="B2" s="2798">
        <f>'01 使用承認申請書'!B12</f>
        <v>0</v>
      </c>
      <c r="C2" s="2799"/>
      <c r="D2" s="2799"/>
      <c r="E2" s="2799"/>
      <c r="F2" s="1034" t="s">
        <v>3181</v>
      </c>
      <c r="G2" s="1034"/>
      <c r="H2" s="1032"/>
      <c r="I2" s="1031"/>
      <c r="J2" s="1032"/>
      <c r="K2" s="1029"/>
      <c r="L2" s="2791" t="s">
        <v>3180</v>
      </c>
      <c r="M2" s="2792"/>
      <c r="N2" s="2792"/>
      <c r="O2" s="2792"/>
      <c r="P2" s="2792"/>
      <c r="Q2" s="2792"/>
      <c r="R2" s="2792"/>
      <c r="S2" s="2792"/>
      <c r="T2" s="2792"/>
      <c r="U2" s="2792"/>
      <c r="V2" s="2792"/>
      <c r="W2" s="2792"/>
      <c r="X2" s="2792"/>
      <c r="Y2" s="2792"/>
      <c r="Z2" s="2792"/>
      <c r="AA2" s="2793"/>
      <c r="AB2" s="2791" t="s">
        <v>3179</v>
      </c>
      <c r="AC2" s="2792"/>
      <c r="AD2" s="2792"/>
      <c r="AE2" s="2793"/>
      <c r="AF2" s="2800" t="s">
        <v>3071</v>
      </c>
      <c r="AG2" s="2801"/>
      <c r="AH2" s="2801"/>
      <c r="AI2" s="1035"/>
      <c r="AJ2" s="2798" t="s">
        <v>3191</v>
      </c>
      <c r="AK2" s="2799"/>
      <c r="AL2" s="2799"/>
      <c r="AM2" s="2799"/>
      <c r="AN2" s="1034" t="s">
        <v>3181</v>
      </c>
      <c r="AO2" s="1034"/>
      <c r="AP2" s="1032"/>
      <c r="AQ2" s="1031"/>
      <c r="AR2" s="1032"/>
      <c r="AS2" s="1029"/>
      <c r="AT2" s="2791" t="s">
        <v>3180</v>
      </c>
      <c r="AU2" s="2792"/>
      <c r="AV2" s="2792"/>
      <c r="AW2" s="2792"/>
      <c r="AX2" s="2792"/>
      <c r="AY2" s="2792"/>
      <c r="AZ2" s="2792"/>
      <c r="BA2" s="2792"/>
      <c r="BB2" s="2792"/>
      <c r="BC2" s="2792"/>
      <c r="BD2" s="2792"/>
      <c r="BE2" s="2792"/>
      <c r="BF2" s="2792"/>
      <c r="BG2" s="2792"/>
      <c r="BH2" s="2792"/>
      <c r="BI2" s="2793"/>
      <c r="BJ2" s="2791" t="s">
        <v>3179</v>
      </c>
      <c r="BK2" s="2792"/>
      <c r="BL2" s="2792"/>
      <c r="BM2" s="2793"/>
      <c r="BN2" s="2800" t="s">
        <v>3071</v>
      </c>
      <c r="BO2" s="2801"/>
      <c r="BP2" s="2801"/>
    </row>
    <row r="3" spans="1:74" ht="23.25" customHeight="1">
      <c r="A3" s="1028"/>
      <c r="B3" s="2794" t="str">
        <f>CONCATENATE('01 使用承認申請書'!C14)</f>
        <v/>
      </c>
      <c r="C3" s="2795"/>
      <c r="D3" s="2796" t="s">
        <v>3178</v>
      </c>
      <c r="E3" s="2796"/>
      <c r="F3" s="1032" t="str">
        <f>CONCATENATE('01 使用承認申請書'!F14)</f>
        <v/>
      </c>
      <c r="G3" s="1031" t="s">
        <v>3177</v>
      </c>
      <c r="H3" s="1031" t="s">
        <v>3070</v>
      </c>
      <c r="I3" s="1033">
        <f>'01 使用承認申請書'!J14</f>
        <v>0</v>
      </c>
      <c r="J3" s="1029" t="s">
        <v>3069</v>
      </c>
      <c r="K3" s="1029"/>
      <c r="L3" s="2791" t="s">
        <v>3176</v>
      </c>
      <c r="M3" s="2792"/>
      <c r="N3" s="2792"/>
      <c r="O3" s="2792"/>
      <c r="P3" s="2792"/>
      <c r="Q3" s="2792"/>
      <c r="R3" s="2792"/>
      <c r="S3" s="2792"/>
      <c r="T3" s="2792"/>
      <c r="U3" s="2792"/>
      <c r="V3" s="2792"/>
      <c r="W3" s="2793"/>
      <c r="X3" s="2791" t="s">
        <v>3175</v>
      </c>
      <c r="Y3" s="2792"/>
      <c r="Z3" s="2792"/>
      <c r="AA3" s="2793"/>
      <c r="AB3" s="2806" t="s">
        <v>3162</v>
      </c>
      <c r="AC3" s="2807"/>
      <c r="AD3" s="2806" t="s">
        <v>3162</v>
      </c>
      <c r="AE3" s="2807"/>
      <c r="AF3" s="2801"/>
      <c r="AG3" s="2801"/>
      <c r="AH3" s="2801"/>
      <c r="AI3" s="1028"/>
      <c r="AJ3" s="2794">
        <v>6</v>
      </c>
      <c r="AK3" s="2795"/>
      <c r="AL3" s="2796" t="s">
        <v>3178</v>
      </c>
      <c r="AM3" s="2796"/>
      <c r="AN3" s="1032">
        <v>1</v>
      </c>
      <c r="AO3" s="1031" t="s">
        <v>3177</v>
      </c>
      <c r="AP3" s="1031" t="s">
        <v>3070</v>
      </c>
      <c r="AQ3" s="1033" t="s">
        <v>3072</v>
      </c>
      <c r="AR3" s="1029" t="s">
        <v>3069</v>
      </c>
      <c r="AS3" s="1029"/>
      <c r="AT3" s="2791" t="s">
        <v>3176</v>
      </c>
      <c r="AU3" s="2792"/>
      <c r="AV3" s="2792"/>
      <c r="AW3" s="2792"/>
      <c r="AX3" s="2792"/>
      <c r="AY3" s="2792"/>
      <c r="AZ3" s="2792"/>
      <c r="BA3" s="2792"/>
      <c r="BB3" s="2792"/>
      <c r="BC3" s="2792"/>
      <c r="BD3" s="2792"/>
      <c r="BE3" s="2793"/>
      <c r="BF3" s="2791" t="s">
        <v>3175</v>
      </c>
      <c r="BG3" s="2792"/>
      <c r="BH3" s="2792"/>
      <c r="BI3" s="2793"/>
      <c r="BJ3" s="2806" t="s">
        <v>3162</v>
      </c>
      <c r="BK3" s="2807"/>
      <c r="BL3" s="2806" t="s">
        <v>3162</v>
      </c>
      <c r="BM3" s="2807"/>
      <c r="BN3" s="2801"/>
      <c r="BO3" s="2801"/>
      <c r="BP3" s="2801"/>
      <c r="BQ3" s="1025" t="s">
        <v>3162</v>
      </c>
      <c r="BR3" s="1025" t="s">
        <v>3162</v>
      </c>
      <c r="BS3" s="1025" t="s">
        <v>3162</v>
      </c>
      <c r="BT3" s="1025"/>
      <c r="BU3" s="1025" t="s">
        <v>3162</v>
      </c>
      <c r="BV3" s="1025" t="s">
        <v>3162</v>
      </c>
    </row>
    <row r="4" spans="1:74" ht="24.95" customHeight="1">
      <c r="A4" s="1028"/>
      <c r="B4" s="2794"/>
      <c r="C4" s="2795"/>
      <c r="D4" s="2810"/>
      <c r="E4" s="2810"/>
      <c r="F4" s="2811"/>
      <c r="G4" s="2811"/>
      <c r="H4" s="1032"/>
      <c r="I4" s="1031" t="s">
        <v>3174</v>
      </c>
      <c r="J4" s="1030">
        <v>1</v>
      </c>
      <c r="K4" s="1029"/>
      <c r="L4" s="2802" t="s">
        <v>3169</v>
      </c>
      <c r="M4" s="2803"/>
      <c r="N4" s="2802" t="s">
        <v>3173</v>
      </c>
      <c r="O4" s="2803"/>
      <c r="P4" s="2802" t="s">
        <v>3172</v>
      </c>
      <c r="Q4" s="2803"/>
      <c r="R4" s="2802" t="s">
        <v>3168</v>
      </c>
      <c r="S4" s="2803"/>
      <c r="T4" s="2802" t="s">
        <v>3171</v>
      </c>
      <c r="U4" s="2803"/>
      <c r="V4" s="2802" t="s">
        <v>3170</v>
      </c>
      <c r="W4" s="2803"/>
      <c r="X4" s="2802" t="s">
        <v>3169</v>
      </c>
      <c r="Y4" s="2803"/>
      <c r="Z4" s="2802" t="s">
        <v>3168</v>
      </c>
      <c r="AA4" s="2803"/>
      <c r="AB4" s="2808" t="s">
        <v>3162</v>
      </c>
      <c r="AC4" s="2809"/>
      <c r="AD4" s="2808" t="s">
        <v>3162</v>
      </c>
      <c r="AE4" s="2809"/>
      <c r="AF4" s="2801"/>
      <c r="AG4" s="2801"/>
      <c r="AH4" s="2801"/>
      <c r="AI4" s="1028"/>
      <c r="AJ4" s="2794"/>
      <c r="AK4" s="2795"/>
      <c r="AL4" s="2810"/>
      <c r="AM4" s="2810"/>
      <c r="AN4" s="2811"/>
      <c r="AO4" s="2811"/>
      <c r="AP4" s="1032"/>
      <c r="AQ4" s="1031" t="s">
        <v>3174</v>
      </c>
      <c r="AR4" s="1030">
        <v>1</v>
      </c>
      <c r="AS4" s="1029"/>
      <c r="AT4" s="2802" t="s">
        <v>3169</v>
      </c>
      <c r="AU4" s="2803"/>
      <c r="AV4" s="2802" t="s">
        <v>3173</v>
      </c>
      <c r="AW4" s="2803"/>
      <c r="AX4" s="2802" t="s">
        <v>3172</v>
      </c>
      <c r="AY4" s="2803"/>
      <c r="AZ4" s="2802" t="s">
        <v>3168</v>
      </c>
      <c r="BA4" s="2803"/>
      <c r="BB4" s="2802" t="s">
        <v>3171</v>
      </c>
      <c r="BC4" s="2803"/>
      <c r="BD4" s="2802" t="s">
        <v>3170</v>
      </c>
      <c r="BE4" s="2803"/>
      <c r="BF4" s="2802" t="s">
        <v>3169</v>
      </c>
      <c r="BG4" s="2803"/>
      <c r="BH4" s="2802" t="s">
        <v>3168</v>
      </c>
      <c r="BI4" s="2803"/>
      <c r="BJ4" s="2808" t="s">
        <v>3162</v>
      </c>
      <c r="BK4" s="2809"/>
      <c r="BL4" s="2808" t="s">
        <v>3162</v>
      </c>
      <c r="BM4" s="2809"/>
      <c r="BN4" s="2801"/>
      <c r="BO4" s="2801"/>
      <c r="BP4" s="2801"/>
      <c r="BQ4" s="1013" t="s">
        <v>3167</v>
      </c>
      <c r="BR4" s="1026" t="s">
        <v>3166</v>
      </c>
      <c r="BS4" s="1013" t="s">
        <v>3165</v>
      </c>
      <c r="BT4" s="1002" t="s">
        <v>3164</v>
      </c>
      <c r="BU4" s="1002">
        <v>7</v>
      </c>
      <c r="BV4" s="1036" t="s">
        <v>3190</v>
      </c>
    </row>
    <row r="5" spans="1:74" ht="24.95" customHeight="1">
      <c r="A5" s="1028"/>
      <c r="B5" s="1027"/>
      <c r="C5" s="2814"/>
      <c r="D5" s="2815"/>
      <c r="E5" s="2815"/>
      <c r="F5" s="2815"/>
      <c r="G5" s="2815"/>
      <c r="H5" s="2816"/>
      <c r="I5" s="2816"/>
      <c r="J5" s="2816"/>
      <c r="K5" s="2817"/>
      <c r="L5" s="2804"/>
      <c r="M5" s="2805"/>
      <c r="N5" s="2804"/>
      <c r="O5" s="2805"/>
      <c r="P5" s="2804"/>
      <c r="Q5" s="2805"/>
      <c r="R5" s="2804"/>
      <c r="S5" s="2805"/>
      <c r="T5" s="2804"/>
      <c r="U5" s="2805"/>
      <c r="V5" s="2804"/>
      <c r="W5" s="2805"/>
      <c r="X5" s="2804"/>
      <c r="Y5" s="2805"/>
      <c r="Z5" s="2804"/>
      <c r="AA5" s="2805"/>
      <c r="AB5" s="2812" t="s">
        <v>3162</v>
      </c>
      <c r="AC5" s="2813"/>
      <c r="AD5" s="2812" t="s">
        <v>3162</v>
      </c>
      <c r="AE5" s="2813"/>
      <c r="AF5" s="2801"/>
      <c r="AG5" s="2801"/>
      <c r="AH5" s="2801"/>
      <c r="AI5" s="1028"/>
      <c r="AJ5" s="1027"/>
      <c r="AK5" s="2814"/>
      <c r="AL5" s="2815"/>
      <c r="AM5" s="2815"/>
      <c r="AN5" s="2815"/>
      <c r="AO5" s="2815"/>
      <c r="AP5" s="2816"/>
      <c r="AQ5" s="2816"/>
      <c r="AR5" s="2816"/>
      <c r="AS5" s="2817"/>
      <c r="AT5" s="2804"/>
      <c r="AU5" s="2805"/>
      <c r="AV5" s="2804"/>
      <c r="AW5" s="2805"/>
      <c r="AX5" s="2804"/>
      <c r="AY5" s="2805"/>
      <c r="AZ5" s="2804"/>
      <c r="BA5" s="2805"/>
      <c r="BB5" s="2804"/>
      <c r="BC5" s="2805"/>
      <c r="BD5" s="2804"/>
      <c r="BE5" s="2805"/>
      <c r="BF5" s="2804"/>
      <c r="BG5" s="2805"/>
      <c r="BH5" s="2804"/>
      <c r="BI5" s="2805"/>
      <c r="BJ5" s="2812" t="s">
        <v>3162</v>
      </c>
      <c r="BK5" s="2813"/>
      <c r="BL5" s="2812" t="s">
        <v>3162</v>
      </c>
      <c r="BM5" s="2813"/>
      <c r="BN5" s="2801"/>
      <c r="BO5" s="2801"/>
      <c r="BP5" s="2801"/>
      <c r="BQ5" s="1026" t="s">
        <v>3161</v>
      </c>
      <c r="BR5" s="1026" t="s">
        <v>3160</v>
      </c>
      <c r="BS5" s="1013" t="s">
        <v>3159</v>
      </c>
      <c r="BT5" s="1002" t="s">
        <v>3153</v>
      </c>
      <c r="BU5" s="1002">
        <v>8</v>
      </c>
      <c r="BV5" s="1002">
        <v>15</v>
      </c>
    </row>
    <row r="6" spans="1:74" ht="9.9499999999999993" customHeight="1">
      <c r="A6" s="2818" t="s">
        <v>3145</v>
      </c>
      <c r="B6" s="2819"/>
      <c r="C6" s="2819"/>
      <c r="D6" s="2819"/>
      <c r="E6" s="2819"/>
      <c r="F6" s="2820"/>
      <c r="G6" s="2818" t="s">
        <v>3144</v>
      </c>
      <c r="H6" s="2819"/>
      <c r="I6" s="2819"/>
      <c r="J6" s="2819"/>
      <c r="K6" s="2820"/>
      <c r="L6" s="2821"/>
      <c r="M6" s="2823"/>
      <c r="N6" s="2821"/>
      <c r="O6" s="2824"/>
      <c r="P6" s="2821"/>
      <c r="Q6" s="2831"/>
      <c r="R6" s="2821"/>
      <c r="S6" s="2831"/>
      <c r="T6" s="2821"/>
      <c r="U6" s="2834"/>
      <c r="V6" s="2821"/>
      <c r="W6" s="2834"/>
      <c r="X6" s="2821"/>
      <c r="Y6" s="2831"/>
      <c r="Z6" s="2821"/>
      <c r="AA6" s="2823"/>
      <c r="AB6" s="2821"/>
      <c r="AC6" s="2823"/>
      <c r="AD6" s="2821"/>
      <c r="AE6" s="2831"/>
      <c r="AF6" s="2840"/>
      <c r="AG6" s="2841"/>
      <c r="AH6" s="2842"/>
      <c r="AI6" s="2818" t="s">
        <v>3145</v>
      </c>
      <c r="AJ6" s="2819"/>
      <c r="AK6" s="2819"/>
      <c r="AL6" s="2819"/>
      <c r="AM6" s="2819"/>
      <c r="AN6" s="2820"/>
      <c r="AO6" s="2818" t="s">
        <v>3144</v>
      </c>
      <c r="AP6" s="2819"/>
      <c r="AQ6" s="2819"/>
      <c r="AR6" s="2819"/>
      <c r="AS6" s="2820"/>
      <c r="AT6" s="2821"/>
      <c r="AU6" s="2823"/>
      <c r="AV6" s="2821"/>
      <c r="AW6" s="2824"/>
      <c r="AX6" s="2821"/>
      <c r="AY6" s="2831"/>
      <c r="AZ6" s="2821"/>
      <c r="BA6" s="2831"/>
      <c r="BB6" s="2821"/>
      <c r="BC6" s="2834"/>
      <c r="BD6" s="2821"/>
      <c r="BE6" s="2834"/>
      <c r="BF6" s="2821"/>
      <c r="BG6" s="2831"/>
      <c r="BH6" s="2821">
        <v>5</v>
      </c>
      <c r="BI6" s="2823"/>
      <c r="BJ6" s="2821"/>
      <c r="BK6" s="2823"/>
      <c r="BL6" s="2821"/>
      <c r="BM6" s="2831"/>
      <c r="BN6" s="2840" t="s">
        <v>3158</v>
      </c>
      <c r="BO6" s="2841"/>
      <c r="BP6" s="2842"/>
      <c r="BQ6" s="1025"/>
      <c r="BR6" s="1025"/>
      <c r="BS6" s="1025" t="s">
        <v>3189</v>
      </c>
      <c r="BT6" s="1002" t="s">
        <v>3157</v>
      </c>
      <c r="BU6" s="1002">
        <v>9</v>
      </c>
      <c r="BV6" s="1002">
        <v>30</v>
      </c>
    </row>
    <row r="7" spans="1:74" ht="19.5" customHeight="1">
      <c r="A7" s="2850"/>
      <c r="B7" s="2851"/>
      <c r="C7" s="2851"/>
      <c r="D7" s="2851"/>
      <c r="E7" s="2851"/>
      <c r="F7" s="2852"/>
      <c r="G7" s="2853">
        <f>'01 使用承認申請書'!D4</f>
        <v>0</v>
      </c>
      <c r="H7" s="2854"/>
      <c r="I7" s="2854"/>
      <c r="J7" s="2854"/>
      <c r="K7" s="2855"/>
      <c r="L7" s="2822"/>
      <c r="M7" s="2823"/>
      <c r="N7" s="2822"/>
      <c r="O7" s="2824"/>
      <c r="P7" s="2822"/>
      <c r="Q7" s="2832"/>
      <c r="R7" s="2822"/>
      <c r="S7" s="2832"/>
      <c r="T7" s="2822"/>
      <c r="U7" s="2835"/>
      <c r="V7" s="2822"/>
      <c r="W7" s="2835"/>
      <c r="X7" s="2822"/>
      <c r="Y7" s="2832"/>
      <c r="Z7" s="2822"/>
      <c r="AA7" s="2823"/>
      <c r="AB7" s="2822"/>
      <c r="AC7" s="2823"/>
      <c r="AD7" s="2822"/>
      <c r="AE7" s="2832"/>
      <c r="AF7" s="2843"/>
      <c r="AG7" s="2844"/>
      <c r="AH7" s="2845"/>
      <c r="AI7" s="2856" t="s">
        <v>3157</v>
      </c>
      <c r="AJ7" s="2857"/>
      <c r="AK7" s="2857"/>
      <c r="AL7" s="2857"/>
      <c r="AM7" s="2857"/>
      <c r="AN7" s="2858"/>
      <c r="AO7" s="2859" t="s">
        <v>3155</v>
      </c>
      <c r="AP7" s="2860"/>
      <c r="AQ7" s="2860"/>
      <c r="AR7" s="2860"/>
      <c r="AS7" s="2861"/>
      <c r="AT7" s="2822"/>
      <c r="AU7" s="2823"/>
      <c r="AV7" s="2822"/>
      <c r="AW7" s="2824"/>
      <c r="AX7" s="2822"/>
      <c r="AY7" s="2832"/>
      <c r="AZ7" s="2822"/>
      <c r="BA7" s="2832"/>
      <c r="BB7" s="2822"/>
      <c r="BC7" s="2835"/>
      <c r="BD7" s="2822"/>
      <c r="BE7" s="2835"/>
      <c r="BF7" s="2822"/>
      <c r="BG7" s="2832"/>
      <c r="BH7" s="2822"/>
      <c r="BI7" s="2823"/>
      <c r="BJ7" s="2822"/>
      <c r="BK7" s="2823"/>
      <c r="BL7" s="2822"/>
      <c r="BM7" s="2832"/>
      <c r="BN7" s="2843"/>
      <c r="BO7" s="2844"/>
      <c r="BP7" s="2845"/>
      <c r="BQ7" s="1025"/>
      <c r="BR7" s="1025"/>
      <c r="BS7" s="1025"/>
      <c r="BT7" s="1002" t="s">
        <v>3186</v>
      </c>
      <c r="BU7" s="1002">
        <v>10</v>
      </c>
      <c r="BV7" s="1002">
        <v>45</v>
      </c>
    </row>
    <row r="8" spans="1:74" ht="9.9499999999999993" customHeight="1">
      <c r="A8" s="2825" t="s">
        <v>3143</v>
      </c>
      <c r="B8" s="2826"/>
      <c r="C8" s="2849"/>
      <c r="D8" s="2826" t="s">
        <v>3142</v>
      </c>
      <c r="E8" s="2826"/>
      <c r="F8" s="2827"/>
      <c r="G8" s="2825" t="s">
        <v>3141</v>
      </c>
      <c r="H8" s="2826"/>
      <c r="I8" s="2826"/>
      <c r="J8" s="2826"/>
      <c r="K8" s="2827"/>
      <c r="L8" s="2822"/>
      <c r="M8" s="2823"/>
      <c r="N8" s="2822"/>
      <c r="O8" s="2824"/>
      <c r="P8" s="2822"/>
      <c r="Q8" s="2832"/>
      <c r="R8" s="2822"/>
      <c r="S8" s="2832"/>
      <c r="T8" s="2822"/>
      <c r="U8" s="2835"/>
      <c r="V8" s="2822"/>
      <c r="W8" s="2835"/>
      <c r="X8" s="2822"/>
      <c r="Y8" s="2832"/>
      <c r="Z8" s="2822"/>
      <c r="AA8" s="2823"/>
      <c r="AB8" s="2822"/>
      <c r="AC8" s="2823"/>
      <c r="AD8" s="2822"/>
      <c r="AE8" s="2832"/>
      <c r="AF8" s="2843"/>
      <c r="AG8" s="2844"/>
      <c r="AH8" s="2845"/>
      <c r="AI8" s="2825" t="s">
        <v>3143</v>
      </c>
      <c r="AJ8" s="2826"/>
      <c r="AK8" s="2849"/>
      <c r="AL8" s="2826" t="s">
        <v>3142</v>
      </c>
      <c r="AM8" s="2826"/>
      <c r="AN8" s="2827"/>
      <c r="AO8" s="2825" t="s">
        <v>3141</v>
      </c>
      <c r="AP8" s="2826"/>
      <c r="AQ8" s="2826"/>
      <c r="AR8" s="2826"/>
      <c r="AS8" s="2827"/>
      <c r="AT8" s="2822"/>
      <c r="AU8" s="2823"/>
      <c r="AV8" s="2822"/>
      <c r="AW8" s="2824"/>
      <c r="AX8" s="2822"/>
      <c r="AY8" s="2832"/>
      <c r="AZ8" s="2822"/>
      <c r="BA8" s="2832"/>
      <c r="BB8" s="2822"/>
      <c r="BC8" s="2835"/>
      <c r="BD8" s="2822"/>
      <c r="BE8" s="2835"/>
      <c r="BF8" s="2822"/>
      <c r="BG8" s="2832"/>
      <c r="BH8" s="2822"/>
      <c r="BI8" s="2823"/>
      <c r="BJ8" s="2822"/>
      <c r="BK8" s="2823"/>
      <c r="BL8" s="2822"/>
      <c r="BM8" s="2832"/>
      <c r="BN8" s="2843"/>
      <c r="BO8" s="2844"/>
      <c r="BP8" s="2845"/>
      <c r="BQ8" s="1025"/>
      <c r="BR8" s="1025"/>
      <c r="BS8" s="1025"/>
      <c r="BU8" s="1002">
        <v>11</v>
      </c>
    </row>
    <row r="9" spans="1:74" ht="20.100000000000001" customHeight="1">
      <c r="A9" s="1083"/>
      <c r="B9" s="1084" t="s">
        <v>3140</v>
      </c>
      <c r="C9" s="1085"/>
      <c r="D9" s="1086"/>
      <c r="E9" s="1084" t="s">
        <v>3140</v>
      </c>
      <c r="F9" s="1087"/>
      <c r="G9" s="2828"/>
      <c r="H9" s="2829"/>
      <c r="I9" s="2829"/>
      <c r="J9" s="2829"/>
      <c r="K9" s="2830"/>
      <c r="L9" s="1007" t="s">
        <v>3139</v>
      </c>
      <c r="M9" s="2823"/>
      <c r="N9" s="1007" t="s">
        <v>3139</v>
      </c>
      <c r="O9" s="2824"/>
      <c r="P9" s="1007" t="s">
        <v>3139</v>
      </c>
      <c r="Q9" s="2833"/>
      <c r="R9" s="1007" t="s">
        <v>3139</v>
      </c>
      <c r="S9" s="2833"/>
      <c r="T9" s="1007" t="s">
        <v>3139</v>
      </c>
      <c r="U9" s="2836"/>
      <c r="V9" s="1007" t="s">
        <v>3139</v>
      </c>
      <c r="W9" s="2836"/>
      <c r="X9" s="1007" t="s">
        <v>3139</v>
      </c>
      <c r="Y9" s="2833"/>
      <c r="Z9" s="1007" t="s">
        <v>3139</v>
      </c>
      <c r="AA9" s="2823"/>
      <c r="AB9" s="1007" t="s">
        <v>3139</v>
      </c>
      <c r="AC9" s="2823"/>
      <c r="AD9" s="1007" t="s">
        <v>3139</v>
      </c>
      <c r="AE9" s="2833"/>
      <c r="AF9" s="2846"/>
      <c r="AG9" s="2847"/>
      <c r="AH9" s="2848"/>
      <c r="AI9" s="1011">
        <v>9</v>
      </c>
      <c r="AJ9" s="1005" t="s">
        <v>3140</v>
      </c>
      <c r="AK9" s="1010">
        <v>30</v>
      </c>
      <c r="AL9" s="1009">
        <v>10</v>
      </c>
      <c r="AM9" s="1005" t="s">
        <v>3140</v>
      </c>
      <c r="AN9" s="1008">
        <v>30</v>
      </c>
      <c r="AO9" s="2837" t="s">
        <v>3154</v>
      </c>
      <c r="AP9" s="2838"/>
      <c r="AQ9" s="2838"/>
      <c r="AR9" s="2838"/>
      <c r="AS9" s="2839"/>
      <c r="AT9" s="1007" t="s">
        <v>3139</v>
      </c>
      <c r="AU9" s="2823"/>
      <c r="AV9" s="1007" t="s">
        <v>3139</v>
      </c>
      <c r="AW9" s="2824"/>
      <c r="AX9" s="1007" t="s">
        <v>3139</v>
      </c>
      <c r="AY9" s="2833"/>
      <c r="AZ9" s="1007" t="s">
        <v>3139</v>
      </c>
      <c r="BA9" s="2833"/>
      <c r="BB9" s="1007" t="s">
        <v>3139</v>
      </c>
      <c r="BC9" s="2836"/>
      <c r="BD9" s="1007" t="s">
        <v>3139</v>
      </c>
      <c r="BE9" s="2836"/>
      <c r="BF9" s="1007" t="s">
        <v>3139</v>
      </c>
      <c r="BG9" s="2833"/>
      <c r="BH9" s="1007" t="s">
        <v>3139</v>
      </c>
      <c r="BI9" s="2823"/>
      <c r="BJ9" s="1007" t="s">
        <v>3139</v>
      </c>
      <c r="BK9" s="2823"/>
      <c r="BL9" s="1007" t="s">
        <v>3139</v>
      </c>
      <c r="BM9" s="2833"/>
      <c r="BN9" s="2846"/>
      <c r="BO9" s="2847"/>
      <c r="BP9" s="2848"/>
      <c r="BQ9" s="1025"/>
      <c r="BR9" s="1025"/>
      <c r="BS9" s="1025"/>
      <c r="BU9" s="1002">
        <v>12</v>
      </c>
    </row>
    <row r="10" spans="1:74" ht="9.9499999999999993" customHeight="1">
      <c r="A10" s="2818" t="s">
        <v>3145</v>
      </c>
      <c r="B10" s="2819"/>
      <c r="C10" s="2819"/>
      <c r="D10" s="2819"/>
      <c r="E10" s="2819"/>
      <c r="F10" s="2820"/>
      <c r="G10" s="2818" t="s">
        <v>3144</v>
      </c>
      <c r="H10" s="2819"/>
      <c r="I10" s="2819"/>
      <c r="J10" s="2819"/>
      <c r="K10" s="2820"/>
      <c r="L10" s="2821"/>
      <c r="M10" s="2823"/>
      <c r="N10" s="2821"/>
      <c r="O10" s="2824"/>
      <c r="P10" s="2821"/>
      <c r="Q10" s="2831"/>
      <c r="R10" s="2821"/>
      <c r="S10" s="2831"/>
      <c r="T10" s="2821"/>
      <c r="U10" s="2834"/>
      <c r="V10" s="2821"/>
      <c r="W10" s="2834"/>
      <c r="X10" s="2821"/>
      <c r="Y10" s="2831"/>
      <c r="Z10" s="2821"/>
      <c r="AA10" s="2823"/>
      <c r="AB10" s="2821"/>
      <c r="AC10" s="2823"/>
      <c r="AD10" s="2821"/>
      <c r="AE10" s="2831"/>
      <c r="AF10" s="2840"/>
      <c r="AG10" s="2841"/>
      <c r="AH10" s="2842"/>
      <c r="AI10" s="2818" t="s">
        <v>3145</v>
      </c>
      <c r="AJ10" s="2819"/>
      <c r="AK10" s="2819"/>
      <c r="AL10" s="2819"/>
      <c r="AM10" s="2819"/>
      <c r="AN10" s="2820"/>
      <c r="AO10" s="2818" t="s">
        <v>3144</v>
      </c>
      <c r="AP10" s="2819"/>
      <c r="AQ10" s="2819"/>
      <c r="AR10" s="2819"/>
      <c r="AS10" s="2820"/>
      <c r="AT10" s="2821">
        <v>3</v>
      </c>
      <c r="AU10" s="2823"/>
      <c r="AV10" s="2821"/>
      <c r="AW10" s="2824"/>
      <c r="AX10" s="2821"/>
      <c r="AY10" s="2831"/>
      <c r="AZ10" s="2821"/>
      <c r="BA10" s="2831"/>
      <c r="BB10" s="2821"/>
      <c r="BC10" s="2834"/>
      <c r="BD10" s="2821"/>
      <c r="BE10" s="2834"/>
      <c r="BF10" s="2821"/>
      <c r="BG10" s="2831"/>
      <c r="BH10" s="2821"/>
      <c r="BI10" s="2823"/>
      <c r="BJ10" s="2821"/>
      <c r="BK10" s="2823"/>
      <c r="BL10" s="2821"/>
      <c r="BM10" s="2831"/>
      <c r="BN10" s="2840"/>
      <c r="BO10" s="2841"/>
      <c r="BP10" s="2842"/>
      <c r="BU10" s="1002">
        <v>13</v>
      </c>
    </row>
    <row r="11" spans="1:74" ht="20.100000000000001" customHeight="1">
      <c r="A11" s="2850"/>
      <c r="B11" s="2851"/>
      <c r="C11" s="2851"/>
      <c r="D11" s="2851"/>
      <c r="E11" s="2851"/>
      <c r="F11" s="2852"/>
      <c r="G11" s="2853">
        <f>$G$7</f>
        <v>0</v>
      </c>
      <c r="H11" s="2854"/>
      <c r="I11" s="2854"/>
      <c r="J11" s="2854"/>
      <c r="K11" s="2855"/>
      <c r="L11" s="2822"/>
      <c r="M11" s="2823"/>
      <c r="N11" s="2822"/>
      <c r="O11" s="2824"/>
      <c r="P11" s="2822"/>
      <c r="Q11" s="2832"/>
      <c r="R11" s="2822"/>
      <c r="S11" s="2832"/>
      <c r="T11" s="2822"/>
      <c r="U11" s="2835"/>
      <c r="V11" s="2822"/>
      <c r="W11" s="2835"/>
      <c r="X11" s="2822"/>
      <c r="Y11" s="2832"/>
      <c r="Z11" s="2822"/>
      <c r="AA11" s="2823"/>
      <c r="AB11" s="2822"/>
      <c r="AC11" s="2823"/>
      <c r="AD11" s="2822"/>
      <c r="AE11" s="2832"/>
      <c r="AF11" s="2843"/>
      <c r="AG11" s="2844"/>
      <c r="AH11" s="2845"/>
      <c r="AI11" s="2856" t="s">
        <v>3164</v>
      </c>
      <c r="AJ11" s="2857"/>
      <c r="AK11" s="2857"/>
      <c r="AL11" s="2857"/>
      <c r="AM11" s="2857"/>
      <c r="AN11" s="2858"/>
      <c r="AO11" s="2859" t="s">
        <v>3155</v>
      </c>
      <c r="AP11" s="2860"/>
      <c r="AQ11" s="2860"/>
      <c r="AR11" s="2860"/>
      <c r="AS11" s="2861"/>
      <c r="AT11" s="2822"/>
      <c r="AU11" s="2823"/>
      <c r="AV11" s="2822"/>
      <c r="AW11" s="2824"/>
      <c r="AX11" s="2822"/>
      <c r="AY11" s="2832"/>
      <c r="AZ11" s="2822"/>
      <c r="BA11" s="2832"/>
      <c r="BB11" s="2822"/>
      <c r="BC11" s="2835"/>
      <c r="BD11" s="2822"/>
      <c r="BE11" s="2835"/>
      <c r="BF11" s="2822"/>
      <c r="BG11" s="2832"/>
      <c r="BH11" s="2822"/>
      <c r="BI11" s="2823"/>
      <c r="BJ11" s="2822"/>
      <c r="BK11" s="2823"/>
      <c r="BL11" s="2822"/>
      <c r="BM11" s="2832"/>
      <c r="BN11" s="2843"/>
      <c r="BO11" s="2844"/>
      <c r="BP11" s="2845"/>
      <c r="BU11" s="1002">
        <v>14</v>
      </c>
    </row>
    <row r="12" spans="1:74" ht="9.9499999999999993" customHeight="1">
      <c r="A12" s="2825" t="s">
        <v>3143</v>
      </c>
      <c r="B12" s="2826"/>
      <c r="C12" s="2849"/>
      <c r="D12" s="2826" t="s">
        <v>3142</v>
      </c>
      <c r="E12" s="2826"/>
      <c r="F12" s="2827"/>
      <c r="G12" s="2825" t="s">
        <v>3141</v>
      </c>
      <c r="H12" s="2826"/>
      <c r="I12" s="2826"/>
      <c r="J12" s="2826"/>
      <c r="K12" s="2827"/>
      <c r="L12" s="2822"/>
      <c r="M12" s="2823"/>
      <c r="N12" s="2822"/>
      <c r="O12" s="2824"/>
      <c r="P12" s="2822"/>
      <c r="Q12" s="2832"/>
      <c r="R12" s="2822"/>
      <c r="S12" s="2832"/>
      <c r="T12" s="2822"/>
      <c r="U12" s="2835"/>
      <c r="V12" s="2822"/>
      <c r="W12" s="2835"/>
      <c r="X12" s="2822"/>
      <c r="Y12" s="2832"/>
      <c r="Z12" s="2822"/>
      <c r="AA12" s="2823"/>
      <c r="AB12" s="2822"/>
      <c r="AC12" s="2823"/>
      <c r="AD12" s="2822"/>
      <c r="AE12" s="2832"/>
      <c r="AF12" s="2843"/>
      <c r="AG12" s="2844"/>
      <c r="AH12" s="2845"/>
      <c r="AI12" s="2825" t="s">
        <v>3143</v>
      </c>
      <c r="AJ12" s="2826"/>
      <c r="AK12" s="2849"/>
      <c r="AL12" s="2826" t="s">
        <v>3142</v>
      </c>
      <c r="AM12" s="2826"/>
      <c r="AN12" s="2827"/>
      <c r="AO12" s="2825" t="s">
        <v>3141</v>
      </c>
      <c r="AP12" s="2826"/>
      <c r="AQ12" s="2826"/>
      <c r="AR12" s="2826"/>
      <c r="AS12" s="2827"/>
      <c r="AT12" s="2822"/>
      <c r="AU12" s="2823"/>
      <c r="AV12" s="2822"/>
      <c r="AW12" s="2824"/>
      <c r="AX12" s="2822"/>
      <c r="AY12" s="2832"/>
      <c r="AZ12" s="2822"/>
      <c r="BA12" s="2832"/>
      <c r="BB12" s="2822"/>
      <c r="BC12" s="2835"/>
      <c r="BD12" s="2822"/>
      <c r="BE12" s="2835"/>
      <c r="BF12" s="2822"/>
      <c r="BG12" s="2832"/>
      <c r="BH12" s="2822"/>
      <c r="BI12" s="2823"/>
      <c r="BJ12" s="2822"/>
      <c r="BK12" s="2823"/>
      <c r="BL12" s="2822"/>
      <c r="BM12" s="2832"/>
      <c r="BN12" s="2843"/>
      <c r="BO12" s="2844"/>
      <c r="BP12" s="2845"/>
      <c r="BU12" s="1002">
        <v>15</v>
      </c>
    </row>
    <row r="13" spans="1:74" ht="19.5" customHeight="1">
      <c r="A13" s="1083"/>
      <c r="B13" s="1084" t="s">
        <v>3140</v>
      </c>
      <c r="C13" s="1085"/>
      <c r="D13" s="1086"/>
      <c r="E13" s="1084" t="s">
        <v>3140</v>
      </c>
      <c r="F13" s="1087"/>
      <c r="G13" s="2862"/>
      <c r="H13" s="2863"/>
      <c r="I13" s="2863"/>
      <c r="J13" s="2863"/>
      <c r="K13" s="2864"/>
      <c r="L13" s="1007" t="s">
        <v>3139</v>
      </c>
      <c r="M13" s="2823"/>
      <c r="N13" s="1007" t="s">
        <v>3139</v>
      </c>
      <c r="O13" s="2824"/>
      <c r="P13" s="1007" t="s">
        <v>3139</v>
      </c>
      <c r="Q13" s="2833"/>
      <c r="R13" s="1007" t="s">
        <v>3139</v>
      </c>
      <c r="S13" s="2833"/>
      <c r="T13" s="1007" t="s">
        <v>3139</v>
      </c>
      <c r="U13" s="2836"/>
      <c r="V13" s="1007" t="s">
        <v>3139</v>
      </c>
      <c r="W13" s="2836"/>
      <c r="X13" s="1007" t="s">
        <v>3139</v>
      </c>
      <c r="Y13" s="2833"/>
      <c r="Z13" s="1007" t="s">
        <v>3139</v>
      </c>
      <c r="AA13" s="2823"/>
      <c r="AB13" s="1007" t="s">
        <v>3139</v>
      </c>
      <c r="AC13" s="2823"/>
      <c r="AD13" s="1007" t="s">
        <v>3139</v>
      </c>
      <c r="AE13" s="2833"/>
      <c r="AF13" s="2846"/>
      <c r="AG13" s="2847"/>
      <c r="AH13" s="2848"/>
      <c r="AI13" s="1011">
        <v>9</v>
      </c>
      <c r="AJ13" s="1005" t="s">
        <v>3140</v>
      </c>
      <c r="AK13" s="1010">
        <v>30</v>
      </c>
      <c r="AL13" s="1009">
        <v>10</v>
      </c>
      <c r="AM13" s="1005" t="s">
        <v>3140</v>
      </c>
      <c r="AN13" s="1008">
        <v>30</v>
      </c>
      <c r="AO13" s="2865" t="s">
        <v>3188</v>
      </c>
      <c r="AP13" s="2866"/>
      <c r="AQ13" s="2866"/>
      <c r="AR13" s="2866"/>
      <c r="AS13" s="2867"/>
      <c r="AT13" s="1007" t="s">
        <v>3139</v>
      </c>
      <c r="AU13" s="2823"/>
      <c r="AV13" s="1007" t="s">
        <v>3139</v>
      </c>
      <c r="AW13" s="2824"/>
      <c r="AX13" s="1007" t="s">
        <v>3139</v>
      </c>
      <c r="AY13" s="2833"/>
      <c r="AZ13" s="1007" t="s">
        <v>3139</v>
      </c>
      <c r="BA13" s="2833"/>
      <c r="BB13" s="1007" t="s">
        <v>3139</v>
      </c>
      <c r="BC13" s="2836"/>
      <c r="BD13" s="1007" t="s">
        <v>3139</v>
      </c>
      <c r="BE13" s="2836"/>
      <c r="BF13" s="1007" t="s">
        <v>3139</v>
      </c>
      <c r="BG13" s="2833"/>
      <c r="BH13" s="1007" t="s">
        <v>3139</v>
      </c>
      <c r="BI13" s="2823"/>
      <c r="BJ13" s="1007" t="s">
        <v>3139</v>
      </c>
      <c r="BK13" s="2823"/>
      <c r="BL13" s="1007" t="s">
        <v>3139</v>
      </c>
      <c r="BM13" s="2833"/>
      <c r="BN13" s="2846"/>
      <c r="BO13" s="2847"/>
      <c r="BP13" s="2848"/>
      <c r="BU13" s="1002">
        <v>16</v>
      </c>
    </row>
    <row r="14" spans="1:74" ht="9.9499999999999993" customHeight="1">
      <c r="A14" s="2818" t="s">
        <v>3145</v>
      </c>
      <c r="B14" s="2819"/>
      <c r="C14" s="2819"/>
      <c r="D14" s="2819"/>
      <c r="E14" s="2819"/>
      <c r="F14" s="2820"/>
      <c r="G14" s="2818" t="s">
        <v>3144</v>
      </c>
      <c r="H14" s="2819"/>
      <c r="I14" s="2819"/>
      <c r="J14" s="2819"/>
      <c r="K14" s="2820"/>
      <c r="L14" s="2821"/>
      <c r="M14" s="2823"/>
      <c r="N14" s="2821"/>
      <c r="O14" s="2824"/>
      <c r="P14" s="2821"/>
      <c r="Q14" s="2831"/>
      <c r="R14" s="2821"/>
      <c r="S14" s="2831"/>
      <c r="T14" s="2821"/>
      <c r="U14" s="2834"/>
      <c r="V14" s="2821"/>
      <c r="W14" s="2834"/>
      <c r="X14" s="2821"/>
      <c r="Y14" s="2831"/>
      <c r="Z14" s="2821"/>
      <c r="AA14" s="2823"/>
      <c r="AB14" s="2821"/>
      <c r="AC14" s="2823"/>
      <c r="AD14" s="2821"/>
      <c r="AE14" s="2831"/>
      <c r="AF14" s="2840"/>
      <c r="AG14" s="2841"/>
      <c r="AH14" s="2842"/>
      <c r="AI14" s="2818" t="s">
        <v>3145</v>
      </c>
      <c r="AJ14" s="2819"/>
      <c r="AK14" s="2819"/>
      <c r="AL14" s="2819"/>
      <c r="AM14" s="2819"/>
      <c r="AN14" s="2820"/>
      <c r="AO14" s="2818" t="s">
        <v>3144</v>
      </c>
      <c r="AP14" s="2819"/>
      <c r="AQ14" s="2819"/>
      <c r="AR14" s="2819"/>
      <c r="AS14" s="2820"/>
      <c r="AT14" s="2821">
        <v>1</v>
      </c>
      <c r="AU14" s="2823"/>
      <c r="AV14" s="2821"/>
      <c r="AW14" s="2824"/>
      <c r="AX14" s="2821"/>
      <c r="AY14" s="2831"/>
      <c r="AZ14" s="2821"/>
      <c r="BA14" s="2831"/>
      <c r="BB14" s="2821"/>
      <c r="BC14" s="2834"/>
      <c r="BD14" s="2821"/>
      <c r="BE14" s="2834"/>
      <c r="BF14" s="2821"/>
      <c r="BG14" s="2831"/>
      <c r="BH14" s="2821"/>
      <c r="BI14" s="2823"/>
      <c r="BJ14" s="2821"/>
      <c r="BK14" s="2823"/>
      <c r="BL14" s="2821"/>
      <c r="BM14" s="2831"/>
      <c r="BN14" s="2840"/>
      <c r="BO14" s="2841"/>
      <c r="BP14" s="2842"/>
      <c r="BU14" s="1002">
        <v>17</v>
      </c>
    </row>
    <row r="15" spans="1:74" ht="20.100000000000001" customHeight="1">
      <c r="A15" s="2850"/>
      <c r="B15" s="2851"/>
      <c r="C15" s="2851"/>
      <c r="D15" s="2851"/>
      <c r="E15" s="2851"/>
      <c r="F15" s="2852"/>
      <c r="G15" s="2853">
        <f>$G$7</f>
        <v>0</v>
      </c>
      <c r="H15" s="2854"/>
      <c r="I15" s="2854"/>
      <c r="J15" s="2854"/>
      <c r="K15" s="2855"/>
      <c r="L15" s="2822"/>
      <c r="M15" s="2823"/>
      <c r="N15" s="2822"/>
      <c r="O15" s="2824"/>
      <c r="P15" s="2822"/>
      <c r="Q15" s="2832"/>
      <c r="R15" s="2822"/>
      <c r="S15" s="2832"/>
      <c r="T15" s="2822"/>
      <c r="U15" s="2835"/>
      <c r="V15" s="2822"/>
      <c r="W15" s="2835"/>
      <c r="X15" s="2822"/>
      <c r="Y15" s="2832"/>
      <c r="Z15" s="2822"/>
      <c r="AA15" s="2823"/>
      <c r="AB15" s="2822"/>
      <c r="AC15" s="2823"/>
      <c r="AD15" s="2822"/>
      <c r="AE15" s="2832"/>
      <c r="AF15" s="2843"/>
      <c r="AG15" s="2844"/>
      <c r="AH15" s="2845"/>
      <c r="AI15" s="2856" t="s">
        <v>3153</v>
      </c>
      <c r="AJ15" s="2857"/>
      <c r="AK15" s="2857"/>
      <c r="AL15" s="2857"/>
      <c r="AM15" s="2857"/>
      <c r="AN15" s="2858"/>
      <c r="AO15" s="2859" t="s">
        <v>3155</v>
      </c>
      <c r="AP15" s="2860"/>
      <c r="AQ15" s="2860"/>
      <c r="AR15" s="2860"/>
      <c r="AS15" s="2861"/>
      <c r="AT15" s="2822"/>
      <c r="AU15" s="2823"/>
      <c r="AV15" s="2822"/>
      <c r="AW15" s="2824"/>
      <c r="AX15" s="2822"/>
      <c r="AY15" s="2832"/>
      <c r="AZ15" s="2822"/>
      <c r="BA15" s="2832"/>
      <c r="BB15" s="2822"/>
      <c r="BC15" s="2835"/>
      <c r="BD15" s="2822"/>
      <c r="BE15" s="2835"/>
      <c r="BF15" s="2822"/>
      <c r="BG15" s="2832"/>
      <c r="BH15" s="2822"/>
      <c r="BI15" s="2823"/>
      <c r="BJ15" s="2822"/>
      <c r="BK15" s="2823"/>
      <c r="BL15" s="2822"/>
      <c r="BM15" s="2832"/>
      <c r="BN15" s="2843"/>
      <c r="BO15" s="2844"/>
      <c r="BP15" s="2845"/>
      <c r="BU15" s="1002">
        <v>18</v>
      </c>
    </row>
    <row r="16" spans="1:74" ht="9.9499999999999993" customHeight="1">
      <c r="A16" s="2825" t="s">
        <v>3143</v>
      </c>
      <c r="B16" s="2826"/>
      <c r="C16" s="2849"/>
      <c r="D16" s="2826" t="s">
        <v>3142</v>
      </c>
      <c r="E16" s="2826"/>
      <c r="F16" s="2827"/>
      <c r="G16" s="2825" t="s">
        <v>3141</v>
      </c>
      <c r="H16" s="2826"/>
      <c r="I16" s="2826"/>
      <c r="J16" s="2826"/>
      <c r="K16" s="2827"/>
      <c r="L16" s="2822"/>
      <c r="M16" s="2823"/>
      <c r="N16" s="2822"/>
      <c r="O16" s="2824"/>
      <c r="P16" s="2822"/>
      <c r="Q16" s="2832"/>
      <c r="R16" s="2822"/>
      <c r="S16" s="2832"/>
      <c r="T16" s="2822"/>
      <c r="U16" s="2835"/>
      <c r="V16" s="2822"/>
      <c r="W16" s="2835"/>
      <c r="X16" s="2822"/>
      <c r="Y16" s="2832"/>
      <c r="Z16" s="2822"/>
      <c r="AA16" s="2823"/>
      <c r="AB16" s="2822"/>
      <c r="AC16" s="2823"/>
      <c r="AD16" s="2822"/>
      <c r="AE16" s="2832"/>
      <c r="AF16" s="2843"/>
      <c r="AG16" s="2844"/>
      <c r="AH16" s="2845"/>
      <c r="AI16" s="2825" t="s">
        <v>3143</v>
      </c>
      <c r="AJ16" s="2826"/>
      <c r="AK16" s="2849"/>
      <c r="AL16" s="2826" t="s">
        <v>3142</v>
      </c>
      <c r="AM16" s="2826"/>
      <c r="AN16" s="2827"/>
      <c r="AO16" s="2825" t="s">
        <v>3141</v>
      </c>
      <c r="AP16" s="2826"/>
      <c r="AQ16" s="2826"/>
      <c r="AR16" s="2826"/>
      <c r="AS16" s="2827"/>
      <c r="AT16" s="2822"/>
      <c r="AU16" s="2823"/>
      <c r="AV16" s="2822"/>
      <c r="AW16" s="2824"/>
      <c r="AX16" s="2822"/>
      <c r="AY16" s="2832"/>
      <c r="AZ16" s="2822"/>
      <c r="BA16" s="2832"/>
      <c r="BB16" s="2822"/>
      <c r="BC16" s="2835"/>
      <c r="BD16" s="2822"/>
      <c r="BE16" s="2835"/>
      <c r="BF16" s="2822"/>
      <c r="BG16" s="2832"/>
      <c r="BH16" s="2822"/>
      <c r="BI16" s="2823"/>
      <c r="BJ16" s="2822"/>
      <c r="BK16" s="2823"/>
      <c r="BL16" s="2822"/>
      <c r="BM16" s="2832"/>
      <c r="BN16" s="2843"/>
      <c r="BO16" s="2844"/>
      <c r="BP16" s="2845"/>
      <c r="BU16" s="1002">
        <v>19</v>
      </c>
    </row>
    <row r="17" spans="1:73" ht="20.100000000000001" customHeight="1">
      <c r="A17" s="1083"/>
      <c r="B17" s="1084" t="s">
        <v>3140</v>
      </c>
      <c r="C17" s="1085"/>
      <c r="D17" s="1086"/>
      <c r="E17" s="1084" t="s">
        <v>3140</v>
      </c>
      <c r="F17" s="1087"/>
      <c r="G17" s="2828"/>
      <c r="H17" s="2829"/>
      <c r="I17" s="2829"/>
      <c r="J17" s="2829"/>
      <c r="K17" s="2830"/>
      <c r="L17" s="1007" t="s">
        <v>3139</v>
      </c>
      <c r="M17" s="2823"/>
      <c r="N17" s="1007" t="s">
        <v>3139</v>
      </c>
      <c r="O17" s="2824"/>
      <c r="P17" s="1007" t="s">
        <v>3139</v>
      </c>
      <c r="Q17" s="2833"/>
      <c r="R17" s="1007" t="s">
        <v>3139</v>
      </c>
      <c r="S17" s="2833"/>
      <c r="T17" s="1007" t="s">
        <v>3139</v>
      </c>
      <c r="U17" s="2836"/>
      <c r="V17" s="1007" t="s">
        <v>3139</v>
      </c>
      <c r="W17" s="2836"/>
      <c r="X17" s="1007" t="s">
        <v>3139</v>
      </c>
      <c r="Y17" s="2833"/>
      <c r="Z17" s="1007" t="s">
        <v>3139</v>
      </c>
      <c r="AA17" s="2823"/>
      <c r="AB17" s="1007" t="s">
        <v>3139</v>
      </c>
      <c r="AC17" s="2823"/>
      <c r="AD17" s="1007" t="s">
        <v>3139</v>
      </c>
      <c r="AE17" s="2833"/>
      <c r="AF17" s="2846"/>
      <c r="AG17" s="2847"/>
      <c r="AH17" s="2848"/>
      <c r="AI17" s="1011">
        <v>12</v>
      </c>
      <c r="AJ17" s="1005" t="s">
        <v>3140</v>
      </c>
      <c r="AK17" s="1010">
        <v>30</v>
      </c>
      <c r="AL17" s="1009">
        <v>17</v>
      </c>
      <c r="AM17" s="1005" t="s">
        <v>3140</v>
      </c>
      <c r="AN17" s="1008">
        <v>30</v>
      </c>
      <c r="AO17" s="2837" t="s">
        <v>3187</v>
      </c>
      <c r="AP17" s="2838"/>
      <c r="AQ17" s="2838"/>
      <c r="AR17" s="2838"/>
      <c r="AS17" s="2839"/>
      <c r="AT17" s="1007" t="s">
        <v>3139</v>
      </c>
      <c r="AU17" s="2823"/>
      <c r="AV17" s="1007" t="s">
        <v>3139</v>
      </c>
      <c r="AW17" s="2824"/>
      <c r="AX17" s="1007" t="s">
        <v>3139</v>
      </c>
      <c r="AY17" s="2833"/>
      <c r="AZ17" s="1007" t="s">
        <v>3139</v>
      </c>
      <c r="BA17" s="2833"/>
      <c r="BB17" s="1007" t="s">
        <v>3139</v>
      </c>
      <c r="BC17" s="2836"/>
      <c r="BD17" s="1007" t="s">
        <v>3139</v>
      </c>
      <c r="BE17" s="2836"/>
      <c r="BF17" s="1007" t="s">
        <v>3139</v>
      </c>
      <c r="BG17" s="2833"/>
      <c r="BH17" s="1007" t="s">
        <v>3139</v>
      </c>
      <c r="BI17" s="2823"/>
      <c r="BJ17" s="1007" t="s">
        <v>3139</v>
      </c>
      <c r="BK17" s="2823"/>
      <c r="BL17" s="1007" t="s">
        <v>3139</v>
      </c>
      <c r="BM17" s="2833"/>
      <c r="BN17" s="2846"/>
      <c r="BO17" s="2847"/>
      <c r="BP17" s="2848"/>
      <c r="BU17" s="1002">
        <v>20</v>
      </c>
    </row>
    <row r="18" spans="1:73" ht="9.9499999999999993" customHeight="1">
      <c r="A18" s="2818" t="s">
        <v>3145</v>
      </c>
      <c r="B18" s="2819"/>
      <c r="C18" s="2819"/>
      <c r="D18" s="2819"/>
      <c r="E18" s="2819"/>
      <c r="F18" s="2820"/>
      <c r="G18" s="2818" t="s">
        <v>3144</v>
      </c>
      <c r="H18" s="2819"/>
      <c r="I18" s="2819"/>
      <c r="J18" s="2819"/>
      <c r="K18" s="2820"/>
      <c r="L18" s="2821"/>
      <c r="M18" s="2823"/>
      <c r="N18" s="2821"/>
      <c r="O18" s="2824"/>
      <c r="P18" s="2821"/>
      <c r="Q18" s="2831"/>
      <c r="R18" s="2821"/>
      <c r="S18" s="2831"/>
      <c r="T18" s="2821"/>
      <c r="U18" s="2834"/>
      <c r="V18" s="2821"/>
      <c r="W18" s="2834"/>
      <c r="X18" s="2821"/>
      <c r="Y18" s="2831"/>
      <c r="Z18" s="2821"/>
      <c r="AA18" s="2823"/>
      <c r="AB18" s="2821"/>
      <c r="AC18" s="2823"/>
      <c r="AD18" s="2821"/>
      <c r="AE18" s="2831"/>
      <c r="AF18" s="2840"/>
      <c r="AG18" s="2841"/>
      <c r="AH18" s="2842"/>
      <c r="AI18" s="2818" t="s">
        <v>3145</v>
      </c>
      <c r="AJ18" s="2819"/>
      <c r="AK18" s="2819"/>
      <c r="AL18" s="2819"/>
      <c r="AM18" s="2819"/>
      <c r="AN18" s="2820"/>
      <c r="AO18" s="2818" t="s">
        <v>3144</v>
      </c>
      <c r="AP18" s="2819"/>
      <c r="AQ18" s="2819"/>
      <c r="AR18" s="2819"/>
      <c r="AS18" s="2820"/>
      <c r="AT18" s="2821"/>
      <c r="AU18" s="2823"/>
      <c r="AV18" s="2821"/>
      <c r="AW18" s="2824"/>
      <c r="AX18" s="2821"/>
      <c r="AY18" s="2831"/>
      <c r="AZ18" s="2821"/>
      <c r="BA18" s="2831"/>
      <c r="BB18" s="2821">
        <v>4</v>
      </c>
      <c r="BC18" s="2834"/>
      <c r="BD18" s="2821"/>
      <c r="BE18" s="2834"/>
      <c r="BF18" s="2821"/>
      <c r="BG18" s="2831"/>
      <c r="BH18" s="2821"/>
      <c r="BI18" s="2823"/>
      <c r="BJ18" s="2821"/>
      <c r="BK18" s="2823"/>
      <c r="BL18" s="2821"/>
      <c r="BM18" s="2831"/>
      <c r="BN18" s="2840"/>
      <c r="BO18" s="2841"/>
      <c r="BP18" s="2842"/>
      <c r="BU18" s="1002">
        <v>21</v>
      </c>
    </row>
    <row r="19" spans="1:73" ht="20.100000000000001" customHeight="1">
      <c r="A19" s="2850"/>
      <c r="B19" s="2851"/>
      <c r="C19" s="2851"/>
      <c r="D19" s="2851"/>
      <c r="E19" s="2851"/>
      <c r="F19" s="2852"/>
      <c r="G19" s="2853">
        <f>$G$7</f>
        <v>0</v>
      </c>
      <c r="H19" s="2854"/>
      <c r="I19" s="2854"/>
      <c r="J19" s="2854"/>
      <c r="K19" s="2855"/>
      <c r="L19" s="2822"/>
      <c r="M19" s="2823"/>
      <c r="N19" s="2822"/>
      <c r="O19" s="2824"/>
      <c r="P19" s="2822"/>
      <c r="Q19" s="2832"/>
      <c r="R19" s="2822"/>
      <c r="S19" s="2832"/>
      <c r="T19" s="2822"/>
      <c r="U19" s="2835"/>
      <c r="V19" s="2822"/>
      <c r="W19" s="2835"/>
      <c r="X19" s="2822"/>
      <c r="Y19" s="2832"/>
      <c r="Z19" s="2822"/>
      <c r="AA19" s="2823"/>
      <c r="AB19" s="2822"/>
      <c r="AC19" s="2823"/>
      <c r="AD19" s="2822"/>
      <c r="AE19" s="2832"/>
      <c r="AF19" s="2843"/>
      <c r="AG19" s="2844"/>
      <c r="AH19" s="2845"/>
      <c r="AI19" s="2856" t="s">
        <v>3186</v>
      </c>
      <c r="AJ19" s="2857"/>
      <c r="AK19" s="2857"/>
      <c r="AL19" s="2857"/>
      <c r="AM19" s="2857"/>
      <c r="AN19" s="2858"/>
      <c r="AO19" s="2859" t="s">
        <v>3155</v>
      </c>
      <c r="AP19" s="2860"/>
      <c r="AQ19" s="2860"/>
      <c r="AR19" s="2860"/>
      <c r="AS19" s="2861"/>
      <c r="AT19" s="2822"/>
      <c r="AU19" s="2823"/>
      <c r="AV19" s="2822"/>
      <c r="AW19" s="2824"/>
      <c r="AX19" s="2822"/>
      <c r="AY19" s="2832"/>
      <c r="AZ19" s="2822"/>
      <c r="BA19" s="2832"/>
      <c r="BB19" s="2822"/>
      <c r="BC19" s="2835"/>
      <c r="BD19" s="2822"/>
      <c r="BE19" s="2835"/>
      <c r="BF19" s="2822"/>
      <c r="BG19" s="2832"/>
      <c r="BH19" s="2822"/>
      <c r="BI19" s="2823"/>
      <c r="BJ19" s="2822"/>
      <c r="BK19" s="2823"/>
      <c r="BL19" s="2822"/>
      <c r="BM19" s="2832"/>
      <c r="BN19" s="2843"/>
      <c r="BO19" s="2844"/>
      <c r="BP19" s="2845"/>
    </row>
    <row r="20" spans="1:73" ht="9.9499999999999993" customHeight="1">
      <c r="A20" s="2825" t="s">
        <v>3143</v>
      </c>
      <c r="B20" s="2826"/>
      <c r="C20" s="2849"/>
      <c r="D20" s="2826" t="s">
        <v>3142</v>
      </c>
      <c r="E20" s="2826"/>
      <c r="F20" s="2827"/>
      <c r="G20" s="2825" t="s">
        <v>3141</v>
      </c>
      <c r="H20" s="2826"/>
      <c r="I20" s="2826"/>
      <c r="J20" s="2826"/>
      <c r="K20" s="2827"/>
      <c r="L20" s="2822"/>
      <c r="M20" s="2823"/>
      <c r="N20" s="2822"/>
      <c r="O20" s="2824"/>
      <c r="P20" s="2822"/>
      <c r="Q20" s="2832"/>
      <c r="R20" s="2822"/>
      <c r="S20" s="2832"/>
      <c r="T20" s="2822"/>
      <c r="U20" s="2835"/>
      <c r="V20" s="2822"/>
      <c r="W20" s="2835"/>
      <c r="X20" s="2822"/>
      <c r="Y20" s="2832"/>
      <c r="Z20" s="2822"/>
      <c r="AA20" s="2823"/>
      <c r="AB20" s="2822"/>
      <c r="AC20" s="2823"/>
      <c r="AD20" s="2822"/>
      <c r="AE20" s="2832"/>
      <c r="AF20" s="2843"/>
      <c r="AG20" s="2844"/>
      <c r="AH20" s="2845"/>
      <c r="AI20" s="2825" t="s">
        <v>3143</v>
      </c>
      <c r="AJ20" s="2826"/>
      <c r="AK20" s="2849"/>
      <c r="AL20" s="2826" t="s">
        <v>3142</v>
      </c>
      <c r="AM20" s="2826"/>
      <c r="AN20" s="2827"/>
      <c r="AO20" s="2825" t="s">
        <v>3141</v>
      </c>
      <c r="AP20" s="2826"/>
      <c r="AQ20" s="2826"/>
      <c r="AR20" s="2826"/>
      <c r="AS20" s="2827"/>
      <c r="AT20" s="2822"/>
      <c r="AU20" s="2823"/>
      <c r="AV20" s="2822"/>
      <c r="AW20" s="2824"/>
      <c r="AX20" s="2822"/>
      <c r="AY20" s="2832"/>
      <c r="AZ20" s="2822"/>
      <c r="BA20" s="2832"/>
      <c r="BB20" s="2822"/>
      <c r="BC20" s="2835"/>
      <c r="BD20" s="2822"/>
      <c r="BE20" s="2835"/>
      <c r="BF20" s="2822"/>
      <c r="BG20" s="2832"/>
      <c r="BH20" s="2822"/>
      <c r="BI20" s="2823"/>
      <c r="BJ20" s="2822"/>
      <c r="BK20" s="2823"/>
      <c r="BL20" s="2822"/>
      <c r="BM20" s="2832"/>
      <c r="BN20" s="2843"/>
      <c r="BO20" s="2844"/>
      <c r="BP20" s="2845"/>
    </row>
    <row r="21" spans="1:73" ht="20.100000000000001" customHeight="1">
      <c r="A21" s="1082"/>
      <c r="B21" s="1084" t="s">
        <v>3140</v>
      </c>
      <c r="C21" s="1085"/>
      <c r="D21" s="1086"/>
      <c r="E21" s="1084" t="s">
        <v>3140</v>
      </c>
      <c r="F21" s="1087"/>
      <c r="G21" s="2828"/>
      <c r="H21" s="2829"/>
      <c r="I21" s="2829"/>
      <c r="J21" s="2829"/>
      <c r="K21" s="2830"/>
      <c r="L21" s="1007" t="s">
        <v>3139</v>
      </c>
      <c r="M21" s="2823"/>
      <c r="N21" s="1007" t="s">
        <v>3139</v>
      </c>
      <c r="O21" s="2824"/>
      <c r="P21" s="1007" t="s">
        <v>3139</v>
      </c>
      <c r="Q21" s="2833"/>
      <c r="R21" s="1007" t="s">
        <v>3139</v>
      </c>
      <c r="S21" s="2833"/>
      <c r="T21" s="1007" t="s">
        <v>3139</v>
      </c>
      <c r="U21" s="2836"/>
      <c r="V21" s="1007" t="s">
        <v>3139</v>
      </c>
      <c r="W21" s="2836"/>
      <c r="X21" s="1007" t="s">
        <v>3139</v>
      </c>
      <c r="Y21" s="2833"/>
      <c r="Z21" s="1007" t="s">
        <v>3139</v>
      </c>
      <c r="AA21" s="2823"/>
      <c r="AB21" s="1007" t="s">
        <v>3139</v>
      </c>
      <c r="AC21" s="2823"/>
      <c r="AD21" s="1007" t="s">
        <v>3139</v>
      </c>
      <c r="AE21" s="2833"/>
      <c r="AF21" s="2846"/>
      <c r="AG21" s="2847"/>
      <c r="AH21" s="2848"/>
      <c r="AI21" s="1011">
        <v>18</v>
      </c>
      <c r="AJ21" s="1005" t="s">
        <v>3140</v>
      </c>
      <c r="AK21" s="1010">
        <v>30</v>
      </c>
      <c r="AL21" s="1009">
        <v>21</v>
      </c>
      <c r="AM21" s="1005" t="s">
        <v>3140</v>
      </c>
      <c r="AN21" s="1008">
        <v>30</v>
      </c>
      <c r="AO21" s="2837" t="s">
        <v>3185</v>
      </c>
      <c r="AP21" s="2838"/>
      <c r="AQ21" s="2838"/>
      <c r="AR21" s="2838"/>
      <c r="AS21" s="2839"/>
      <c r="AT21" s="1007" t="s">
        <v>3139</v>
      </c>
      <c r="AU21" s="2823"/>
      <c r="AV21" s="1007" t="s">
        <v>3139</v>
      </c>
      <c r="AW21" s="2824"/>
      <c r="AX21" s="1007" t="s">
        <v>3139</v>
      </c>
      <c r="AY21" s="2833"/>
      <c r="AZ21" s="1007" t="s">
        <v>3139</v>
      </c>
      <c r="BA21" s="2833"/>
      <c r="BB21" s="1007" t="s">
        <v>3139</v>
      </c>
      <c r="BC21" s="2836"/>
      <c r="BD21" s="1007" t="s">
        <v>3139</v>
      </c>
      <c r="BE21" s="2836"/>
      <c r="BF21" s="1007" t="s">
        <v>3139</v>
      </c>
      <c r="BG21" s="2833"/>
      <c r="BH21" s="1007" t="s">
        <v>3139</v>
      </c>
      <c r="BI21" s="2823"/>
      <c r="BJ21" s="1007" t="s">
        <v>3139</v>
      </c>
      <c r="BK21" s="2823"/>
      <c r="BL21" s="1007" t="s">
        <v>3139</v>
      </c>
      <c r="BM21" s="2833"/>
      <c r="BN21" s="2846"/>
      <c r="BO21" s="2847"/>
      <c r="BP21" s="2848"/>
    </row>
    <row r="22" spans="1:73" ht="9.9499999999999993" customHeight="1">
      <c r="A22" s="2818" t="s">
        <v>3145</v>
      </c>
      <c r="B22" s="2819"/>
      <c r="C22" s="2819"/>
      <c r="D22" s="2819"/>
      <c r="E22" s="2819"/>
      <c r="F22" s="2820"/>
      <c r="G22" s="2818" t="s">
        <v>3144</v>
      </c>
      <c r="H22" s="2819"/>
      <c r="I22" s="2819"/>
      <c r="J22" s="2819"/>
      <c r="K22" s="2820"/>
      <c r="L22" s="2821"/>
      <c r="M22" s="2823"/>
      <c r="N22" s="2821"/>
      <c r="O22" s="2824"/>
      <c r="P22" s="2821"/>
      <c r="Q22" s="2831"/>
      <c r="R22" s="2821"/>
      <c r="S22" s="2831"/>
      <c r="T22" s="2821"/>
      <c r="U22" s="2834"/>
      <c r="V22" s="2821"/>
      <c r="W22" s="2834"/>
      <c r="X22" s="2821"/>
      <c r="Y22" s="2831"/>
      <c r="Z22" s="2821"/>
      <c r="AA22" s="2823"/>
      <c r="AB22" s="2821"/>
      <c r="AC22" s="2823"/>
      <c r="AD22" s="2821"/>
      <c r="AE22" s="2831"/>
      <c r="AF22" s="2840"/>
      <c r="AG22" s="2841"/>
      <c r="AH22" s="2842"/>
      <c r="AI22" s="2818" t="s">
        <v>3145</v>
      </c>
      <c r="AJ22" s="2819"/>
      <c r="AK22" s="2819"/>
      <c r="AL22" s="2819"/>
      <c r="AM22" s="2819"/>
      <c r="AN22" s="2820"/>
      <c r="AO22" s="2818" t="s">
        <v>3144</v>
      </c>
      <c r="AP22" s="2819"/>
      <c r="AQ22" s="2819"/>
      <c r="AR22" s="2819"/>
      <c r="AS22" s="2820"/>
      <c r="AT22" s="2821"/>
      <c r="AU22" s="2823"/>
      <c r="AV22" s="2821"/>
      <c r="AW22" s="2824"/>
      <c r="AX22" s="2821"/>
      <c r="AY22" s="2831"/>
      <c r="AZ22" s="2821"/>
      <c r="BA22" s="2831"/>
      <c r="BB22" s="2821"/>
      <c r="BC22" s="2834"/>
      <c r="BD22" s="2821"/>
      <c r="BE22" s="2834"/>
      <c r="BF22" s="2821">
        <v>1</v>
      </c>
      <c r="BG22" s="2831"/>
      <c r="BH22" s="2821"/>
      <c r="BI22" s="2823"/>
      <c r="BJ22" s="2821"/>
      <c r="BK22" s="2823"/>
      <c r="BL22" s="2821"/>
      <c r="BM22" s="2831"/>
      <c r="BN22" s="2840" t="s">
        <v>3184</v>
      </c>
      <c r="BO22" s="2841"/>
      <c r="BP22" s="2842"/>
    </row>
    <row r="23" spans="1:73" ht="20.100000000000001" customHeight="1">
      <c r="A23" s="2850"/>
      <c r="B23" s="2851"/>
      <c r="C23" s="2851"/>
      <c r="D23" s="2851"/>
      <c r="E23" s="2851"/>
      <c r="F23" s="2852"/>
      <c r="G23" s="2853">
        <f>$G$7</f>
        <v>0</v>
      </c>
      <c r="H23" s="2854"/>
      <c r="I23" s="2854"/>
      <c r="J23" s="2854"/>
      <c r="K23" s="2855"/>
      <c r="L23" s="2822"/>
      <c r="M23" s="2823"/>
      <c r="N23" s="2822"/>
      <c r="O23" s="2824"/>
      <c r="P23" s="2822"/>
      <c r="Q23" s="2832"/>
      <c r="R23" s="2822"/>
      <c r="S23" s="2832"/>
      <c r="T23" s="2822"/>
      <c r="U23" s="2835"/>
      <c r="V23" s="2822"/>
      <c r="W23" s="2835"/>
      <c r="X23" s="2822"/>
      <c r="Y23" s="2832"/>
      <c r="Z23" s="2822"/>
      <c r="AA23" s="2823"/>
      <c r="AB23" s="2822"/>
      <c r="AC23" s="2823"/>
      <c r="AD23" s="2822"/>
      <c r="AE23" s="2832"/>
      <c r="AF23" s="2843"/>
      <c r="AG23" s="2844"/>
      <c r="AH23" s="2845"/>
      <c r="AI23" s="2856" t="s">
        <v>3157</v>
      </c>
      <c r="AJ23" s="2857"/>
      <c r="AK23" s="2857"/>
      <c r="AL23" s="2857"/>
      <c r="AM23" s="2857"/>
      <c r="AN23" s="2858"/>
      <c r="AO23" s="2859"/>
      <c r="AP23" s="2860"/>
      <c r="AQ23" s="2860"/>
      <c r="AR23" s="2860"/>
      <c r="AS23" s="2861"/>
      <c r="AT23" s="2822"/>
      <c r="AU23" s="2823"/>
      <c r="AV23" s="2822"/>
      <c r="AW23" s="2824"/>
      <c r="AX23" s="2822"/>
      <c r="AY23" s="2832"/>
      <c r="AZ23" s="2822"/>
      <c r="BA23" s="2832"/>
      <c r="BB23" s="2822"/>
      <c r="BC23" s="2835"/>
      <c r="BD23" s="2822"/>
      <c r="BE23" s="2835"/>
      <c r="BF23" s="2822"/>
      <c r="BG23" s="2832"/>
      <c r="BH23" s="2822"/>
      <c r="BI23" s="2823"/>
      <c r="BJ23" s="2822"/>
      <c r="BK23" s="2823"/>
      <c r="BL23" s="2822"/>
      <c r="BM23" s="2832"/>
      <c r="BN23" s="2843"/>
      <c r="BO23" s="2844"/>
      <c r="BP23" s="2845"/>
    </row>
    <row r="24" spans="1:73" ht="9.9499999999999993" customHeight="1">
      <c r="A24" s="2825" t="s">
        <v>3143</v>
      </c>
      <c r="B24" s="2826"/>
      <c r="C24" s="2849"/>
      <c r="D24" s="2826" t="s">
        <v>3142</v>
      </c>
      <c r="E24" s="2826"/>
      <c r="F24" s="2827"/>
      <c r="G24" s="2825" t="s">
        <v>3141</v>
      </c>
      <c r="H24" s="2826"/>
      <c r="I24" s="2826"/>
      <c r="J24" s="2826"/>
      <c r="K24" s="2827"/>
      <c r="L24" s="2822"/>
      <c r="M24" s="2823"/>
      <c r="N24" s="2822"/>
      <c r="O24" s="2824"/>
      <c r="P24" s="2822"/>
      <c r="Q24" s="2832"/>
      <c r="R24" s="2822"/>
      <c r="S24" s="2832"/>
      <c r="T24" s="2822"/>
      <c r="U24" s="2835"/>
      <c r="V24" s="2822"/>
      <c r="W24" s="2835"/>
      <c r="X24" s="2822"/>
      <c r="Y24" s="2832"/>
      <c r="Z24" s="2822"/>
      <c r="AA24" s="2823"/>
      <c r="AB24" s="2822"/>
      <c r="AC24" s="2823"/>
      <c r="AD24" s="2822"/>
      <c r="AE24" s="2832"/>
      <c r="AF24" s="2843"/>
      <c r="AG24" s="2844"/>
      <c r="AH24" s="2845"/>
      <c r="AI24" s="2825" t="s">
        <v>3143</v>
      </c>
      <c r="AJ24" s="2826"/>
      <c r="AK24" s="2849"/>
      <c r="AL24" s="2826" t="s">
        <v>3142</v>
      </c>
      <c r="AM24" s="2826"/>
      <c r="AN24" s="2827"/>
      <c r="AO24" s="2825" t="s">
        <v>3141</v>
      </c>
      <c r="AP24" s="2826"/>
      <c r="AQ24" s="2826"/>
      <c r="AR24" s="2826"/>
      <c r="AS24" s="2827"/>
      <c r="AT24" s="2822"/>
      <c r="AU24" s="2823"/>
      <c r="AV24" s="2822"/>
      <c r="AW24" s="2824"/>
      <c r="AX24" s="2822"/>
      <c r="AY24" s="2832"/>
      <c r="AZ24" s="2822"/>
      <c r="BA24" s="2832"/>
      <c r="BB24" s="2822"/>
      <c r="BC24" s="2835"/>
      <c r="BD24" s="2822"/>
      <c r="BE24" s="2835"/>
      <c r="BF24" s="2822"/>
      <c r="BG24" s="2832"/>
      <c r="BH24" s="2822"/>
      <c r="BI24" s="2823"/>
      <c r="BJ24" s="2822"/>
      <c r="BK24" s="2823"/>
      <c r="BL24" s="2822"/>
      <c r="BM24" s="2832"/>
      <c r="BN24" s="2843"/>
      <c r="BO24" s="2844"/>
      <c r="BP24" s="2845"/>
    </row>
    <row r="25" spans="1:73" ht="20.100000000000001" customHeight="1">
      <c r="A25" s="1083"/>
      <c r="B25" s="1084" t="s">
        <v>3140</v>
      </c>
      <c r="C25" s="1085"/>
      <c r="D25" s="1086"/>
      <c r="E25" s="1084" t="s">
        <v>3140</v>
      </c>
      <c r="F25" s="1087"/>
      <c r="G25" s="2828"/>
      <c r="H25" s="2829"/>
      <c r="I25" s="2829"/>
      <c r="J25" s="2829"/>
      <c r="K25" s="2830"/>
      <c r="L25" s="1007" t="s">
        <v>3139</v>
      </c>
      <c r="M25" s="2823"/>
      <c r="N25" s="1007" t="s">
        <v>3139</v>
      </c>
      <c r="O25" s="2824"/>
      <c r="P25" s="1007" t="s">
        <v>3139</v>
      </c>
      <c r="Q25" s="2833"/>
      <c r="R25" s="1007" t="s">
        <v>3139</v>
      </c>
      <c r="S25" s="2833"/>
      <c r="T25" s="1007" t="s">
        <v>3139</v>
      </c>
      <c r="U25" s="2836"/>
      <c r="V25" s="1007" t="s">
        <v>3139</v>
      </c>
      <c r="W25" s="2836"/>
      <c r="X25" s="1007" t="s">
        <v>3139</v>
      </c>
      <c r="Y25" s="2833"/>
      <c r="Z25" s="1007" t="s">
        <v>3139</v>
      </c>
      <c r="AA25" s="2823"/>
      <c r="AB25" s="1007" t="s">
        <v>3139</v>
      </c>
      <c r="AC25" s="2823"/>
      <c r="AD25" s="1007" t="s">
        <v>3139</v>
      </c>
      <c r="AE25" s="2833"/>
      <c r="AF25" s="2846"/>
      <c r="AG25" s="2847"/>
      <c r="AH25" s="2848"/>
      <c r="AI25" s="1011">
        <v>19</v>
      </c>
      <c r="AJ25" s="1005" t="s">
        <v>3140</v>
      </c>
      <c r="AK25" s="1010">
        <v>15</v>
      </c>
      <c r="AL25" s="1009">
        <v>19</v>
      </c>
      <c r="AM25" s="1005" t="s">
        <v>3140</v>
      </c>
      <c r="AN25" s="1008">
        <v>45</v>
      </c>
      <c r="AO25" s="2837" t="s">
        <v>3183</v>
      </c>
      <c r="AP25" s="2838"/>
      <c r="AQ25" s="2838"/>
      <c r="AR25" s="2838"/>
      <c r="AS25" s="2839"/>
      <c r="AT25" s="1007" t="s">
        <v>3139</v>
      </c>
      <c r="AU25" s="2823"/>
      <c r="AV25" s="1007" t="s">
        <v>3139</v>
      </c>
      <c r="AW25" s="2824"/>
      <c r="AX25" s="1007" t="s">
        <v>3139</v>
      </c>
      <c r="AY25" s="2833"/>
      <c r="AZ25" s="1007" t="s">
        <v>3139</v>
      </c>
      <c r="BA25" s="2833"/>
      <c r="BB25" s="1007" t="s">
        <v>3139</v>
      </c>
      <c r="BC25" s="2836"/>
      <c r="BD25" s="1007" t="s">
        <v>3139</v>
      </c>
      <c r="BE25" s="2836"/>
      <c r="BF25" s="1007" t="s">
        <v>3139</v>
      </c>
      <c r="BG25" s="2833"/>
      <c r="BH25" s="1007" t="s">
        <v>3139</v>
      </c>
      <c r="BI25" s="2823"/>
      <c r="BJ25" s="1007" t="s">
        <v>3139</v>
      </c>
      <c r="BK25" s="2823"/>
      <c r="BL25" s="1007" t="s">
        <v>3139</v>
      </c>
      <c r="BM25" s="2833"/>
      <c r="BN25" s="2846"/>
      <c r="BO25" s="2847"/>
      <c r="BP25" s="2848"/>
    </row>
    <row r="26" spans="1:73" ht="9.9499999999999993" customHeight="1">
      <c r="A26" s="2818" t="s">
        <v>3145</v>
      </c>
      <c r="B26" s="2819"/>
      <c r="C26" s="2819"/>
      <c r="D26" s="2819"/>
      <c r="E26" s="2819"/>
      <c r="F26" s="2820"/>
      <c r="G26" s="2818" t="s">
        <v>3144</v>
      </c>
      <c r="H26" s="2819"/>
      <c r="I26" s="2819"/>
      <c r="J26" s="2819"/>
      <c r="K26" s="2820"/>
      <c r="L26" s="2821"/>
      <c r="M26" s="2823"/>
      <c r="N26" s="2821"/>
      <c r="O26" s="2824"/>
      <c r="P26" s="2821"/>
      <c r="Q26" s="2831"/>
      <c r="R26" s="2821"/>
      <c r="S26" s="2831"/>
      <c r="T26" s="2821"/>
      <c r="U26" s="2834"/>
      <c r="V26" s="2821"/>
      <c r="W26" s="2834"/>
      <c r="X26" s="2821"/>
      <c r="Y26" s="2831"/>
      <c r="Z26" s="2821"/>
      <c r="AA26" s="2823"/>
      <c r="AB26" s="2821"/>
      <c r="AC26" s="2823"/>
      <c r="AD26" s="2821"/>
      <c r="AE26" s="2831"/>
      <c r="AF26" s="2840"/>
      <c r="AG26" s="2841"/>
      <c r="AH26" s="2842"/>
      <c r="AI26" s="2818" t="s">
        <v>3145</v>
      </c>
      <c r="AJ26" s="2819"/>
      <c r="AK26" s="2819"/>
      <c r="AL26" s="2819"/>
      <c r="AM26" s="2819"/>
      <c r="AN26" s="2820"/>
      <c r="AO26" s="2818" t="s">
        <v>3144</v>
      </c>
      <c r="AP26" s="2819"/>
      <c r="AQ26" s="2819"/>
      <c r="AR26" s="2819"/>
      <c r="AS26" s="2820"/>
      <c r="AT26" s="2821">
        <v>1</v>
      </c>
      <c r="AU26" s="2823"/>
      <c r="AV26" s="2821"/>
      <c r="AW26" s="2824"/>
      <c r="AX26" s="2821"/>
      <c r="AY26" s="2831"/>
      <c r="AZ26" s="2821"/>
      <c r="BA26" s="2831"/>
      <c r="BB26" s="2821"/>
      <c r="BC26" s="2834"/>
      <c r="BD26" s="2821"/>
      <c r="BE26" s="2834"/>
      <c r="BF26" s="2821"/>
      <c r="BG26" s="2831"/>
      <c r="BH26" s="2821"/>
      <c r="BI26" s="2823"/>
      <c r="BJ26" s="2821"/>
      <c r="BK26" s="2823"/>
      <c r="BL26" s="2821"/>
      <c r="BM26" s="2831"/>
      <c r="BN26" s="2840"/>
      <c r="BO26" s="2841"/>
      <c r="BP26" s="2842"/>
    </row>
    <row r="27" spans="1:73" ht="20.100000000000001" customHeight="1">
      <c r="A27" s="2850"/>
      <c r="B27" s="2851"/>
      <c r="C27" s="2851"/>
      <c r="D27" s="2851"/>
      <c r="E27" s="2851"/>
      <c r="F27" s="2852"/>
      <c r="G27" s="2853">
        <f>$G$7</f>
        <v>0</v>
      </c>
      <c r="H27" s="2854"/>
      <c r="I27" s="2854"/>
      <c r="J27" s="2854"/>
      <c r="K27" s="2855"/>
      <c r="L27" s="2822"/>
      <c r="M27" s="2823"/>
      <c r="N27" s="2822"/>
      <c r="O27" s="2824"/>
      <c r="P27" s="2822"/>
      <c r="Q27" s="2832"/>
      <c r="R27" s="2822"/>
      <c r="S27" s="2832"/>
      <c r="T27" s="2822"/>
      <c r="U27" s="2835"/>
      <c r="V27" s="2822"/>
      <c r="W27" s="2835"/>
      <c r="X27" s="2822"/>
      <c r="Y27" s="2832"/>
      <c r="Z27" s="2822"/>
      <c r="AA27" s="2823"/>
      <c r="AB27" s="2822"/>
      <c r="AC27" s="2823"/>
      <c r="AD27" s="2822"/>
      <c r="AE27" s="2832"/>
      <c r="AF27" s="2843"/>
      <c r="AG27" s="2844"/>
      <c r="AH27" s="2845"/>
      <c r="AI27" s="2856" t="s">
        <v>3153</v>
      </c>
      <c r="AJ27" s="2857"/>
      <c r="AK27" s="2857"/>
      <c r="AL27" s="2857"/>
      <c r="AM27" s="2857"/>
      <c r="AN27" s="2858"/>
      <c r="AO27" s="2859"/>
      <c r="AP27" s="2860"/>
      <c r="AQ27" s="2860"/>
      <c r="AR27" s="2860"/>
      <c r="AS27" s="2861"/>
      <c r="AT27" s="2822"/>
      <c r="AU27" s="2823"/>
      <c r="AV27" s="2822"/>
      <c r="AW27" s="2824"/>
      <c r="AX27" s="2822"/>
      <c r="AY27" s="2832"/>
      <c r="AZ27" s="2822"/>
      <c r="BA27" s="2832"/>
      <c r="BB27" s="2822"/>
      <c r="BC27" s="2835"/>
      <c r="BD27" s="2822"/>
      <c r="BE27" s="2835"/>
      <c r="BF27" s="2822"/>
      <c r="BG27" s="2832"/>
      <c r="BH27" s="2822"/>
      <c r="BI27" s="2823"/>
      <c r="BJ27" s="2822"/>
      <c r="BK27" s="2823"/>
      <c r="BL27" s="2822"/>
      <c r="BM27" s="2832"/>
      <c r="BN27" s="2843"/>
      <c r="BO27" s="2844"/>
      <c r="BP27" s="2845"/>
    </row>
    <row r="28" spans="1:73" ht="9.9499999999999993" customHeight="1">
      <c r="A28" s="2825" t="s">
        <v>3143</v>
      </c>
      <c r="B28" s="2826"/>
      <c r="C28" s="2849"/>
      <c r="D28" s="2826" t="s">
        <v>3142</v>
      </c>
      <c r="E28" s="2826"/>
      <c r="F28" s="2827"/>
      <c r="G28" s="2825" t="s">
        <v>3141</v>
      </c>
      <c r="H28" s="2826"/>
      <c r="I28" s="2826"/>
      <c r="J28" s="2826"/>
      <c r="K28" s="2827"/>
      <c r="L28" s="2822"/>
      <c r="M28" s="2823"/>
      <c r="N28" s="2822"/>
      <c r="O28" s="2824"/>
      <c r="P28" s="2822"/>
      <c r="Q28" s="2832"/>
      <c r="R28" s="2822"/>
      <c r="S28" s="2832"/>
      <c r="T28" s="2822"/>
      <c r="U28" s="2835"/>
      <c r="V28" s="2822"/>
      <c r="W28" s="2835"/>
      <c r="X28" s="2822"/>
      <c r="Y28" s="2832"/>
      <c r="Z28" s="2822"/>
      <c r="AA28" s="2823"/>
      <c r="AB28" s="2822"/>
      <c r="AC28" s="2823"/>
      <c r="AD28" s="2822"/>
      <c r="AE28" s="2832"/>
      <c r="AF28" s="2843"/>
      <c r="AG28" s="2844"/>
      <c r="AH28" s="2845"/>
      <c r="AI28" s="2825" t="s">
        <v>3143</v>
      </c>
      <c r="AJ28" s="2826"/>
      <c r="AK28" s="2849"/>
      <c r="AL28" s="2826" t="s">
        <v>3142</v>
      </c>
      <c r="AM28" s="2826"/>
      <c r="AN28" s="2827"/>
      <c r="AO28" s="2825" t="s">
        <v>3141</v>
      </c>
      <c r="AP28" s="2826"/>
      <c r="AQ28" s="2826"/>
      <c r="AR28" s="2826"/>
      <c r="AS28" s="2827"/>
      <c r="AT28" s="2822"/>
      <c r="AU28" s="2823"/>
      <c r="AV28" s="2822"/>
      <c r="AW28" s="2824"/>
      <c r="AX28" s="2822"/>
      <c r="AY28" s="2832"/>
      <c r="AZ28" s="2822"/>
      <c r="BA28" s="2832"/>
      <c r="BB28" s="2822"/>
      <c r="BC28" s="2835"/>
      <c r="BD28" s="2822"/>
      <c r="BE28" s="2835"/>
      <c r="BF28" s="2822"/>
      <c r="BG28" s="2832"/>
      <c r="BH28" s="2822"/>
      <c r="BI28" s="2823"/>
      <c r="BJ28" s="2822"/>
      <c r="BK28" s="2823"/>
      <c r="BL28" s="2822"/>
      <c r="BM28" s="2832"/>
      <c r="BN28" s="2843"/>
      <c r="BO28" s="2844"/>
      <c r="BP28" s="2845"/>
    </row>
    <row r="29" spans="1:73" ht="20.100000000000001" customHeight="1">
      <c r="A29" s="1083"/>
      <c r="B29" s="1084" t="s">
        <v>3140</v>
      </c>
      <c r="C29" s="1085"/>
      <c r="D29" s="1086"/>
      <c r="E29" s="1084" t="s">
        <v>3140</v>
      </c>
      <c r="F29" s="1087"/>
      <c r="G29" s="2828"/>
      <c r="H29" s="2829"/>
      <c r="I29" s="2829"/>
      <c r="J29" s="2829"/>
      <c r="K29" s="2830"/>
      <c r="L29" s="1007" t="s">
        <v>3139</v>
      </c>
      <c r="M29" s="2823"/>
      <c r="N29" s="1007" t="s">
        <v>3139</v>
      </c>
      <c r="O29" s="2824"/>
      <c r="P29" s="1007" t="s">
        <v>3139</v>
      </c>
      <c r="Q29" s="2833"/>
      <c r="R29" s="1007" t="s">
        <v>3139</v>
      </c>
      <c r="S29" s="2833"/>
      <c r="T29" s="1007" t="s">
        <v>3139</v>
      </c>
      <c r="U29" s="2836"/>
      <c r="V29" s="1007" t="s">
        <v>3139</v>
      </c>
      <c r="W29" s="2836"/>
      <c r="X29" s="1007" t="s">
        <v>3139</v>
      </c>
      <c r="Y29" s="2833"/>
      <c r="Z29" s="1007" t="s">
        <v>3139</v>
      </c>
      <c r="AA29" s="2823"/>
      <c r="AB29" s="1007" t="s">
        <v>3139</v>
      </c>
      <c r="AC29" s="2823"/>
      <c r="AD29" s="1007" t="s">
        <v>3139</v>
      </c>
      <c r="AE29" s="2833"/>
      <c r="AF29" s="2846"/>
      <c r="AG29" s="2847"/>
      <c r="AH29" s="2848"/>
      <c r="AI29" s="1011">
        <v>10</v>
      </c>
      <c r="AJ29" s="1005" t="s">
        <v>3140</v>
      </c>
      <c r="AK29" s="1010">
        <v>15</v>
      </c>
      <c r="AL29" s="1009">
        <v>20</v>
      </c>
      <c r="AM29" s="1005" t="s">
        <v>3140</v>
      </c>
      <c r="AN29" s="1008">
        <v>30</v>
      </c>
      <c r="AO29" s="2837" t="s">
        <v>3151</v>
      </c>
      <c r="AP29" s="2838"/>
      <c r="AQ29" s="2838"/>
      <c r="AR29" s="2838"/>
      <c r="AS29" s="2839"/>
      <c r="AT29" s="1007" t="s">
        <v>3139</v>
      </c>
      <c r="AU29" s="2823"/>
      <c r="AV29" s="1007" t="s">
        <v>3139</v>
      </c>
      <c r="AW29" s="2824"/>
      <c r="AX29" s="1007" t="s">
        <v>3139</v>
      </c>
      <c r="AY29" s="2833"/>
      <c r="AZ29" s="1007" t="s">
        <v>3139</v>
      </c>
      <c r="BA29" s="2833"/>
      <c r="BB29" s="1007" t="s">
        <v>3139</v>
      </c>
      <c r="BC29" s="2836"/>
      <c r="BD29" s="1007" t="s">
        <v>3139</v>
      </c>
      <c r="BE29" s="2836"/>
      <c r="BF29" s="1007" t="s">
        <v>3139</v>
      </c>
      <c r="BG29" s="2833"/>
      <c r="BH29" s="1007" t="s">
        <v>3139</v>
      </c>
      <c r="BI29" s="2823"/>
      <c r="BJ29" s="1007" t="s">
        <v>3139</v>
      </c>
      <c r="BK29" s="2823"/>
      <c r="BL29" s="1007" t="s">
        <v>3139</v>
      </c>
      <c r="BM29" s="2833"/>
      <c r="BN29" s="2846"/>
      <c r="BO29" s="2847"/>
      <c r="BP29" s="2848"/>
    </row>
    <row r="30" spans="1:73" ht="9.9499999999999993" customHeight="1">
      <c r="A30" s="2818" t="s">
        <v>3145</v>
      </c>
      <c r="B30" s="2819"/>
      <c r="C30" s="2819"/>
      <c r="D30" s="2819"/>
      <c r="E30" s="2819"/>
      <c r="F30" s="2820"/>
      <c r="G30" s="2818" t="s">
        <v>3144</v>
      </c>
      <c r="H30" s="2819"/>
      <c r="I30" s="2819"/>
      <c r="J30" s="2819"/>
      <c r="K30" s="2820"/>
      <c r="L30" s="2821"/>
      <c r="M30" s="2823"/>
      <c r="N30" s="2821"/>
      <c r="O30" s="2824"/>
      <c r="P30" s="2821"/>
      <c r="Q30" s="2831"/>
      <c r="R30" s="2821"/>
      <c r="S30" s="2831"/>
      <c r="T30" s="2821"/>
      <c r="U30" s="2834"/>
      <c r="V30" s="2821"/>
      <c r="W30" s="2834"/>
      <c r="X30" s="2821"/>
      <c r="Y30" s="2831"/>
      <c r="Z30" s="2821"/>
      <c r="AA30" s="2823"/>
      <c r="AB30" s="2821"/>
      <c r="AC30" s="2823"/>
      <c r="AD30" s="2821"/>
      <c r="AE30" s="2831"/>
      <c r="AF30" s="2840"/>
      <c r="AG30" s="2841"/>
      <c r="AH30" s="2842"/>
      <c r="AI30" s="2818" t="s">
        <v>3145</v>
      </c>
      <c r="AJ30" s="2819"/>
      <c r="AK30" s="2819"/>
      <c r="AL30" s="2819"/>
      <c r="AM30" s="2819"/>
      <c r="AN30" s="2820"/>
      <c r="AO30" s="2818" t="s">
        <v>3144</v>
      </c>
      <c r="AP30" s="2819"/>
      <c r="AQ30" s="2819"/>
      <c r="AR30" s="2819"/>
      <c r="AS30" s="2820"/>
      <c r="AT30" s="2821"/>
      <c r="AU30" s="2823"/>
      <c r="AV30" s="2821"/>
      <c r="AW30" s="2824"/>
      <c r="AX30" s="2821"/>
      <c r="AY30" s="2831"/>
      <c r="AZ30" s="2821"/>
      <c r="BA30" s="2831"/>
      <c r="BB30" s="2821"/>
      <c r="BC30" s="2834"/>
      <c r="BD30" s="2821"/>
      <c r="BE30" s="2834"/>
      <c r="BF30" s="2821"/>
      <c r="BG30" s="2831"/>
      <c r="BH30" s="2821"/>
      <c r="BI30" s="2823"/>
      <c r="BJ30" s="2821"/>
      <c r="BK30" s="2823"/>
      <c r="BL30" s="2821"/>
      <c r="BM30" s="2831"/>
      <c r="BN30" s="2840"/>
      <c r="BO30" s="2841"/>
      <c r="BP30" s="2842"/>
    </row>
    <row r="31" spans="1:73" ht="20.100000000000001" customHeight="1">
      <c r="A31" s="2850"/>
      <c r="B31" s="2851"/>
      <c r="C31" s="2851"/>
      <c r="D31" s="2851"/>
      <c r="E31" s="2851"/>
      <c r="F31" s="2852"/>
      <c r="G31" s="2853">
        <f>$G$7</f>
        <v>0</v>
      </c>
      <c r="H31" s="2854"/>
      <c r="I31" s="2854"/>
      <c r="J31" s="2854"/>
      <c r="K31" s="2855"/>
      <c r="L31" s="2822"/>
      <c r="M31" s="2823"/>
      <c r="N31" s="2822"/>
      <c r="O31" s="2824"/>
      <c r="P31" s="2822"/>
      <c r="Q31" s="2832"/>
      <c r="R31" s="2822"/>
      <c r="S31" s="2832"/>
      <c r="T31" s="2822"/>
      <c r="U31" s="2835"/>
      <c r="V31" s="2822"/>
      <c r="W31" s="2835"/>
      <c r="X31" s="2822"/>
      <c r="Y31" s="2832"/>
      <c r="Z31" s="2822"/>
      <c r="AA31" s="2823"/>
      <c r="AB31" s="2822"/>
      <c r="AC31" s="2823"/>
      <c r="AD31" s="2822"/>
      <c r="AE31" s="2832"/>
      <c r="AF31" s="2843"/>
      <c r="AG31" s="2844"/>
      <c r="AH31" s="2845"/>
      <c r="AI31" s="2856"/>
      <c r="AJ31" s="2857"/>
      <c r="AK31" s="2857"/>
      <c r="AL31" s="2857"/>
      <c r="AM31" s="2857"/>
      <c r="AN31" s="2858"/>
      <c r="AO31" s="2859"/>
      <c r="AP31" s="2860"/>
      <c r="AQ31" s="2860"/>
      <c r="AR31" s="2860"/>
      <c r="AS31" s="2861"/>
      <c r="AT31" s="2822"/>
      <c r="AU31" s="2823"/>
      <c r="AV31" s="2822"/>
      <c r="AW31" s="2824"/>
      <c r="AX31" s="2822"/>
      <c r="AY31" s="2832"/>
      <c r="AZ31" s="2822"/>
      <c r="BA31" s="2832"/>
      <c r="BB31" s="2822"/>
      <c r="BC31" s="2835"/>
      <c r="BD31" s="2822"/>
      <c r="BE31" s="2835"/>
      <c r="BF31" s="2822"/>
      <c r="BG31" s="2832"/>
      <c r="BH31" s="2822"/>
      <c r="BI31" s="2823"/>
      <c r="BJ31" s="2822"/>
      <c r="BK31" s="2823"/>
      <c r="BL31" s="2822"/>
      <c r="BM31" s="2832"/>
      <c r="BN31" s="2843"/>
      <c r="BO31" s="2844"/>
      <c r="BP31" s="2845"/>
    </row>
    <row r="32" spans="1:73" ht="9.9499999999999993" customHeight="1">
      <c r="A32" s="2825" t="s">
        <v>3143</v>
      </c>
      <c r="B32" s="2826"/>
      <c r="C32" s="2849"/>
      <c r="D32" s="2826" t="s">
        <v>3142</v>
      </c>
      <c r="E32" s="2826"/>
      <c r="F32" s="2827"/>
      <c r="G32" s="2825" t="s">
        <v>3141</v>
      </c>
      <c r="H32" s="2826"/>
      <c r="I32" s="2826"/>
      <c r="J32" s="2826"/>
      <c r="K32" s="2827"/>
      <c r="L32" s="2822"/>
      <c r="M32" s="2823"/>
      <c r="N32" s="2822"/>
      <c r="O32" s="2824"/>
      <c r="P32" s="2822"/>
      <c r="Q32" s="2832"/>
      <c r="R32" s="2822"/>
      <c r="S32" s="2832"/>
      <c r="T32" s="2822"/>
      <c r="U32" s="2835"/>
      <c r="V32" s="2822"/>
      <c r="W32" s="2835"/>
      <c r="X32" s="2822"/>
      <c r="Y32" s="2832"/>
      <c r="Z32" s="2822"/>
      <c r="AA32" s="2823"/>
      <c r="AB32" s="2822"/>
      <c r="AC32" s="2823"/>
      <c r="AD32" s="2822"/>
      <c r="AE32" s="2832"/>
      <c r="AF32" s="2843"/>
      <c r="AG32" s="2844"/>
      <c r="AH32" s="2845"/>
      <c r="AI32" s="2825" t="s">
        <v>3143</v>
      </c>
      <c r="AJ32" s="2826"/>
      <c r="AK32" s="2849"/>
      <c r="AL32" s="2826" t="s">
        <v>3142</v>
      </c>
      <c r="AM32" s="2826"/>
      <c r="AN32" s="2827"/>
      <c r="AO32" s="2825" t="s">
        <v>3141</v>
      </c>
      <c r="AP32" s="2826"/>
      <c r="AQ32" s="2826"/>
      <c r="AR32" s="2826"/>
      <c r="AS32" s="2827"/>
      <c r="AT32" s="2822"/>
      <c r="AU32" s="2823"/>
      <c r="AV32" s="2822"/>
      <c r="AW32" s="2824"/>
      <c r="AX32" s="2822"/>
      <c r="AY32" s="2832"/>
      <c r="AZ32" s="2822"/>
      <c r="BA32" s="2832"/>
      <c r="BB32" s="2822"/>
      <c r="BC32" s="2835"/>
      <c r="BD32" s="2822"/>
      <c r="BE32" s="2835"/>
      <c r="BF32" s="2822"/>
      <c r="BG32" s="2832"/>
      <c r="BH32" s="2822"/>
      <c r="BI32" s="2823"/>
      <c r="BJ32" s="2822"/>
      <c r="BK32" s="2823"/>
      <c r="BL32" s="2822"/>
      <c r="BM32" s="2832"/>
      <c r="BN32" s="2843"/>
      <c r="BO32" s="2844"/>
      <c r="BP32" s="2845"/>
    </row>
    <row r="33" spans="1:74" ht="20.100000000000001" customHeight="1">
      <c r="A33" s="1083"/>
      <c r="B33" s="1084" t="s">
        <v>3140</v>
      </c>
      <c r="C33" s="1085"/>
      <c r="D33" s="1086"/>
      <c r="E33" s="1084" t="s">
        <v>3140</v>
      </c>
      <c r="F33" s="1087"/>
      <c r="G33" s="2828"/>
      <c r="H33" s="2829"/>
      <c r="I33" s="2829"/>
      <c r="J33" s="2829"/>
      <c r="K33" s="2830"/>
      <c r="L33" s="1007" t="s">
        <v>3139</v>
      </c>
      <c r="M33" s="2823"/>
      <c r="N33" s="1007" t="s">
        <v>3139</v>
      </c>
      <c r="O33" s="2824"/>
      <c r="P33" s="1007" t="s">
        <v>3139</v>
      </c>
      <c r="Q33" s="2833"/>
      <c r="R33" s="1007" t="s">
        <v>3139</v>
      </c>
      <c r="S33" s="2833"/>
      <c r="T33" s="1007" t="s">
        <v>3139</v>
      </c>
      <c r="U33" s="2836"/>
      <c r="V33" s="1007" t="s">
        <v>3139</v>
      </c>
      <c r="W33" s="2836"/>
      <c r="X33" s="1007" t="s">
        <v>3139</v>
      </c>
      <c r="Y33" s="2833"/>
      <c r="Z33" s="1007" t="s">
        <v>3139</v>
      </c>
      <c r="AA33" s="2823"/>
      <c r="AB33" s="1007" t="s">
        <v>3139</v>
      </c>
      <c r="AC33" s="2823"/>
      <c r="AD33" s="1007" t="s">
        <v>3139</v>
      </c>
      <c r="AE33" s="2833"/>
      <c r="AF33" s="2846"/>
      <c r="AG33" s="2847"/>
      <c r="AH33" s="2848"/>
      <c r="AI33" s="1011"/>
      <c r="AJ33" s="1005" t="s">
        <v>3140</v>
      </c>
      <c r="AK33" s="1010"/>
      <c r="AL33" s="1009"/>
      <c r="AM33" s="1005" t="s">
        <v>3140</v>
      </c>
      <c r="AN33" s="1008"/>
      <c r="AO33" s="2837"/>
      <c r="AP33" s="2838"/>
      <c r="AQ33" s="2838"/>
      <c r="AR33" s="2838"/>
      <c r="AS33" s="2839"/>
      <c r="AT33" s="1007" t="s">
        <v>3139</v>
      </c>
      <c r="AU33" s="2823"/>
      <c r="AV33" s="1007" t="s">
        <v>3139</v>
      </c>
      <c r="AW33" s="2824"/>
      <c r="AX33" s="1007" t="s">
        <v>3139</v>
      </c>
      <c r="AY33" s="2833"/>
      <c r="AZ33" s="1007" t="s">
        <v>3139</v>
      </c>
      <c r="BA33" s="2833"/>
      <c r="BB33" s="1007" t="s">
        <v>3139</v>
      </c>
      <c r="BC33" s="2836"/>
      <c r="BD33" s="1007" t="s">
        <v>3139</v>
      </c>
      <c r="BE33" s="2836"/>
      <c r="BF33" s="1007" t="s">
        <v>3139</v>
      </c>
      <c r="BG33" s="2833"/>
      <c r="BH33" s="1007" t="s">
        <v>3139</v>
      </c>
      <c r="BI33" s="2823"/>
      <c r="BJ33" s="1007" t="s">
        <v>3139</v>
      </c>
      <c r="BK33" s="2823"/>
      <c r="BL33" s="1007" t="s">
        <v>3139</v>
      </c>
      <c r="BM33" s="2833"/>
      <c r="BN33" s="2846"/>
      <c r="BO33" s="2847"/>
      <c r="BP33" s="2848"/>
    </row>
    <row r="34" spans="1:74" ht="9.9499999999999993" customHeight="1">
      <c r="A34" s="2818" t="s">
        <v>3145</v>
      </c>
      <c r="B34" s="2819"/>
      <c r="C34" s="2819"/>
      <c r="D34" s="2819"/>
      <c r="E34" s="2819"/>
      <c r="F34" s="2820"/>
      <c r="G34" s="2818" t="s">
        <v>3144</v>
      </c>
      <c r="H34" s="2819"/>
      <c r="I34" s="2819"/>
      <c r="J34" s="2819"/>
      <c r="K34" s="2820"/>
      <c r="L34" s="2821"/>
      <c r="M34" s="2823"/>
      <c r="N34" s="2821"/>
      <c r="O34" s="2824"/>
      <c r="P34" s="2821"/>
      <c r="Q34" s="2831"/>
      <c r="R34" s="2821"/>
      <c r="S34" s="2831"/>
      <c r="T34" s="2821"/>
      <c r="U34" s="2834"/>
      <c r="V34" s="2821"/>
      <c r="W34" s="2834"/>
      <c r="X34" s="2821"/>
      <c r="Y34" s="2831"/>
      <c r="Z34" s="2821"/>
      <c r="AA34" s="2823"/>
      <c r="AB34" s="2821"/>
      <c r="AC34" s="2823"/>
      <c r="AD34" s="2821"/>
      <c r="AE34" s="2831"/>
      <c r="AF34" s="2840"/>
      <c r="AG34" s="2841"/>
      <c r="AH34" s="2842"/>
      <c r="AI34" s="2818" t="s">
        <v>3145</v>
      </c>
      <c r="AJ34" s="2819"/>
      <c r="AK34" s="2819"/>
      <c r="AL34" s="2819"/>
      <c r="AM34" s="2819"/>
      <c r="AN34" s="2820"/>
      <c r="AO34" s="2818" t="s">
        <v>3144</v>
      </c>
      <c r="AP34" s="2819"/>
      <c r="AQ34" s="2819"/>
      <c r="AR34" s="2819"/>
      <c r="AS34" s="2820"/>
      <c r="AT34" s="2821"/>
      <c r="AU34" s="2823"/>
      <c r="AV34" s="2821"/>
      <c r="AW34" s="2824"/>
      <c r="AX34" s="2821"/>
      <c r="AY34" s="2831"/>
      <c r="AZ34" s="2821"/>
      <c r="BA34" s="2831"/>
      <c r="BB34" s="2821"/>
      <c r="BC34" s="2834"/>
      <c r="BD34" s="2821"/>
      <c r="BE34" s="2834"/>
      <c r="BF34" s="2821"/>
      <c r="BG34" s="2831"/>
      <c r="BH34" s="2821"/>
      <c r="BI34" s="2823"/>
      <c r="BJ34" s="2821"/>
      <c r="BK34" s="2823"/>
      <c r="BL34" s="2821"/>
      <c r="BM34" s="2831"/>
      <c r="BN34" s="2840"/>
      <c r="BO34" s="2841"/>
      <c r="BP34" s="2842"/>
    </row>
    <row r="35" spans="1:74" ht="20.100000000000001" customHeight="1">
      <c r="A35" s="2850"/>
      <c r="B35" s="2851"/>
      <c r="C35" s="2851"/>
      <c r="D35" s="2851"/>
      <c r="E35" s="2851"/>
      <c r="F35" s="2852"/>
      <c r="G35" s="2853">
        <f>$G$7</f>
        <v>0</v>
      </c>
      <c r="H35" s="2854"/>
      <c r="I35" s="2854"/>
      <c r="J35" s="2854"/>
      <c r="K35" s="2855"/>
      <c r="L35" s="2822"/>
      <c r="M35" s="2823"/>
      <c r="N35" s="2822"/>
      <c r="O35" s="2824"/>
      <c r="P35" s="2822"/>
      <c r="Q35" s="2832"/>
      <c r="R35" s="2822"/>
      <c r="S35" s="2832"/>
      <c r="T35" s="2822"/>
      <c r="U35" s="2835"/>
      <c r="V35" s="2822"/>
      <c r="W35" s="2835"/>
      <c r="X35" s="2822"/>
      <c r="Y35" s="2832"/>
      <c r="Z35" s="2822"/>
      <c r="AA35" s="2823"/>
      <c r="AB35" s="2822"/>
      <c r="AC35" s="2823"/>
      <c r="AD35" s="2822"/>
      <c r="AE35" s="2832"/>
      <c r="AF35" s="2843"/>
      <c r="AG35" s="2844"/>
      <c r="AH35" s="2845"/>
      <c r="AI35" s="2856"/>
      <c r="AJ35" s="2857"/>
      <c r="AK35" s="2857"/>
      <c r="AL35" s="2857"/>
      <c r="AM35" s="2857"/>
      <c r="AN35" s="2858"/>
      <c r="AO35" s="2859"/>
      <c r="AP35" s="2860"/>
      <c r="AQ35" s="2860"/>
      <c r="AR35" s="2860"/>
      <c r="AS35" s="2861"/>
      <c r="AT35" s="2822"/>
      <c r="AU35" s="2823"/>
      <c r="AV35" s="2822"/>
      <c r="AW35" s="2824"/>
      <c r="AX35" s="2822"/>
      <c r="AY35" s="2832"/>
      <c r="AZ35" s="2822"/>
      <c r="BA35" s="2832"/>
      <c r="BB35" s="2822"/>
      <c r="BC35" s="2835"/>
      <c r="BD35" s="2822"/>
      <c r="BE35" s="2835"/>
      <c r="BF35" s="2822"/>
      <c r="BG35" s="2832"/>
      <c r="BH35" s="2822"/>
      <c r="BI35" s="2823"/>
      <c r="BJ35" s="2822"/>
      <c r="BK35" s="2823"/>
      <c r="BL35" s="2822"/>
      <c r="BM35" s="2832"/>
      <c r="BN35" s="2843"/>
      <c r="BO35" s="2844"/>
      <c r="BP35" s="2845"/>
    </row>
    <row r="36" spans="1:74" ht="9.9499999999999993" customHeight="1">
      <c r="A36" s="2825" t="s">
        <v>3143</v>
      </c>
      <c r="B36" s="2826"/>
      <c r="C36" s="2849"/>
      <c r="D36" s="2826" t="s">
        <v>3142</v>
      </c>
      <c r="E36" s="2826"/>
      <c r="F36" s="2827"/>
      <c r="G36" s="2825" t="s">
        <v>3141</v>
      </c>
      <c r="H36" s="2826"/>
      <c r="I36" s="2826"/>
      <c r="J36" s="2826"/>
      <c r="K36" s="2827"/>
      <c r="L36" s="2822"/>
      <c r="M36" s="2823"/>
      <c r="N36" s="2822"/>
      <c r="O36" s="2824"/>
      <c r="P36" s="2822"/>
      <c r="Q36" s="2832"/>
      <c r="R36" s="2822"/>
      <c r="S36" s="2832"/>
      <c r="T36" s="2822"/>
      <c r="U36" s="2835"/>
      <c r="V36" s="2822"/>
      <c r="W36" s="2835"/>
      <c r="X36" s="2822"/>
      <c r="Y36" s="2832"/>
      <c r="Z36" s="2822"/>
      <c r="AA36" s="2823"/>
      <c r="AB36" s="2822"/>
      <c r="AC36" s="2823"/>
      <c r="AD36" s="2822"/>
      <c r="AE36" s="2832"/>
      <c r="AF36" s="2843"/>
      <c r="AG36" s="2844"/>
      <c r="AH36" s="2845"/>
      <c r="AI36" s="2825" t="s">
        <v>3143</v>
      </c>
      <c r="AJ36" s="2826"/>
      <c r="AK36" s="2849"/>
      <c r="AL36" s="2826" t="s">
        <v>3142</v>
      </c>
      <c r="AM36" s="2826"/>
      <c r="AN36" s="2827"/>
      <c r="AO36" s="2825" t="s">
        <v>3141</v>
      </c>
      <c r="AP36" s="2826"/>
      <c r="AQ36" s="2826"/>
      <c r="AR36" s="2826"/>
      <c r="AS36" s="2827"/>
      <c r="AT36" s="2822"/>
      <c r="AU36" s="2823"/>
      <c r="AV36" s="2822"/>
      <c r="AW36" s="2824"/>
      <c r="AX36" s="2822"/>
      <c r="AY36" s="2832"/>
      <c r="AZ36" s="2822"/>
      <c r="BA36" s="2832"/>
      <c r="BB36" s="2822"/>
      <c r="BC36" s="2835"/>
      <c r="BD36" s="2822"/>
      <c r="BE36" s="2835"/>
      <c r="BF36" s="2822"/>
      <c r="BG36" s="2832"/>
      <c r="BH36" s="2822"/>
      <c r="BI36" s="2823"/>
      <c r="BJ36" s="2822"/>
      <c r="BK36" s="2823"/>
      <c r="BL36" s="2822"/>
      <c r="BM36" s="2832"/>
      <c r="BN36" s="2843"/>
      <c r="BO36" s="2844"/>
      <c r="BP36" s="2845"/>
    </row>
    <row r="37" spans="1:74" ht="20.100000000000001" customHeight="1">
      <c r="A37" s="1083"/>
      <c r="B37" s="1084" t="s">
        <v>3140</v>
      </c>
      <c r="C37" s="1085"/>
      <c r="D37" s="1086"/>
      <c r="E37" s="1084" t="s">
        <v>3140</v>
      </c>
      <c r="F37" s="1087"/>
      <c r="G37" s="2828"/>
      <c r="H37" s="2829"/>
      <c r="I37" s="2829"/>
      <c r="J37" s="2829"/>
      <c r="K37" s="2830"/>
      <c r="L37" s="1007" t="s">
        <v>3139</v>
      </c>
      <c r="M37" s="2823"/>
      <c r="N37" s="1007" t="s">
        <v>3139</v>
      </c>
      <c r="O37" s="2824"/>
      <c r="P37" s="1007" t="s">
        <v>3139</v>
      </c>
      <c r="Q37" s="2833"/>
      <c r="R37" s="1007" t="s">
        <v>3139</v>
      </c>
      <c r="S37" s="2833"/>
      <c r="T37" s="1007" t="s">
        <v>3139</v>
      </c>
      <c r="U37" s="2836"/>
      <c r="V37" s="1007" t="s">
        <v>3139</v>
      </c>
      <c r="W37" s="2836"/>
      <c r="X37" s="1007" t="s">
        <v>3139</v>
      </c>
      <c r="Y37" s="2833"/>
      <c r="Z37" s="1007" t="s">
        <v>3139</v>
      </c>
      <c r="AA37" s="2823"/>
      <c r="AB37" s="1007" t="s">
        <v>3139</v>
      </c>
      <c r="AC37" s="2823"/>
      <c r="AD37" s="1007" t="s">
        <v>3139</v>
      </c>
      <c r="AE37" s="2833"/>
      <c r="AF37" s="2846"/>
      <c r="AG37" s="2847"/>
      <c r="AH37" s="2848"/>
      <c r="AI37" s="1011"/>
      <c r="AJ37" s="1005" t="s">
        <v>3140</v>
      </c>
      <c r="AK37" s="1010"/>
      <c r="AL37" s="1009"/>
      <c r="AM37" s="1005" t="s">
        <v>3140</v>
      </c>
      <c r="AN37" s="1008"/>
      <c r="AO37" s="2837"/>
      <c r="AP37" s="2838"/>
      <c r="AQ37" s="2838"/>
      <c r="AR37" s="2838"/>
      <c r="AS37" s="2839"/>
      <c r="AT37" s="1007" t="s">
        <v>3139</v>
      </c>
      <c r="AU37" s="2823"/>
      <c r="AV37" s="1007" t="s">
        <v>3139</v>
      </c>
      <c r="AW37" s="2824"/>
      <c r="AX37" s="1007" t="s">
        <v>3139</v>
      </c>
      <c r="AY37" s="2833"/>
      <c r="AZ37" s="1007" t="s">
        <v>3139</v>
      </c>
      <c r="BA37" s="2833"/>
      <c r="BB37" s="1007" t="s">
        <v>3139</v>
      </c>
      <c r="BC37" s="2836"/>
      <c r="BD37" s="1007" t="s">
        <v>3139</v>
      </c>
      <c r="BE37" s="2836"/>
      <c r="BF37" s="1007" t="s">
        <v>3139</v>
      </c>
      <c r="BG37" s="2833"/>
      <c r="BH37" s="1007" t="s">
        <v>3139</v>
      </c>
      <c r="BI37" s="2823"/>
      <c r="BJ37" s="1007" t="s">
        <v>3139</v>
      </c>
      <c r="BK37" s="2823"/>
      <c r="BL37" s="1007" t="s">
        <v>3139</v>
      </c>
      <c r="BM37" s="2833"/>
      <c r="BN37" s="2846"/>
      <c r="BO37" s="2847"/>
      <c r="BP37" s="2848"/>
    </row>
    <row r="38" spans="1:74" ht="21" customHeight="1" thickBot="1">
      <c r="A38" s="2797" t="s">
        <v>3182</v>
      </c>
      <c r="B38" s="2797"/>
      <c r="C38" s="2797"/>
      <c r="D38" s="2797"/>
      <c r="E38" s="2797"/>
      <c r="F38" s="2797"/>
      <c r="G38" s="2797"/>
      <c r="H38" s="2797"/>
      <c r="I38" s="2797"/>
      <c r="J38" s="2797"/>
      <c r="K38" s="2797"/>
      <c r="L38" s="2797"/>
      <c r="AI38" s="2797" t="s">
        <v>3182</v>
      </c>
      <c r="AJ38" s="2797"/>
      <c r="AK38" s="2797"/>
      <c r="AL38" s="2797"/>
      <c r="AM38" s="2797"/>
      <c r="AN38" s="2797"/>
      <c r="AO38" s="2797"/>
      <c r="AP38" s="2797"/>
      <c r="AQ38" s="2797"/>
      <c r="AR38" s="2797"/>
      <c r="AS38" s="2797"/>
      <c r="AT38" s="2797"/>
    </row>
    <row r="39" spans="1:74" ht="17.25" customHeight="1" thickTop="1">
      <c r="A39" s="1035"/>
      <c r="B39" s="2798">
        <f>B2</f>
        <v>0</v>
      </c>
      <c r="C39" s="2799"/>
      <c r="D39" s="2799"/>
      <c r="E39" s="2799"/>
      <c r="F39" s="1034" t="s">
        <v>3181</v>
      </c>
      <c r="G39" s="1034"/>
      <c r="H39" s="1032"/>
      <c r="I39" s="1031"/>
      <c r="J39" s="1032"/>
      <c r="K39" s="1029"/>
      <c r="L39" s="2791" t="s">
        <v>3180</v>
      </c>
      <c r="M39" s="2792"/>
      <c r="N39" s="2792"/>
      <c r="O39" s="2792"/>
      <c r="P39" s="2792"/>
      <c r="Q39" s="2792"/>
      <c r="R39" s="2792"/>
      <c r="S39" s="2792"/>
      <c r="T39" s="2792"/>
      <c r="U39" s="2792"/>
      <c r="V39" s="2792"/>
      <c r="W39" s="2792"/>
      <c r="X39" s="2792"/>
      <c r="Y39" s="2792"/>
      <c r="Z39" s="2792"/>
      <c r="AA39" s="2793"/>
      <c r="AB39" s="2791" t="s">
        <v>3179</v>
      </c>
      <c r="AC39" s="2792"/>
      <c r="AD39" s="2792"/>
      <c r="AE39" s="2793"/>
      <c r="AF39" s="2801" t="s">
        <v>3071</v>
      </c>
      <c r="AG39" s="2801"/>
      <c r="AH39" s="2801"/>
      <c r="AI39" s="1035"/>
      <c r="AJ39" s="2798" t="str">
        <f>AJ2</f>
        <v>令和４</v>
      </c>
      <c r="AK39" s="2799"/>
      <c r="AL39" s="2799"/>
      <c r="AM39" s="2799"/>
      <c r="AN39" s="1034" t="s">
        <v>3181</v>
      </c>
      <c r="AO39" s="1034"/>
      <c r="AP39" s="1032"/>
      <c r="AQ39" s="1031"/>
      <c r="AR39" s="1032"/>
      <c r="AS39" s="1029"/>
      <c r="AT39" s="2791" t="s">
        <v>3180</v>
      </c>
      <c r="AU39" s="2792"/>
      <c r="AV39" s="2792"/>
      <c r="AW39" s="2792"/>
      <c r="AX39" s="2792"/>
      <c r="AY39" s="2792"/>
      <c r="AZ39" s="2792"/>
      <c r="BA39" s="2792"/>
      <c r="BB39" s="2792"/>
      <c r="BC39" s="2792"/>
      <c r="BD39" s="2792"/>
      <c r="BE39" s="2792"/>
      <c r="BF39" s="2792"/>
      <c r="BG39" s="2792"/>
      <c r="BH39" s="2792"/>
      <c r="BI39" s="2793"/>
      <c r="BJ39" s="2791" t="s">
        <v>3179</v>
      </c>
      <c r="BK39" s="2792"/>
      <c r="BL39" s="2792"/>
      <c r="BM39" s="2793"/>
      <c r="BN39" s="2801" t="s">
        <v>3071</v>
      </c>
      <c r="BO39" s="2801"/>
      <c r="BP39" s="2801"/>
    </row>
    <row r="40" spans="1:74" ht="23.25" customHeight="1">
      <c r="A40" s="1028"/>
      <c r="B40" s="2794" t="str">
        <f>CONCATENATE('01 使用承認申請書'!C16)</f>
        <v/>
      </c>
      <c r="C40" s="2795"/>
      <c r="D40" s="2796" t="s">
        <v>3178</v>
      </c>
      <c r="E40" s="2796"/>
      <c r="F40" s="1032" t="str">
        <f>CONCATENATE('01 使用承認申請書'!F16)</f>
        <v/>
      </c>
      <c r="G40" s="1031" t="s">
        <v>3177</v>
      </c>
      <c r="H40" s="1031" t="s">
        <v>3070</v>
      </c>
      <c r="I40" s="1033">
        <f>'01 使用承認申請書'!J16</f>
        <v>0</v>
      </c>
      <c r="J40" s="1029" t="s">
        <v>3069</v>
      </c>
      <c r="K40" s="1029"/>
      <c r="L40" s="2791" t="s">
        <v>3176</v>
      </c>
      <c r="M40" s="2792"/>
      <c r="N40" s="2792"/>
      <c r="O40" s="2792"/>
      <c r="P40" s="2792"/>
      <c r="Q40" s="2792"/>
      <c r="R40" s="2792"/>
      <c r="S40" s="2792"/>
      <c r="T40" s="2792"/>
      <c r="U40" s="2792"/>
      <c r="V40" s="2792"/>
      <c r="W40" s="2793"/>
      <c r="X40" s="2791" t="s">
        <v>3175</v>
      </c>
      <c r="Y40" s="2792"/>
      <c r="Z40" s="2792"/>
      <c r="AA40" s="2793"/>
      <c r="AB40" s="2806" t="s">
        <v>3162</v>
      </c>
      <c r="AC40" s="2807"/>
      <c r="AD40" s="2806" t="s">
        <v>3162</v>
      </c>
      <c r="AE40" s="2807"/>
      <c r="AF40" s="2801"/>
      <c r="AG40" s="2801"/>
      <c r="AH40" s="2801"/>
      <c r="AI40" s="1028"/>
      <c r="AJ40" s="2794">
        <v>6</v>
      </c>
      <c r="AK40" s="2795"/>
      <c r="AL40" s="2796" t="s">
        <v>3178</v>
      </c>
      <c r="AM40" s="2796"/>
      <c r="AN40" s="1032">
        <v>2</v>
      </c>
      <c r="AO40" s="1031" t="s">
        <v>3177</v>
      </c>
      <c r="AP40" s="1031" t="s">
        <v>3070</v>
      </c>
      <c r="AQ40" s="1033" t="s">
        <v>3073</v>
      </c>
      <c r="AR40" s="1029" t="s">
        <v>3069</v>
      </c>
      <c r="AS40" s="1029"/>
      <c r="AT40" s="2791" t="s">
        <v>3176</v>
      </c>
      <c r="AU40" s="2792"/>
      <c r="AV40" s="2792"/>
      <c r="AW40" s="2792"/>
      <c r="AX40" s="2792"/>
      <c r="AY40" s="2792"/>
      <c r="AZ40" s="2792"/>
      <c r="BA40" s="2792"/>
      <c r="BB40" s="2792"/>
      <c r="BC40" s="2792"/>
      <c r="BD40" s="2792"/>
      <c r="BE40" s="2793"/>
      <c r="BF40" s="2791" t="s">
        <v>3175</v>
      </c>
      <c r="BG40" s="2792"/>
      <c r="BH40" s="2792"/>
      <c r="BI40" s="2793"/>
      <c r="BJ40" s="2806" t="s">
        <v>3167</v>
      </c>
      <c r="BK40" s="2807"/>
      <c r="BL40" s="2806" t="s">
        <v>3162</v>
      </c>
      <c r="BM40" s="2807"/>
      <c r="BN40" s="2801"/>
      <c r="BO40" s="2801"/>
      <c r="BP40" s="2801"/>
      <c r="BQ40" s="1025" t="s">
        <v>3162</v>
      </c>
      <c r="BR40" s="1025" t="s">
        <v>3162</v>
      </c>
      <c r="BS40" s="1025" t="s">
        <v>3162</v>
      </c>
      <c r="BT40" s="1025" t="s">
        <v>3162</v>
      </c>
      <c r="BU40" s="1025" t="s">
        <v>3162</v>
      </c>
      <c r="BV40" s="1025" t="s">
        <v>3162</v>
      </c>
    </row>
    <row r="41" spans="1:74" ht="24.95" customHeight="1">
      <c r="A41" s="1028"/>
      <c r="B41" s="2794"/>
      <c r="C41" s="2795"/>
      <c r="D41" s="2810"/>
      <c r="E41" s="2810"/>
      <c r="F41" s="2811"/>
      <c r="G41" s="2811"/>
      <c r="H41" s="1032"/>
      <c r="I41" s="1031" t="s">
        <v>3174</v>
      </c>
      <c r="J41" s="1030">
        <v>1</v>
      </c>
      <c r="K41" s="1029"/>
      <c r="L41" s="2802" t="s">
        <v>3169</v>
      </c>
      <c r="M41" s="2803"/>
      <c r="N41" s="2802" t="s">
        <v>3173</v>
      </c>
      <c r="O41" s="2803"/>
      <c r="P41" s="2802" t="s">
        <v>3172</v>
      </c>
      <c r="Q41" s="2803"/>
      <c r="R41" s="2802" t="s">
        <v>3168</v>
      </c>
      <c r="S41" s="2803"/>
      <c r="T41" s="2802" t="s">
        <v>3171</v>
      </c>
      <c r="U41" s="2803"/>
      <c r="V41" s="2802" t="s">
        <v>3170</v>
      </c>
      <c r="W41" s="2803"/>
      <c r="X41" s="2802" t="s">
        <v>3169</v>
      </c>
      <c r="Y41" s="2803"/>
      <c r="Z41" s="2802" t="s">
        <v>3168</v>
      </c>
      <c r="AA41" s="2803"/>
      <c r="AB41" s="2808" t="s">
        <v>3162</v>
      </c>
      <c r="AC41" s="2809"/>
      <c r="AD41" s="2808" t="s">
        <v>3162</v>
      </c>
      <c r="AE41" s="2809"/>
      <c r="AF41" s="2801"/>
      <c r="AG41" s="2801"/>
      <c r="AH41" s="2801"/>
      <c r="AI41" s="1028"/>
      <c r="AJ41" s="2794"/>
      <c r="AK41" s="2795"/>
      <c r="AL41" s="2810"/>
      <c r="AM41" s="2810"/>
      <c r="AN41" s="2811"/>
      <c r="AO41" s="2811"/>
      <c r="AP41" s="1032"/>
      <c r="AQ41" s="1031" t="s">
        <v>3174</v>
      </c>
      <c r="AR41" s="1030">
        <v>1</v>
      </c>
      <c r="AS41" s="1029"/>
      <c r="AT41" s="2802" t="s">
        <v>3169</v>
      </c>
      <c r="AU41" s="2803"/>
      <c r="AV41" s="2802" t="s">
        <v>3173</v>
      </c>
      <c r="AW41" s="2803"/>
      <c r="AX41" s="2802" t="s">
        <v>3172</v>
      </c>
      <c r="AY41" s="2803"/>
      <c r="AZ41" s="2802" t="s">
        <v>3168</v>
      </c>
      <c r="BA41" s="2803"/>
      <c r="BB41" s="2802" t="s">
        <v>3171</v>
      </c>
      <c r="BC41" s="2803"/>
      <c r="BD41" s="2802" t="s">
        <v>3170</v>
      </c>
      <c r="BE41" s="2803"/>
      <c r="BF41" s="2802" t="s">
        <v>3169</v>
      </c>
      <c r="BG41" s="2803"/>
      <c r="BH41" s="2802" t="s">
        <v>3168</v>
      </c>
      <c r="BI41" s="2803"/>
      <c r="BJ41" s="2808" t="s">
        <v>3160</v>
      </c>
      <c r="BK41" s="2809"/>
      <c r="BL41" s="2808" t="s">
        <v>3162</v>
      </c>
      <c r="BM41" s="2809"/>
      <c r="BN41" s="2801"/>
      <c r="BO41" s="2801"/>
      <c r="BP41" s="2801"/>
      <c r="BQ41" s="1013" t="s">
        <v>3167</v>
      </c>
      <c r="BR41" s="1026" t="s">
        <v>3166</v>
      </c>
      <c r="BS41" s="1013" t="s">
        <v>3165</v>
      </c>
      <c r="BT41" s="1002" t="s">
        <v>3164</v>
      </c>
      <c r="BU41" s="1002">
        <v>7</v>
      </c>
      <c r="BV41" s="1002">
        <v>0</v>
      </c>
    </row>
    <row r="42" spans="1:74" ht="24.95" customHeight="1">
      <c r="A42" s="1028"/>
      <c r="B42" s="1027"/>
      <c r="C42" s="2814"/>
      <c r="D42" s="2815"/>
      <c r="E42" s="2815"/>
      <c r="F42" s="2815"/>
      <c r="G42" s="2815"/>
      <c r="H42" s="2816"/>
      <c r="I42" s="2816"/>
      <c r="J42" s="2816"/>
      <c r="K42" s="2817"/>
      <c r="L42" s="2804"/>
      <c r="M42" s="2805"/>
      <c r="N42" s="2804"/>
      <c r="O42" s="2805"/>
      <c r="P42" s="2804"/>
      <c r="Q42" s="2805"/>
      <c r="R42" s="2804"/>
      <c r="S42" s="2805"/>
      <c r="T42" s="2804"/>
      <c r="U42" s="2805"/>
      <c r="V42" s="2804"/>
      <c r="W42" s="2805"/>
      <c r="X42" s="2804"/>
      <c r="Y42" s="2805"/>
      <c r="Z42" s="2804"/>
      <c r="AA42" s="2805"/>
      <c r="AB42" s="2812" t="s">
        <v>3162</v>
      </c>
      <c r="AC42" s="2813"/>
      <c r="AD42" s="2812" t="s">
        <v>3162</v>
      </c>
      <c r="AE42" s="2813"/>
      <c r="AF42" s="2801"/>
      <c r="AG42" s="2801"/>
      <c r="AH42" s="2801"/>
      <c r="AI42" s="1028"/>
      <c r="AJ42" s="1027"/>
      <c r="AK42" s="2814"/>
      <c r="AL42" s="2815"/>
      <c r="AM42" s="2815"/>
      <c r="AN42" s="2815"/>
      <c r="AO42" s="2815"/>
      <c r="AP42" s="2816"/>
      <c r="AQ42" s="2816"/>
      <c r="AR42" s="2816"/>
      <c r="AS42" s="2817"/>
      <c r="AT42" s="2804"/>
      <c r="AU42" s="2805"/>
      <c r="AV42" s="2804"/>
      <c r="AW42" s="2805"/>
      <c r="AX42" s="2804"/>
      <c r="AY42" s="2805"/>
      <c r="AZ42" s="2804"/>
      <c r="BA42" s="2805"/>
      <c r="BB42" s="2804"/>
      <c r="BC42" s="2805"/>
      <c r="BD42" s="2804"/>
      <c r="BE42" s="2805"/>
      <c r="BF42" s="2804"/>
      <c r="BG42" s="2805"/>
      <c r="BH42" s="2804"/>
      <c r="BI42" s="2805"/>
      <c r="BJ42" s="2812" t="s">
        <v>3163</v>
      </c>
      <c r="BK42" s="2813"/>
      <c r="BL42" s="2812" t="s">
        <v>3162</v>
      </c>
      <c r="BM42" s="2813"/>
      <c r="BN42" s="2801"/>
      <c r="BO42" s="2801"/>
      <c r="BP42" s="2801"/>
      <c r="BQ42" s="1026" t="s">
        <v>3161</v>
      </c>
      <c r="BR42" s="1026" t="s">
        <v>3160</v>
      </c>
      <c r="BS42" s="1013" t="s">
        <v>3159</v>
      </c>
      <c r="BT42" s="1002" t="s">
        <v>3153</v>
      </c>
      <c r="BU42" s="1002">
        <v>8</v>
      </c>
      <c r="BV42" s="1002">
        <v>15</v>
      </c>
    </row>
    <row r="43" spans="1:74" ht="9.9499999999999993" customHeight="1">
      <c r="A43" s="2818" t="s">
        <v>3145</v>
      </c>
      <c r="B43" s="2819"/>
      <c r="C43" s="2819"/>
      <c r="D43" s="2819"/>
      <c r="E43" s="2819"/>
      <c r="F43" s="2820"/>
      <c r="G43" s="2818" t="s">
        <v>3144</v>
      </c>
      <c r="H43" s="2819"/>
      <c r="I43" s="2819"/>
      <c r="J43" s="2819"/>
      <c r="K43" s="2820"/>
      <c r="L43" s="2821"/>
      <c r="M43" s="2823"/>
      <c r="N43" s="2821"/>
      <c r="O43" s="2824"/>
      <c r="P43" s="2821"/>
      <c r="Q43" s="2831"/>
      <c r="R43" s="2821"/>
      <c r="S43" s="2831"/>
      <c r="T43" s="2821"/>
      <c r="U43" s="2834"/>
      <c r="V43" s="2821"/>
      <c r="W43" s="2834"/>
      <c r="X43" s="2821"/>
      <c r="Y43" s="2831"/>
      <c r="Z43" s="2821"/>
      <c r="AA43" s="2823"/>
      <c r="AB43" s="2821"/>
      <c r="AC43" s="2823"/>
      <c r="AD43" s="2821"/>
      <c r="AE43" s="2831"/>
      <c r="AF43" s="2840"/>
      <c r="AG43" s="2841"/>
      <c r="AH43" s="2842"/>
      <c r="AI43" s="2871" t="s">
        <v>3145</v>
      </c>
      <c r="AJ43" s="2872"/>
      <c r="AK43" s="2872"/>
      <c r="AL43" s="2872"/>
      <c r="AM43" s="2872"/>
      <c r="AN43" s="2873"/>
      <c r="AO43" s="2871" t="s">
        <v>3144</v>
      </c>
      <c r="AP43" s="2872"/>
      <c r="AQ43" s="2872"/>
      <c r="AR43" s="2872"/>
      <c r="AS43" s="2873"/>
      <c r="AT43" s="2821"/>
      <c r="AU43" s="2823"/>
      <c r="AV43" s="2821"/>
      <c r="AW43" s="2824"/>
      <c r="AX43" s="2821"/>
      <c r="AY43" s="2831"/>
      <c r="AZ43" s="2821"/>
      <c r="BA43" s="2831"/>
      <c r="BB43" s="2821"/>
      <c r="BC43" s="2834"/>
      <c r="BD43" s="2821"/>
      <c r="BE43" s="2834"/>
      <c r="BF43" s="2821"/>
      <c r="BG43" s="2831"/>
      <c r="BH43" s="2821">
        <v>5</v>
      </c>
      <c r="BI43" s="2823"/>
      <c r="BJ43" s="2821"/>
      <c r="BK43" s="2823"/>
      <c r="BL43" s="2821"/>
      <c r="BM43" s="2831"/>
      <c r="BN43" s="2840" t="s">
        <v>3158</v>
      </c>
      <c r="BO43" s="2841"/>
      <c r="BP43" s="2842"/>
      <c r="BQ43" s="1025"/>
      <c r="BR43" s="1025"/>
      <c r="BS43" s="1025"/>
      <c r="BU43" s="1002">
        <v>9</v>
      </c>
      <c r="BV43" s="1002">
        <v>30</v>
      </c>
    </row>
    <row r="44" spans="1:74" ht="19.5" customHeight="1">
      <c r="A44" s="2850"/>
      <c r="B44" s="2851"/>
      <c r="C44" s="2851"/>
      <c r="D44" s="2851"/>
      <c r="E44" s="2851"/>
      <c r="F44" s="2852"/>
      <c r="G44" s="2853">
        <f>$G$7</f>
        <v>0</v>
      </c>
      <c r="H44" s="2854"/>
      <c r="I44" s="2854"/>
      <c r="J44" s="2854"/>
      <c r="K44" s="2855"/>
      <c r="L44" s="2822"/>
      <c r="M44" s="2823"/>
      <c r="N44" s="2822"/>
      <c r="O44" s="2824"/>
      <c r="P44" s="2822"/>
      <c r="Q44" s="2832"/>
      <c r="R44" s="2822"/>
      <c r="S44" s="2832"/>
      <c r="T44" s="2822"/>
      <c r="U44" s="2835"/>
      <c r="V44" s="2822"/>
      <c r="W44" s="2835"/>
      <c r="X44" s="2822"/>
      <c r="Y44" s="2832"/>
      <c r="Z44" s="2822"/>
      <c r="AA44" s="2823"/>
      <c r="AB44" s="2822"/>
      <c r="AC44" s="2823"/>
      <c r="AD44" s="2822"/>
      <c r="AE44" s="2832"/>
      <c r="AF44" s="2843"/>
      <c r="AG44" s="2844"/>
      <c r="AH44" s="2845"/>
      <c r="AI44" s="2868" t="s">
        <v>3157</v>
      </c>
      <c r="AJ44" s="2869"/>
      <c r="AK44" s="2869"/>
      <c r="AL44" s="2869"/>
      <c r="AM44" s="2869"/>
      <c r="AN44" s="2870"/>
      <c r="AO44" s="2871" t="s">
        <v>3155</v>
      </c>
      <c r="AP44" s="2872"/>
      <c r="AQ44" s="2872"/>
      <c r="AR44" s="2872"/>
      <c r="AS44" s="2873"/>
      <c r="AT44" s="2822"/>
      <c r="AU44" s="2823"/>
      <c r="AV44" s="2822"/>
      <c r="AW44" s="2824"/>
      <c r="AX44" s="2822"/>
      <c r="AY44" s="2832"/>
      <c r="AZ44" s="2822"/>
      <c r="BA44" s="2832"/>
      <c r="BB44" s="2822"/>
      <c r="BC44" s="2835"/>
      <c r="BD44" s="2822"/>
      <c r="BE44" s="2835"/>
      <c r="BF44" s="2822"/>
      <c r="BG44" s="2832"/>
      <c r="BH44" s="2822"/>
      <c r="BI44" s="2823"/>
      <c r="BJ44" s="2822"/>
      <c r="BK44" s="2823"/>
      <c r="BL44" s="2822"/>
      <c r="BM44" s="2832"/>
      <c r="BN44" s="2843"/>
      <c r="BO44" s="2844"/>
      <c r="BP44" s="2845"/>
      <c r="BQ44" s="1025"/>
      <c r="BR44" s="1025"/>
      <c r="BS44" s="1025"/>
      <c r="BU44" s="1002">
        <v>10</v>
      </c>
      <c r="BV44" s="1002">
        <v>45</v>
      </c>
    </row>
    <row r="45" spans="1:74" ht="9.9499999999999993" customHeight="1">
      <c r="A45" s="2825" t="s">
        <v>3143</v>
      </c>
      <c r="B45" s="2826"/>
      <c r="C45" s="2849"/>
      <c r="D45" s="2826" t="s">
        <v>3142</v>
      </c>
      <c r="E45" s="2826"/>
      <c r="F45" s="2827"/>
      <c r="G45" s="2825" t="s">
        <v>3141</v>
      </c>
      <c r="H45" s="2826"/>
      <c r="I45" s="2826"/>
      <c r="J45" s="2826"/>
      <c r="K45" s="2827"/>
      <c r="L45" s="2822"/>
      <c r="M45" s="2823"/>
      <c r="N45" s="2822"/>
      <c r="O45" s="2824"/>
      <c r="P45" s="2822"/>
      <c r="Q45" s="2832"/>
      <c r="R45" s="2822"/>
      <c r="S45" s="2832"/>
      <c r="T45" s="2822"/>
      <c r="U45" s="2835"/>
      <c r="V45" s="2822"/>
      <c r="W45" s="2835"/>
      <c r="X45" s="2822"/>
      <c r="Y45" s="2832"/>
      <c r="Z45" s="2822"/>
      <c r="AA45" s="2823"/>
      <c r="AB45" s="2822"/>
      <c r="AC45" s="2823"/>
      <c r="AD45" s="2822"/>
      <c r="AE45" s="2832"/>
      <c r="AF45" s="2843"/>
      <c r="AG45" s="2844"/>
      <c r="AH45" s="2845"/>
      <c r="AI45" s="2871" t="s">
        <v>3143</v>
      </c>
      <c r="AJ45" s="2872"/>
      <c r="AK45" s="2873"/>
      <c r="AL45" s="2871" t="s">
        <v>3142</v>
      </c>
      <c r="AM45" s="2872"/>
      <c r="AN45" s="2873"/>
      <c r="AO45" s="2825" t="s">
        <v>3141</v>
      </c>
      <c r="AP45" s="2826"/>
      <c r="AQ45" s="2826"/>
      <c r="AR45" s="2826"/>
      <c r="AS45" s="2827"/>
      <c r="AT45" s="2822"/>
      <c r="AU45" s="2823"/>
      <c r="AV45" s="2822"/>
      <c r="AW45" s="2824"/>
      <c r="AX45" s="2822"/>
      <c r="AY45" s="2832"/>
      <c r="AZ45" s="2822"/>
      <c r="BA45" s="2832"/>
      <c r="BB45" s="2822"/>
      <c r="BC45" s="2835"/>
      <c r="BD45" s="2822"/>
      <c r="BE45" s="2835"/>
      <c r="BF45" s="2822"/>
      <c r="BG45" s="2832"/>
      <c r="BH45" s="2822"/>
      <c r="BI45" s="2823"/>
      <c r="BJ45" s="2822"/>
      <c r="BK45" s="2823"/>
      <c r="BL45" s="2822"/>
      <c r="BM45" s="2832"/>
      <c r="BN45" s="2843"/>
      <c r="BO45" s="2844"/>
      <c r="BP45" s="2845"/>
      <c r="BQ45" s="1025"/>
      <c r="BR45" s="1025"/>
      <c r="BS45" s="1025"/>
      <c r="BU45" s="1002">
        <v>11</v>
      </c>
    </row>
    <row r="46" spans="1:74" ht="20.100000000000001" customHeight="1">
      <c r="A46" s="1083"/>
      <c r="B46" s="1084" t="s">
        <v>3140</v>
      </c>
      <c r="C46" s="1085"/>
      <c r="D46" s="1086"/>
      <c r="E46" s="1084" t="s">
        <v>3140</v>
      </c>
      <c r="F46" s="1088"/>
      <c r="G46" s="2828"/>
      <c r="H46" s="2829"/>
      <c r="I46" s="2829"/>
      <c r="J46" s="2829"/>
      <c r="K46" s="2830"/>
      <c r="L46" s="1007" t="s">
        <v>3139</v>
      </c>
      <c r="M46" s="2823"/>
      <c r="N46" s="1007" t="s">
        <v>3139</v>
      </c>
      <c r="O46" s="2824"/>
      <c r="P46" s="1007" t="s">
        <v>3139</v>
      </c>
      <c r="Q46" s="2833"/>
      <c r="R46" s="1007" t="s">
        <v>3139</v>
      </c>
      <c r="S46" s="2833"/>
      <c r="T46" s="1007" t="s">
        <v>3139</v>
      </c>
      <c r="U46" s="2836"/>
      <c r="V46" s="1007" t="s">
        <v>3139</v>
      </c>
      <c r="W46" s="2836"/>
      <c r="X46" s="1007" t="s">
        <v>3139</v>
      </c>
      <c r="Y46" s="2833"/>
      <c r="Z46" s="1007" t="s">
        <v>3139</v>
      </c>
      <c r="AA46" s="2823"/>
      <c r="AB46" s="1007" t="s">
        <v>3139</v>
      </c>
      <c r="AC46" s="2823"/>
      <c r="AD46" s="1007" t="s">
        <v>3139</v>
      </c>
      <c r="AE46" s="2833"/>
      <c r="AF46" s="2846"/>
      <c r="AG46" s="2847"/>
      <c r="AH46" s="2848"/>
      <c r="AI46" s="1024">
        <v>9</v>
      </c>
      <c r="AJ46" s="1023" t="s">
        <v>3140</v>
      </c>
      <c r="AK46" s="1017">
        <v>30</v>
      </c>
      <c r="AL46" s="1024">
        <v>10</v>
      </c>
      <c r="AM46" s="1023" t="s">
        <v>3140</v>
      </c>
      <c r="AN46" s="1017" t="s">
        <v>3152</v>
      </c>
      <c r="AO46" s="2868" t="s">
        <v>3154</v>
      </c>
      <c r="AP46" s="2869"/>
      <c r="AQ46" s="2869"/>
      <c r="AR46" s="2869"/>
      <c r="AS46" s="2870"/>
      <c r="AT46" s="1007" t="s">
        <v>3139</v>
      </c>
      <c r="AU46" s="2823"/>
      <c r="AV46" s="1007" t="s">
        <v>3139</v>
      </c>
      <c r="AW46" s="2824"/>
      <c r="AX46" s="1007" t="s">
        <v>3139</v>
      </c>
      <c r="AY46" s="2833"/>
      <c r="AZ46" s="1007" t="s">
        <v>3139</v>
      </c>
      <c r="BA46" s="2833"/>
      <c r="BB46" s="1007" t="s">
        <v>3139</v>
      </c>
      <c r="BC46" s="2836"/>
      <c r="BD46" s="1007" t="s">
        <v>3139</v>
      </c>
      <c r="BE46" s="2836"/>
      <c r="BF46" s="1007" t="s">
        <v>3139</v>
      </c>
      <c r="BG46" s="2833"/>
      <c r="BH46" s="1007" t="s">
        <v>3139</v>
      </c>
      <c r="BI46" s="2823"/>
      <c r="BJ46" s="1007" t="s">
        <v>3139</v>
      </c>
      <c r="BK46" s="2823"/>
      <c r="BL46" s="1007" t="s">
        <v>3139</v>
      </c>
      <c r="BM46" s="2833"/>
      <c r="BN46" s="2846"/>
      <c r="BO46" s="2847"/>
      <c r="BP46" s="2848"/>
      <c r="BQ46" s="1025"/>
      <c r="BR46" s="1025"/>
      <c r="BS46" s="1025"/>
      <c r="BU46" s="1002">
        <v>12</v>
      </c>
    </row>
    <row r="47" spans="1:74" ht="9.9499999999999993" customHeight="1">
      <c r="A47" s="2818" t="s">
        <v>3145</v>
      </c>
      <c r="B47" s="2819"/>
      <c r="C47" s="2819"/>
      <c r="D47" s="2819"/>
      <c r="E47" s="2819"/>
      <c r="F47" s="2820"/>
      <c r="G47" s="2818" t="s">
        <v>3144</v>
      </c>
      <c r="H47" s="2819"/>
      <c r="I47" s="2819"/>
      <c r="J47" s="2819"/>
      <c r="K47" s="2820"/>
      <c r="L47" s="2821"/>
      <c r="M47" s="2823"/>
      <c r="N47" s="2821"/>
      <c r="O47" s="2824"/>
      <c r="P47" s="2821"/>
      <c r="Q47" s="2831"/>
      <c r="R47" s="2821"/>
      <c r="S47" s="2831"/>
      <c r="T47" s="2821"/>
      <c r="U47" s="2834"/>
      <c r="V47" s="2821"/>
      <c r="W47" s="2834"/>
      <c r="X47" s="2821"/>
      <c r="Y47" s="2831"/>
      <c r="Z47" s="2821"/>
      <c r="AA47" s="2823"/>
      <c r="AB47" s="2821"/>
      <c r="AC47" s="2823"/>
      <c r="AD47" s="2821"/>
      <c r="AE47" s="2831"/>
      <c r="AF47" s="2840"/>
      <c r="AG47" s="2841"/>
      <c r="AH47" s="2842"/>
      <c r="AI47" s="2871" t="s">
        <v>3145</v>
      </c>
      <c r="AJ47" s="2872"/>
      <c r="AK47" s="2872"/>
      <c r="AL47" s="2872"/>
      <c r="AM47" s="2872"/>
      <c r="AN47" s="2873"/>
      <c r="AO47" s="2871" t="s">
        <v>3144</v>
      </c>
      <c r="AP47" s="2872"/>
      <c r="AQ47" s="2872"/>
      <c r="AR47" s="2872"/>
      <c r="AS47" s="2873"/>
      <c r="AT47" s="2821"/>
      <c r="AU47" s="2823"/>
      <c r="AV47" s="2821"/>
      <c r="AW47" s="2824"/>
      <c r="AX47" s="2821"/>
      <c r="AY47" s="2831"/>
      <c r="AZ47" s="2821"/>
      <c r="BA47" s="2831"/>
      <c r="BB47" s="2821"/>
      <c r="BC47" s="2834"/>
      <c r="BD47" s="2821"/>
      <c r="BE47" s="2834"/>
      <c r="BF47" s="2821"/>
      <c r="BG47" s="2831"/>
      <c r="BH47" s="2821"/>
      <c r="BI47" s="2823"/>
      <c r="BJ47" s="2821">
        <v>5</v>
      </c>
      <c r="BK47" s="2823"/>
      <c r="BL47" s="2821"/>
      <c r="BM47" s="2831"/>
      <c r="BN47" s="2840" t="s">
        <v>3156</v>
      </c>
      <c r="BO47" s="2841"/>
      <c r="BP47" s="2842"/>
      <c r="BU47" s="1002">
        <v>13</v>
      </c>
    </row>
    <row r="48" spans="1:74" ht="20.100000000000001" customHeight="1">
      <c r="A48" s="2850"/>
      <c r="B48" s="2851"/>
      <c r="C48" s="2851"/>
      <c r="D48" s="2851"/>
      <c r="E48" s="2851"/>
      <c r="F48" s="2852"/>
      <c r="G48" s="2853">
        <f>$G$7</f>
        <v>0</v>
      </c>
      <c r="H48" s="2854"/>
      <c r="I48" s="2854"/>
      <c r="J48" s="2854"/>
      <c r="K48" s="2855"/>
      <c r="L48" s="2822"/>
      <c r="M48" s="2823"/>
      <c r="N48" s="2822"/>
      <c r="O48" s="2824"/>
      <c r="P48" s="2822"/>
      <c r="Q48" s="2832"/>
      <c r="R48" s="2822"/>
      <c r="S48" s="2832"/>
      <c r="T48" s="2822"/>
      <c r="U48" s="2835"/>
      <c r="V48" s="2822"/>
      <c r="W48" s="2835"/>
      <c r="X48" s="2822"/>
      <c r="Y48" s="2832"/>
      <c r="Z48" s="2822"/>
      <c r="AA48" s="2823"/>
      <c r="AB48" s="2822"/>
      <c r="AC48" s="2823"/>
      <c r="AD48" s="2822"/>
      <c r="AE48" s="2832"/>
      <c r="AF48" s="2843"/>
      <c r="AG48" s="2844"/>
      <c r="AH48" s="2845"/>
      <c r="AI48" s="2868" t="s">
        <v>3153</v>
      </c>
      <c r="AJ48" s="2869"/>
      <c r="AK48" s="2869"/>
      <c r="AL48" s="2869"/>
      <c r="AM48" s="2869"/>
      <c r="AN48" s="2870"/>
      <c r="AO48" s="2871" t="s">
        <v>3155</v>
      </c>
      <c r="AP48" s="2872"/>
      <c r="AQ48" s="2872"/>
      <c r="AR48" s="2872"/>
      <c r="AS48" s="2873"/>
      <c r="AT48" s="2822"/>
      <c r="AU48" s="2823"/>
      <c r="AV48" s="2822"/>
      <c r="AW48" s="2824"/>
      <c r="AX48" s="2822"/>
      <c r="AY48" s="2832"/>
      <c r="AZ48" s="2822"/>
      <c r="BA48" s="2832"/>
      <c r="BB48" s="2822"/>
      <c r="BC48" s="2835"/>
      <c r="BD48" s="2822"/>
      <c r="BE48" s="2835"/>
      <c r="BF48" s="2822"/>
      <c r="BG48" s="2832"/>
      <c r="BH48" s="2822"/>
      <c r="BI48" s="2823"/>
      <c r="BJ48" s="2822"/>
      <c r="BK48" s="2823"/>
      <c r="BL48" s="2822"/>
      <c r="BM48" s="2832"/>
      <c r="BN48" s="2843"/>
      <c r="BO48" s="2844"/>
      <c r="BP48" s="2845"/>
      <c r="BU48" s="1002">
        <v>14</v>
      </c>
    </row>
    <row r="49" spans="1:73" ht="9.9499999999999993" customHeight="1">
      <c r="A49" s="2825" t="s">
        <v>3143</v>
      </c>
      <c r="B49" s="2826"/>
      <c r="C49" s="2849"/>
      <c r="D49" s="2826" t="s">
        <v>3142</v>
      </c>
      <c r="E49" s="2826"/>
      <c r="F49" s="2827"/>
      <c r="G49" s="2825" t="s">
        <v>3141</v>
      </c>
      <c r="H49" s="2826"/>
      <c r="I49" s="2826"/>
      <c r="J49" s="2826"/>
      <c r="K49" s="2827"/>
      <c r="L49" s="2822"/>
      <c r="M49" s="2823"/>
      <c r="N49" s="2822"/>
      <c r="O49" s="2824"/>
      <c r="P49" s="2822"/>
      <c r="Q49" s="2832"/>
      <c r="R49" s="2822"/>
      <c r="S49" s="2832"/>
      <c r="T49" s="2822"/>
      <c r="U49" s="2835"/>
      <c r="V49" s="2822"/>
      <c r="W49" s="2835"/>
      <c r="X49" s="2822"/>
      <c r="Y49" s="2832"/>
      <c r="Z49" s="2822"/>
      <c r="AA49" s="2823"/>
      <c r="AB49" s="2822"/>
      <c r="AC49" s="2823"/>
      <c r="AD49" s="2822"/>
      <c r="AE49" s="2832"/>
      <c r="AF49" s="2843"/>
      <c r="AG49" s="2844"/>
      <c r="AH49" s="2845"/>
      <c r="AI49" s="2871" t="s">
        <v>3143</v>
      </c>
      <c r="AJ49" s="2872"/>
      <c r="AK49" s="2873"/>
      <c r="AL49" s="2871" t="s">
        <v>3142</v>
      </c>
      <c r="AM49" s="2872"/>
      <c r="AN49" s="2873"/>
      <c r="AO49" s="2825" t="s">
        <v>3141</v>
      </c>
      <c r="AP49" s="2826"/>
      <c r="AQ49" s="2826"/>
      <c r="AR49" s="2826"/>
      <c r="AS49" s="2827"/>
      <c r="AT49" s="2822"/>
      <c r="AU49" s="2823"/>
      <c r="AV49" s="2822"/>
      <c r="AW49" s="2824"/>
      <c r="AX49" s="2822"/>
      <c r="AY49" s="2832"/>
      <c r="AZ49" s="2822"/>
      <c r="BA49" s="2832"/>
      <c r="BB49" s="2822"/>
      <c r="BC49" s="2835"/>
      <c r="BD49" s="2822"/>
      <c r="BE49" s="2835"/>
      <c r="BF49" s="2822"/>
      <c r="BG49" s="2832"/>
      <c r="BH49" s="2822"/>
      <c r="BI49" s="2823"/>
      <c r="BJ49" s="2822"/>
      <c r="BK49" s="2823"/>
      <c r="BL49" s="2822"/>
      <c r="BM49" s="2832"/>
      <c r="BN49" s="2843"/>
      <c r="BO49" s="2844"/>
      <c r="BP49" s="2845"/>
      <c r="BU49" s="1002">
        <v>15</v>
      </c>
    </row>
    <row r="50" spans="1:73" ht="19.5" customHeight="1">
      <c r="A50" s="1083"/>
      <c r="B50" s="1084" t="s">
        <v>3140</v>
      </c>
      <c r="C50" s="1085"/>
      <c r="D50" s="1086"/>
      <c r="E50" s="1084" t="s">
        <v>3140</v>
      </c>
      <c r="F50" s="1088"/>
      <c r="G50" s="2862"/>
      <c r="H50" s="2863"/>
      <c r="I50" s="2863"/>
      <c r="J50" s="2863"/>
      <c r="K50" s="2864"/>
      <c r="L50" s="1007" t="s">
        <v>3139</v>
      </c>
      <c r="M50" s="2823"/>
      <c r="N50" s="1007" t="s">
        <v>3139</v>
      </c>
      <c r="O50" s="2824"/>
      <c r="P50" s="1007" t="s">
        <v>3139</v>
      </c>
      <c r="Q50" s="2833"/>
      <c r="R50" s="1007" t="s">
        <v>3139</v>
      </c>
      <c r="S50" s="2833"/>
      <c r="T50" s="1007" t="s">
        <v>3139</v>
      </c>
      <c r="U50" s="2836"/>
      <c r="V50" s="1007" t="s">
        <v>3139</v>
      </c>
      <c r="W50" s="2836"/>
      <c r="X50" s="1007" t="s">
        <v>3139</v>
      </c>
      <c r="Y50" s="2833"/>
      <c r="Z50" s="1007" t="s">
        <v>3139</v>
      </c>
      <c r="AA50" s="2823"/>
      <c r="AB50" s="1007" t="s">
        <v>3139</v>
      </c>
      <c r="AC50" s="2823"/>
      <c r="AD50" s="1007" t="s">
        <v>3139</v>
      </c>
      <c r="AE50" s="2833"/>
      <c r="AF50" s="2846"/>
      <c r="AG50" s="2847"/>
      <c r="AH50" s="2848"/>
      <c r="AI50" s="1024">
        <v>10</v>
      </c>
      <c r="AJ50" s="1023" t="s">
        <v>3140</v>
      </c>
      <c r="AK50" s="1017">
        <v>30</v>
      </c>
      <c r="AL50" s="1024">
        <v>13</v>
      </c>
      <c r="AM50" s="1023" t="s">
        <v>3140</v>
      </c>
      <c r="AN50" s="1017">
        <v>45</v>
      </c>
      <c r="AO50" s="2868" t="s">
        <v>3154</v>
      </c>
      <c r="AP50" s="2869"/>
      <c r="AQ50" s="2869"/>
      <c r="AR50" s="2869"/>
      <c r="AS50" s="2870"/>
      <c r="AT50" s="1007" t="s">
        <v>3139</v>
      </c>
      <c r="AU50" s="2823"/>
      <c r="AV50" s="1007" t="s">
        <v>3139</v>
      </c>
      <c r="AW50" s="2824"/>
      <c r="AX50" s="1007" t="s">
        <v>3139</v>
      </c>
      <c r="AY50" s="2833"/>
      <c r="AZ50" s="1007" t="s">
        <v>3139</v>
      </c>
      <c r="BA50" s="2833"/>
      <c r="BB50" s="1007" t="s">
        <v>3139</v>
      </c>
      <c r="BC50" s="2836"/>
      <c r="BD50" s="1007" t="s">
        <v>3139</v>
      </c>
      <c r="BE50" s="2836"/>
      <c r="BF50" s="1007" t="s">
        <v>3139</v>
      </c>
      <c r="BG50" s="2833"/>
      <c r="BH50" s="1007" t="s">
        <v>3139</v>
      </c>
      <c r="BI50" s="2823"/>
      <c r="BJ50" s="1007" t="s">
        <v>3139</v>
      </c>
      <c r="BK50" s="2823"/>
      <c r="BL50" s="1007" t="s">
        <v>3139</v>
      </c>
      <c r="BM50" s="2833"/>
      <c r="BN50" s="2846"/>
      <c r="BO50" s="2847"/>
      <c r="BP50" s="2848"/>
      <c r="BU50" s="1002">
        <v>16</v>
      </c>
    </row>
    <row r="51" spans="1:73" ht="9.9499999999999993" customHeight="1">
      <c r="A51" s="2818" t="s">
        <v>3145</v>
      </c>
      <c r="B51" s="2819"/>
      <c r="C51" s="2819"/>
      <c r="D51" s="2819"/>
      <c r="E51" s="2819"/>
      <c r="F51" s="2820"/>
      <c r="G51" s="2818" t="s">
        <v>3144</v>
      </c>
      <c r="H51" s="2819"/>
      <c r="I51" s="2819"/>
      <c r="J51" s="2819"/>
      <c r="K51" s="2820"/>
      <c r="L51" s="2821"/>
      <c r="M51" s="2823"/>
      <c r="N51" s="2821"/>
      <c r="O51" s="2824"/>
      <c r="P51" s="2821"/>
      <c r="Q51" s="2831"/>
      <c r="R51" s="2821"/>
      <c r="S51" s="2831"/>
      <c r="T51" s="2821"/>
      <c r="U51" s="2834"/>
      <c r="V51" s="2821"/>
      <c r="W51" s="2834"/>
      <c r="X51" s="2821"/>
      <c r="Y51" s="2831"/>
      <c r="Z51" s="2821"/>
      <c r="AA51" s="2823"/>
      <c r="AB51" s="2821"/>
      <c r="AC51" s="2823"/>
      <c r="AD51" s="2821"/>
      <c r="AE51" s="2831"/>
      <c r="AF51" s="2840"/>
      <c r="AG51" s="2841"/>
      <c r="AH51" s="2842"/>
      <c r="AI51" s="2871" t="s">
        <v>3145</v>
      </c>
      <c r="AJ51" s="2872"/>
      <c r="AK51" s="2872"/>
      <c r="AL51" s="2872"/>
      <c r="AM51" s="2872"/>
      <c r="AN51" s="2873"/>
      <c r="AO51" s="2871" t="s">
        <v>3144</v>
      </c>
      <c r="AP51" s="2872"/>
      <c r="AQ51" s="2872"/>
      <c r="AR51" s="2872"/>
      <c r="AS51" s="2873"/>
      <c r="AT51" s="2821">
        <v>1</v>
      </c>
      <c r="AU51" s="2823"/>
      <c r="AV51" s="2821"/>
      <c r="AW51" s="2824"/>
      <c r="AX51" s="2821"/>
      <c r="AY51" s="2831"/>
      <c r="AZ51" s="2821"/>
      <c r="BA51" s="2831"/>
      <c r="BB51" s="2821"/>
      <c r="BC51" s="2834"/>
      <c r="BD51" s="2821"/>
      <c r="BE51" s="2834"/>
      <c r="BF51" s="2821"/>
      <c r="BG51" s="2831"/>
      <c r="BH51" s="2821"/>
      <c r="BI51" s="2823"/>
      <c r="BJ51" s="2821"/>
      <c r="BK51" s="2823"/>
      <c r="BL51" s="2821"/>
      <c r="BM51" s="2831"/>
      <c r="BN51" s="2840"/>
      <c r="BO51" s="2841"/>
      <c r="BP51" s="2842"/>
      <c r="BU51" s="1002">
        <v>17</v>
      </c>
    </row>
    <row r="52" spans="1:73" ht="20.100000000000001" customHeight="1">
      <c r="A52" s="2850"/>
      <c r="B52" s="2851"/>
      <c r="C52" s="2851"/>
      <c r="D52" s="2851"/>
      <c r="E52" s="2851"/>
      <c r="F52" s="2852"/>
      <c r="G52" s="2853">
        <f>$G$7</f>
        <v>0</v>
      </c>
      <c r="H52" s="2854"/>
      <c r="I52" s="2854"/>
      <c r="J52" s="2854"/>
      <c r="K52" s="2855"/>
      <c r="L52" s="2822"/>
      <c r="M52" s="2823"/>
      <c r="N52" s="2822"/>
      <c r="O52" s="2824"/>
      <c r="P52" s="2822"/>
      <c r="Q52" s="2832"/>
      <c r="R52" s="2822"/>
      <c r="S52" s="2832"/>
      <c r="T52" s="2822"/>
      <c r="U52" s="2835"/>
      <c r="V52" s="2822"/>
      <c r="W52" s="2835"/>
      <c r="X52" s="2822"/>
      <c r="Y52" s="2832"/>
      <c r="Z52" s="2822"/>
      <c r="AA52" s="2823"/>
      <c r="AB52" s="2822"/>
      <c r="AC52" s="2823"/>
      <c r="AD52" s="2822"/>
      <c r="AE52" s="2832"/>
      <c r="AF52" s="2843"/>
      <c r="AG52" s="2844"/>
      <c r="AH52" s="2845"/>
      <c r="AI52" s="2868" t="s">
        <v>3153</v>
      </c>
      <c r="AJ52" s="2869"/>
      <c r="AK52" s="2869"/>
      <c r="AL52" s="2869"/>
      <c r="AM52" s="2869"/>
      <c r="AN52" s="2870"/>
      <c r="AO52" s="2871" t="str">
        <f>CONCATENATE('01 使用承認申請書'!AL45)</f>
        <v/>
      </c>
      <c r="AP52" s="2872"/>
      <c r="AQ52" s="2872"/>
      <c r="AR52" s="2872"/>
      <c r="AS52" s="2873"/>
      <c r="AT52" s="2822"/>
      <c r="AU52" s="2823"/>
      <c r="AV52" s="2822"/>
      <c r="AW52" s="2824"/>
      <c r="AX52" s="2822"/>
      <c r="AY52" s="2832"/>
      <c r="AZ52" s="2822"/>
      <c r="BA52" s="2832"/>
      <c r="BB52" s="2822"/>
      <c r="BC52" s="2835"/>
      <c r="BD52" s="2822"/>
      <c r="BE52" s="2835"/>
      <c r="BF52" s="2822"/>
      <c r="BG52" s="2832"/>
      <c r="BH52" s="2822"/>
      <c r="BI52" s="2823"/>
      <c r="BJ52" s="2822"/>
      <c r="BK52" s="2823"/>
      <c r="BL52" s="2822"/>
      <c r="BM52" s="2832"/>
      <c r="BN52" s="2843"/>
      <c r="BO52" s="2844"/>
      <c r="BP52" s="2845"/>
      <c r="BU52" s="1002">
        <v>18</v>
      </c>
    </row>
    <row r="53" spans="1:73" ht="9.9499999999999993" customHeight="1">
      <c r="A53" s="2825" t="s">
        <v>3143</v>
      </c>
      <c r="B53" s="2826"/>
      <c r="C53" s="2849"/>
      <c r="D53" s="2826" t="s">
        <v>3142</v>
      </c>
      <c r="E53" s="2826"/>
      <c r="F53" s="2827"/>
      <c r="G53" s="2825" t="s">
        <v>3141</v>
      </c>
      <c r="H53" s="2826"/>
      <c r="I53" s="2826"/>
      <c r="J53" s="2826"/>
      <c r="K53" s="2827"/>
      <c r="L53" s="2822"/>
      <c r="M53" s="2823"/>
      <c r="N53" s="2822"/>
      <c r="O53" s="2824"/>
      <c r="P53" s="2822"/>
      <c r="Q53" s="2832"/>
      <c r="R53" s="2822"/>
      <c r="S53" s="2832"/>
      <c r="T53" s="2822"/>
      <c r="U53" s="2835"/>
      <c r="V53" s="2822"/>
      <c r="W53" s="2835"/>
      <c r="X53" s="2822"/>
      <c r="Y53" s="2832"/>
      <c r="Z53" s="2822"/>
      <c r="AA53" s="2823"/>
      <c r="AB53" s="2822"/>
      <c r="AC53" s="2823"/>
      <c r="AD53" s="2822"/>
      <c r="AE53" s="2832"/>
      <c r="AF53" s="2843"/>
      <c r="AG53" s="2844"/>
      <c r="AH53" s="2845"/>
      <c r="AI53" s="2871" t="s">
        <v>3143</v>
      </c>
      <c r="AJ53" s="2872"/>
      <c r="AK53" s="2873"/>
      <c r="AL53" s="2871" t="s">
        <v>3142</v>
      </c>
      <c r="AM53" s="2872"/>
      <c r="AN53" s="2873"/>
      <c r="AO53" s="2825" t="s">
        <v>3141</v>
      </c>
      <c r="AP53" s="2826"/>
      <c r="AQ53" s="2826"/>
      <c r="AR53" s="2826"/>
      <c r="AS53" s="2827"/>
      <c r="AT53" s="2822"/>
      <c r="AU53" s="2823"/>
      <c r="AV53" s="2822"/>
      <c r="AW53" s="2824"/>
      <c r="AX53" s="2822"/>
      <c r="AY53" s="2832"/>
      <c r="AZ53" s="2822"/>
      <c r="BA53" s="2832"/>
      <c r="BB53" s="2822"/>
      <c r="BC53" s="2835"/>
      <c r="BD53" s="2822"/>
      <c r="BE53" s="2835"/>
      <c r="BF53" s="2822"/>
      <c r="BG53" s="2832"/>
      <c r="BH53" s="2822"/>
      <c r="BI53" s="2823"/>
      <c r="BJ53" s="2822"/>
      <c r="BK53" s="2823"/>
      <c r="BL53" s="2822"/>
      <c r="BM53" s="2832"/>
      <c r="BN53" s="2843"/>
      <c r="BO53" s="2844"/>
      <c r="BP53" s="2845"/>
      <c r="BU53" s="1002">
        <v>19</v>
      </c>
    </row>
    <row r="54" spans="1:73" ht="20.100000000000001" customHeight="1">
      <c r="A54" s="1083"/>
      <c r="B54" s="1084" t="s">
        <v>3140</v>
      </c>
      <c r="C54" s="1085"/>
      <c r="D54" s="1086"/>
      <c r="E54" s="1084" t="s">
        <v>3140</v>
      </c>
      <c r="F54" s="1088"/>
      <c r="G54" s="2828"/>
      <c r="H54" s="2829"/>
      <c r="I54" s="2829"/>
      <c r="J54" s="2829"/>
      <c r="K54" s="2830"/>
      <c r="L54" s="1007" t="s">
        <v>3139</v>
      </c>
      <c r="M54" s="2823"/>
      <c r="N54" s="1007" t="s">
        <v>3139</v>
      </c>
      <c r="O54" s="2824"/>
      <c r="P54" s="1007" t="s">
        <v>3139</v>
      </c>
      <c r="Q54" s="2833"/>
      <c r="R54" s="1007" t="s">
        <v>3139</v>
      </c>
      <c r="S54" s="2833"/>
      <c r="T54" s="1007" t="s">
        <v>3139</v>
      </c>
      <c r="U54" s="2836"/>
      <c r="V54" s="1007" t="s">
        <v>3139</v>
      </c>
      <c r="W54" s="2836"/>
      <c r="X54" s="1007" t="s">
        <v>3139</v>
      </c>
      <c r="Y54" s="2833"/>
      <c r="Z54" s="1007" t="s">
        <v>3139</v>
      </c>
      <c r="AA54" s="2823"/>
      <c r="AB54" s="1007" t="s">
        <v>3139</v>
      </c>
      <c r="AC54" s="2823"/>
      <c r="AD54" s="1007" t="s">
        <v>3139</v>
      </c>
      <c r="AE54" s="2833"/>
      <c r="AF54" s="2846"/>
      <c r="AG54" s="2847"/>
      <c r="AH54" s="2848"/>
      <c r="AI54" s="1024">
        <v>7</v>
      </c>
      <c r="AJ54" s="1023" t="s">
        <v>3140</v>
      </c>
      <c r="AK54" s="1017" t="s">
        <v>3152</v>
      </c>
      <c r="AL54" s="1024">
        <v>10</v>
      </c>
      <c r="AM54" s="1023" t="s">
        <v>3140</v>
      </c>
      <c r="AN54" s="1017" t="s">
        <v>3152</v>
      </c>
      <c r="AO54" s="2868" t="s">
        <v>3151</v>
      </c>
      <c r="AP54" s="2869"/>
      <c r="AQ54" s="2869"/>
      <c r="AR54" s="2869"/>
      <c r="AS54" s="2870"/>
      <c r="AT54" s="1007" t="s">
        <v>3139</v>
      </c>
      <c r="AU54" s="2823"/>
      <c r="AV54" s="1007" t="s">
        <v>3139</v>
      </c>
      <c r="AW54" s="2824"/>
      <c r="AX54" s="1007" t="s">
        <v>3139</v>
      </c>
      <c r="AY54" s="2833"/>
      <c r="AZ54" s="1007" t="s">
        <v>3139</v>
      </c>
      <c r="BA54" s="2833"/>
      <c r="BB54" s="1007" t="s">
        <v>3139</v>
      </c>
      <c r="BC54" s="2836"/>
      <c r="BD54" s="1007" t="s">
        <v>3139</v>
      </c>
      <c r="BE54" s="2836"/>
      <c r="BF54" s="1007" t="s">
        <v>3139</v>
      </c>
      <c r="BG54" s="2833"/>
      <c r="BH54" s="1007" t="s">
        <v>3139</v>
      </c>
      <c r="BI54" s="2823"/>
      <c r="BJ54" s="1007" t="s">
        <v>3139</v>
      </c>
      <c r="BK54" s="2823"/>
      <c r="BL54" s="1007" t="s">
        <v>3139</v>
      </c>
      <c r="BM54" s="2833"/>
      <c r="BN54" s="2846"/>
      <c r="BO54" s="2847"/>
      <c r="BP54" s="2848"/>
      <c r="BU54" s="1002">
        <v>20</v>
      </c>
    </row>
    <row r="55" spans="1:73" ht="9.9499999999999993" customHeight="1" thickBot="1">
      <c r="A55" s="2818" t="s">
        <v>3145</v>
      </c>
      <c r="B55" s="2819"/>
      <c r="C55" s="2819"/>
      <c r="D55" s="2819"/>
      <c r="E55" s="2819"/>
      <c r="F55" s="2820"/>
      <c r="G55" s="2818" t="s">
        <v>3144</v>
      </c>
      <c r="H55" s="2819"/>
      <c r="I55" s="2819"/>
      <c r="J55" s="2819"/>
      <c r="K55" s="2820"/>
      <c r="L55" s="2821"/>
      <c r="M55" s="2823"/>
      <c r="N55" s="2821"/>
      <c r="O55" s="2824"/>
      <c r="P55" s="2821"/>
      <c r="Q55" s="2831"/>
      <c r="R55" s="2821"/>
      <c r="S55" s="2831"/>
      <c r="T55" s="2821"/>
      <c r="U55" s="2834"/>
      <c r="V55" s="2821"/>
      <c r="W55" s="2834"/>
      <c r="X55" s="2821"/>
      <c r="Y55" s="2831"/>
      <c r="Z55" s="2821"/>
      <c r="AA55" s="2823"/>
      <c r="AB55" s="2821"/>
      <c r="AC55" s="2823"/>
      <c r="AD55" s="2821"/>
      <c r="AE55" s="2831"/>
      <c r="AF55" s="2840"/>
      <c r="AG55" s="2841"/>
      <c r="AH55" s="2842"/>
      <c r="AI55" s="1022"/>
      <c r="AJ55" s="1021"/>
      <c r="AK55" s="1021"/>
      <c r="AL55" s="1021"/>
      <c r="AM55" s="1021"/>
      <c r="AN55" s="1021"/>
      <c r="AO55" s="1021"/>
      <c r="AP55" s="1021"/>
      <c r="AQ55" s="1021"/>
      <c r="AR55" s="1021"/>
      <c r="AS55" s="1021"/>
      <c r="AT55" s="1021"/>
      <c r="AU55" s="1021"/>
      <c r="AV55" s="1021"/>
      <c r="AW55" s="1021"/>
      <c r="AX55" s="1021"/>
      <c r="AY55" s="1021"/>
      <c r="AZ55" s="1021"/>
      <c r="BA55" s="1021"/>
      <c r="BB55" s="1021"/>
      <c r="BC55" s="1021"/>
      <c r="BD55" s="1021"/>
      <c r="BE55" s="1021"/>
      <c r="BF55" s="1021"/>
      <c r="BG55" s="1021"/>
      <c r="BH55" s="1021"/>
      <c r="BI55" s="1021"/>
      <c r="BJ55" s="1021"/>
      <c r="BK55" s="1021"/>
      <c r="BL55" s="1021"/>
      <c r="BM55" s="1021"/>
      <c r="BN55" s="1021"/>
      <c r="BO55" s="1021"/>
      <c r="BP55" s="1020"/>
      <c r="BU55" s="1002">
        <v>21</v>
      </c>
    </row>
    <row r="56" spans="1:73" ht="20.100000000000001" customHeight="1">
      <c r="A56" s="2850"/>
      <c r="B56" s="2851"/>
      <c r="C56" s="2851"/>
      <c r="D56" s="2851"/>
      <c r="E56" s="2851"/>
      <c r="F56" s="2852"/>
      <c r="G56" s="2853">
        <f>$G$7</f>
        <v>0</v>
      </c>
      <c r="H56" s="2854"/>
      <c r="I56" s="2854"/>
      <c r="J56" s="2854"/>
      <c r="K56" s="2855"/>
      <c r="L56" s="2822"/>
      <c r="M56" s="2823"/>
      <c r="N56" s="2822"/>
      <c r="O56" s="2824"/>
      <c r="P56" s="2822"/>
      <c r="Q56" s="2832"/>
      <c r="R56" s="2822"/>
      <c r="S56" s="2832"/>
      <c r="T56" s="2822"/>
      <c r="U56" s="2835"/>
      <c r="V56" s="2822"/>
      <c r="W56" s="2835"/>
      <c r="X56" s="2822"/>
      <c r="Y56" s="2832"/>
      <c r="Z56" s="2822"/>
      <c r="AA56" s="2823"/>
      <c r="AB56" s="2822"/>
      <c r="AC56" s="2823"/>
      <c r="AD56" s="2822"/>
      <c r="AE56" s="2832"/>
      <c r="AF56" s="2843"/>
      <c r="AG56" s="2844"/>
      <c r="AH56" s="2845"/>
      <c r="AI56" s="1014"/>
      <c r="AJ56" s="1013"/>
      <c r="AK56" s="2874" t="s">
        <v>3150</v>
      </c>
      <c r="AL56" s="2875"/>
      <c r="AM56" s="2875"/>
      <c r="AN56" s="2875"/>
      <c r="AO56" s="2875"/>
      <c r="AP56" s="2875"/>
      <c r="AQ56" s="2875"/>
      <c r="AR56" s="2875"/>
      <c r="AS56" s="2875"/>
      <c r="AT56" s="1019"/>
      <c r="AU56" s="1019"/>
      <c r="AV56" s="1019"/>
      <c r="AW56" s="1019"/>
      <c r="AX56" s="1019"/>
      <c r="AY56" s="1019"/>
      <c r="AZ56" s="1019"/>
      <c r="BA56" s="1019"/>
      <c r="BB56" s="1019"/>
      <c r="BC56" s="1019"/>
      <c r="BD56" s="1019"/>
      <c r="BE56" s="1019"/>
      <c r="BF56" s="1019"/>
      <c r="BG56" s="1019"/>
      <c r="BH56" s="1019"/>
      <c r="BI56" s="1019"/>
      <c r="BJ56" s="1019"/>
      <c r="BK56" s="1019"/>
      <c r="BL56" s="1019"/>
      <c r="BM56" s="1019"/>
      <c r="BN56" s="1019"/>
      <c r="BO56" s="1019"/>
      <c r="BP56" s="1018"/>
    </row>
    <row r="57" spans="1:73" ht="9.9499999999999993" customHeight="1">
      <c r="A57" s="2825" t="s">
        <v>3143</v>
      </c>
      <c r="B57" s="2826"/>
      <c r="C57" s="2849"/>
      <c r="D57" s="2826" t="s">
        <v>3142</v>
      </c>
      <c r="E57" s="2826"/>
      <c r="F57" s="2827"/>
      <c r="G57" s="2825" t="s">
        <v>3141</v>
      </c>
      <c r="H57" s="2826"/>
      <c r="I57" s="2826"/>
      <c r="J57" s="2826"/>
      <c r="K57" s="2827"/>
      <c r="L57" s="2822"/>
      <c r="M57" s="2823"/>
      <c r="N57" s="2822"/>
      <c r="O57" s="2824"/>
      <c r="P57" s="2822"/>
      <c r="Q57" s="2832"/>
      <c r="R57" s="2822"/>
      <c r="S57" s="2832"/>
      <c r="T57" s="2822"/>
      <c r="U57" s="2835"/>
      <c r="V57" s="2822"/>
      <c r="W57" s="2835"/>
      <c r="X57" s="2822"/>
      <c r="Y57" s="2832"/>
      <c r="Z57" s="2822"/>
      <c r="AA57" s="2823"/>
      <c r="AB57" s="2822"/>
      <c r="AC57" s="2823"/>
      <c r="AD57" s="2822"/>
      <c r="AE57" s="2832"/>
      <c r="AF57" s="2843"/>
      <c r="AG57" s="2844"/>
      <c r="AH57" s="2845"/>
      <c r="AI57" s="1014"/>
      <c r="AJ57" s="1013"/>
      <c r="AK57" s="1016"/>
      <c r="AL57" s="1013"/>
      <c r="AM57" s="1013"/>
      <c r="AN57" s="1013"/>
      <c r="AO57" s="1013"/>
      <c r="AP57" s="1013"/>
      <c r="AQ57" s="1013"/>
      <c r="AR57" s="1013"/>
      <c r="AS57" s="1013"/>
      <c r="AT57" s="1013"/>
      <c r="AU57" s="1013"/>
      <c r="AV57" s="1013"/>
      <c r="AW57" s="1013"/>
      <c r="AX57" s="1013"/>
      <c r="AY57" s="1013"/>
      <c r="AZ57" s="1013"/>
      <c r="BA57" s="1013"/>
      <c r="BB57" s="1013"/>
      <c r="BC57" s="1013"/>
      <c r="BD57" s="1013"/>
      <c r="BE57" s="1013"/>
      <c r="BF57" s="1013"/>
      <c r="BG57" s="1013"/>
      <c r="BH57" s="1013"/>
      <c r="BI57" s="1013"/>
      <c r="BJ57" s="1013"/>
      <c r="BK57" s="1013"/>
      <c r="BL57" s="1013"/>
      <c r="BM57" s="1013"/>
      <c r="BN57" s="1013"/>
      <c r="BO57" s="1013"/>
      <c r="BP57" s="1015"/>
    </row>
    <row r="58" spans="1:73" ht="20.100000000000001" customHeight="1">
      <c r="A58" s="1083"/>
      <c r="B58" s="1084" t="s">
        <v>3140</v>
      </c>
      <c r="C58" s="1085"/>
      <c r="D58" s="1086"/>
      <c r="E58" s="1084" t="s">
        <v>3140</v>
      </c>
      <c r="F58" s="1088"/>
      <c r="G58" s="2828"/>
      <c r="H58" s="2829"/>
      <c r="I58" s="2829"/>
      <c r="J58" s="2829"/>
      <c r="K58" s="2830"/>
      <c r="L58" s="1007" t="s">
        <v>3139</v>
      </c>
      <c r="M58" s="2823"/>
      <c r="N58" s="1007" t="s">
        <v>3139</v>
      </c>
      <c r="O58" s="2824"/>
      <c r="P58" s="1007" t="s">
        <v>3139</v>
      </c>
      <c r="Q58" s="2833"/>
      <c r="R58" s="1007" t="s">
        <v>3139</v>
      </c>
      <c r="S58" s="2833"/>
      <c r="T58" s="1007" t="s">
        <v>3139</v>
      </c>
      <c r="U58" s="2836"/>
      <c r="V58" s="1007" t="s">
        <v>3139</v>
      </c>
      <c r="W58" s="2836"/>
      <c r="X58" s="1007" t="s">
        <v>3139</v>
      </c>
      <c r="Y58" s="2833"/>
      <c r="Z58" s="1007" t="s">
        <v>3139</v>
      </c>
      <c r="AA58" s="2823"/>
      <c r="AB58" s="1007" t="s">
        <v>3139</v>
      </c>
      <c r="AC58" s="2823"/>
      <c r="AD58" s="1007" t="s">
        <v>3139</v>
      </c>
      <c r="AE58" s="2833"/>
      <c r="AF58" s="2846"/>
      <c r="AG58" s="2847"/>
      <c r="AH58" s="2848"/>
      <c r="AI58" s="1014"/>
      <c r="AJ58" s="1013"/>
      <c r="AK58" s="2876" t="s">
        <v>3149</v>
      </c>
      <c r="AL58" s="2877"/>
      <c r="AM58" s="2877"/>
      <c r="AN58" s="2877"/>
      <c r="AO58" s="2877"/>
      <c r="AP58" s="2877"/>
      <c r="AQ58" s="2877"/>
      <c r="AR58" s="2877"/>
      <c r="AS58" s="2877"/>
      <c r="AT58" s="2877"/>
      <c r="AU58" s="2877"/>
      <c r="AV58" s="2877"/>
      <c r="AW58" s="2877"/>
      <c r="AX58" s="2877"/>
      <c r="AY58" s="2877"/>
      <c r="AZ58" s="2877"/>
      <c r="BA58" s="2877"/>
      <c r="BB58" s="2877"/>
      <c r="BC58" s="2877"/>
      <c r="BD58" s="2877"/>
      <c r="BE58" s="2877"/>
      <c r="BF58" s="2877"/>
      <c r="BG58" s="2877"/>
      <c r="BH58" s="2877"/>
      <c r="BI58" s="2877"/>
      <c r="BJ58" s="2877"/>
      <c r="BK58" s="2877"/>
      <c r="BL58" s="2877"/>
      <c r="BM58" s="2877"/>
      <c r="BN58" s="2877"/>
      <c r="BO58" s="2877"/>
      <c r="BP58" s="2878"/>
    </row>
    <row r="59" spans="1:73" ht="9.9499999999999993" customHeight="1">
      <c r="A59" s="2818" t="s">
        <v>3145</v>
      </c>
      <c r="B59" s="2819"/>
      <c r="C59" s="2819"/>
      <c r="D59" s="2819"/>
      <c r="E59" s="2819"/>
      <c r="F59" s="2820"/>
      <c r="G59" s="2818" t="s">
        <v>3144</v>
      </c>
      <c r="H59" s="2819"/>
      <c r="I59" s="2819"/>
      <c r="J59" s="2819"/>
      <c r="K59" s="2820"/>
      <c r="L59" s="2821"/>
      <c r="M59" s="2823"/>
      <c r="N59" s="2821"/>
      <c r="O59" s="2824"/>
      <c r="P59" s="2821"/>
      <c r="Q59" s="2831"/>
      <c r="R59" s="2821"/>
      <c r="S59" s="2831"/>
      <c r="T59" s="2821"/>
      <c r="U59" s="2834"/>
      <c r="V59" s="2821"/>
      <c r="W59" s="2834"/>
      <c r="X59" s="2821"/>
      <c r="Y59" s="2831"/>
      <c r="Z59" s="2821"/>
      <c r="AA59" s="2823"/>
      <c r="AB59" s="2821"/>
      <c r="AC59" s="2823"/>
      <c r="AD59" s="2821"/>
      <c r="AE59" s="2831"/>
      <c r="AF59" s="2840"/>
      <c r="AG59" s="2841"/>
      <c r="AH59" s="2842"/>
      <c r="AI59" s="1014"/>
      <c r="AJ59" s="1013"/>
      <c r="AK59" s="1016"/>
      <c r="AL59" s="1013"/>
      <c r="AM59" s="1013"/>
      <c r="AN59" s="1013"/>
      <c r="AO59" s="1013"/>
      <c r="AP59" s="1013"/>
      <c r="AQ59" s="1013"/>
      <c r="AR59" s="1013"/>
      <c r="AS59" s="1013"/>
      <c r="AT59" s="1013"/>
      <c r="AU59" s="1013"/>
      <c r="AV59" s="1013"/>
      <c r="AW59" s="1013"/>
      <c r="AX59" s="1013"/>
      <c r="AY59" s="1013"/>
      <c r="AZ59" s="1013"/>
      <c r="BA59" s="1013"/>
      <c r="BB59" s="1013"/>
      <c r="BC59" s="1013"/>
      <c r="BD59" s="1013"/>
      <c r="BE59" s="1013"/>
      <c r="BF59" s="1013"/>
      <c r="BG59" s="1013"/>
      <c r="BH59" s="1013"/>
      <c r="BI59" s="1013"/>
      <c r="BJ59" s="1013"/>
      <c r="BK59" s="1013"/>
      <c r="BL59" s="1013"/>
      <c r="BM59" s="1013"/>
      <c r="BN59" s="1013"/>
      <c r="BO59" s="1013"/>
      <c r="BP59" s="1015"/>
    </row>
    <row r="60" spans="1:73" ht="20.100000000000001" customHeight="1">
      <c r="A60" s="2850"/>
      <c r="B60" s="2851"/>
      <c r="C60" s="2851"/>
      <c r="D60" s="2851"/>
      <c r="E60" s="2851"/>
      <c r="F60" s="2852"/>
      <c r="G60" s="2853">
        <f>$G$7</f>
        <v>0</v>
      </c>
      <c r="H60" s="2854"/>
      <c r="I60" s="2854"/>
      <c r="J60" s="2854"/>
      <c r="K60" s="2855"/>
      <c r="L60" s="2822"/>
      <c r="M60" s="2823"/>
      <c r="N60" s="2822"/>
      <c r="O60" s="2824"/>
      <c r="P60" s="2822"/>
      <c r="Q60" s="2832"/>
      <c r="R60" s="2822"/>
      <c r="S60" s="2832"/>
      <c r="T60" s="2822"/>
      <c r="U60" s="2835"/>
      <c r="V60" s="2822"/>
      <c r="W60" s="2835"/>
      <c r="X60" s="2822"/>
      <c r="Y60" s="2832"/>
      <c r="Z60" s="2822"/>
      <c r="AA60" s="2823"/>
      <c r="AB60" s="2822"/>
      <c r="AC60" s="2823"/>
      <c r="AD60" s="2822"/>
      <c r="AE60" s="2832"/>
      <c r="AF60" s="2843"/>
      <c r="AG60" s="2844"/>
      <c r="AH60" s="2845"/>
      <c r="AI60" s="1014"/>
      <c r="AJ60" s="1013"/>
      <c r="AK60" s="2876" t="s">
        <v>3148</v>
      </c>
      <c r="AL60" s="2877"/>
      <c r="AM60" s="2877"/>
      <c r="AN60" s="2877"/>
      <c r="AO60" s="2877"/>
      <c r="AP60" s="2877"/>
      <c r="AQ60" s="2877"/>
      <c r="AR60" s="2877"/>
      <c r="AS60" s="2877"/>
      <c r="AT60" s="2877"/>
      <c r="AU60" s="2877"/>
      <c r="AV60" s="2877"/>
      <c r="AW60" s="2877"/>
      <c r="AX60" s="2877"/>
      <c r="AY60" s="2877"/>
      <c r="AZ60" s="2877"/>
      <c r="BA60" s="2877"/>
      <c r="BB60" s="2877"/>
      <c r="BC60" s="2877"/>
      <c r="BD60" s="2877"/>
      <c r="BE60" s="2877"/>
      <c r="BF60" s="2877"/>
      <c r="BG60" s="2877"/>
      <c r="BH60" s="2877"/>
      <c r="BI60" s="2877"/>
      <c r="BJ60" s="2877"/>
      <c r="BK60" s="2877"/>
      <c r="BL60" s="2877"/>
      <c r="BM60" s="2877"/>
      <c r="BN60" s="2877"/>
      <c r="BO60" s="2877"/>
      <c r="BP60" s="2878"/>
    </row>
    <row r="61" spans="1:73" ht="9.9499999999999993" customHeight="1">
      <c r="A61" s="2825" t="s">
        <v>3143</v>
      </c>
      <c r="B61" s="2826"/>
      <c r="C61" s="2849"/>
      <c r="D61" s="2826" t="s">
        <v>3142</v>
      </c>
      <c r="E61" s="2826"/>
      <c r="F61" s="2827"/>
      <c r="G61" s="2825" t="s">
        <v>3141</v>
      </c>
      <c r="H61" s="2826"/>
      <c r="I61" s="2826"/>
      <c r="J61" s="2826"/>
      <c r="K61" s="2827"/>
      <c r="L61" s="2822"/>
      <c r="M61" s="2823"/>
      <c r="N61" s="2822"/>
      <c r="O61" s="2824"/>
      <c r="P61" s="2822"/>
      <c r="Q61" s="2832"/>
      <c r="R61" s="2822"/>
      <c r="S61" s="2832"/>
      <c r="T61" s="2822"/>
      <c r="U61" s="2835"/>
      <c r="V61" s="2822"/>
      <c r="W61" s="2835"/>
      <c r="X61" s="2822"/>
      <c r="Y61" s="2832"/>
      <c r="Z61" s="2822"/>
      <c r="AA61" s="2823"/>
      <c r="AB61" s="2822"/>
      <c r="AC61" s="2823"/>
      <c r="AD61" s="2822"/>
      <c r="AE61" s="2832"/>
      <c r="AF61" s="2843"/>
      <c r="AG61" s="2844"/>
      <c r="AH61" s="2845"/>
      <c r="AI61" s="1014"/>
      <c r="AJ61" s="1013"/>
      <c r="AK61" s="1016"/>
      <c r="AL61" s="1013"/>
      <c r="AM61" s="1013"/>
      <c r="AN61" s="1013"/>
      <c r="AO61" s="1013"/>
      <c r="AP61" s="1013"/>
      <c r="AQ61" s="1013"/>
      <c r="AR61" s="1013"/>
      <c r="AS61" s="1013"/>
      <c r="AT61" s="1013"/>
      <c r="AU61" s="1013"/>
      <c r="AV61" s="1013"/>
      <c r="AW61" s="1013"/>
      <c r="AX61" s="1013"/>
      <c r="AY61" s="1013"/>
      <c r="AZ61" s="1013"/>
      <c r="BA61" s="1013"/>
      <c r="BB61" s="1013"/>
      <c r="BC61" s="1013"/>
      <c r="BD61" s="1013"/>
      <c r="BE61" s="1013"/>
      <c r="BF61" s="1013"/>
      <c r="BG61" s="1013"/>
      <c r="BH61" s="1013"/>
      <c r="BI61" s="1013"/>
      <c r="BJ61" s="1013"/>
      <c r="BK61" s="1013"/>
      <c r="BL61" s="1013"/>
      <c r="BM61" s="1013"/>
      <c r="BN61" s="1013"/>
      <c r="BO61" s="1013"/>
      <c r="BP61" s="1015"/>
    </row>
    <row r="62" spans="1:73" ht="20.100000000000001" customHeight="1">
      <c r="A62" s="1083"/>
      <c r="B62" s="1084" t="s">
        <v>3140</v>
      </c>
      <c r="C62" s="1085"/>
      <c r="D62" s="1086"/>
      <c r="E62" s="1084" t="s">
        <v>3140</v>
      </c>
      <c r="F62" s="1088"/>
      <c r="G62" s="2828"/>
      <c r="H62" s="2829"/>
      <c r="I62" s="2829"/>
      <c r="J62" s="2829"/>
      <c r="K62" s="2830"/>
      <c r="L62" s="1007" t="s">
        <v>3139</v>
      </c>
      <c r="M62" s="2823"/>
      <c r="N62" s="1007" t="s">
        <v>3139</v>
      </c>
      <c r="O62" s="2824"/>
      <c r="P62" s="1007" t="s">
        <v>3139</v>
      </c>
      <c r="Q62" s="2833"/>
      <c r="R62" s="1007" t="s">
        <v>3139</v>
      </c>
      <c r="S62" s="2833"/>
      <c r="T62" s="1007" t="s">
        <v>3139</v>
      </c>
      <c r="U62" s="2836"/>
      <c r="V62" s="1007" t="s">
        <v>3139</v>
      </c>
      <c r="W62" s="2836"/>
      <c r="X62" s="1007" t="s">
        <v>3139</v>
      </c>
      <c r="Y62" s="2833"/>
      <c r="Z62" s="1007" t="s">
        <v>3139</v>
      </c>
      <c r="AA62" s="2823"/>
      <c r="AB62" s="1007" t="s">
        <v>3139</v>
      </c>
      <c r="AC62" s="2823"/>
      <c r="AD62" s="1007" t="s">
        <v>3139</v>
      </c>
      <c r="AE62" s="2833"/>
      <c r="AF62" s="2846"/>
      <c r="AG62" s="2847"/>
      <c r="AH62" s="2848"/>
      <c r="AI62" s="1014"/>
      <c r="AJ62" s="1013"/>
      <c r="AK62" s="2876" t="s">
        <v>3147</v>
      </c>
      <c r="AL62" s="2877"/>
      <c r="AM62" s="2877"/>
      <c r="AN62" s="2877"/>
      <c r="AO62" s="2877"/>
      <c r="AP62" s="2877"/>
      <c r="AQ62" s="2877"/>
      <c r="AR62" s="2877"/>
      <c r="AS62" s="2877"/>
      <c r="AT62" s="2877"/>
      <c r="AU62" s="2877"/>
      <c r="AV62" s="2877"/>
      <c r="AW62" s="2877"/>
      <c r="AX62" s="2877"/>
      <c r="AY62" s="2877"/>
      <c r="AZ62" s="2877"/>
      <c r="BA62" s="2877"/>
      <c r="BB62" s="2877"/>
      <c r="BC62" s="2877"/>
      <c r="BD62" s="2877"/>
      <c r="BE62" s="2877"/>
      <c r="BF62" s="2877"/>
      <c r="BG62" s="2877"/>
      <c r="BH62" s="2877"/>
      <c r="BI62" s="2877"/>
      <c r="BJ62" s="2877"/>
      <c r="BK62" s="2877"/>
      <c r="BL62" s="2877"/>
      <c r="BM62" s="2877"/>
      <c r="BN62" s="2877"/>
      <c r="BO62" s="2877"/>
      <c r="BP62" s="2878"/>
    </row>
    <row r="63" spans="1:73" ht="9.9499999999999993" customHeight="1">
      <c r="A63" s="2818" t="s">
        <v>3145</v>
      </c>
      <c r="B63" s="2819"/>
      <c r="C63" s="2819"/>
      <c r="D63" s="2819"/>
      <c r="E63" s="2819"/>
      <c r="F63" s="2820"/>
      <c r="G63" s="2818" t="s">
        <v>3144</v>
      </c>
      <c r="H63" s="2819"/>
      <c r="I63" s="2819"/>
      <c r="J63" s="2819"/>
      <c r="K63" s="2820"/>
      <c r="L63" s="2821"/>
      <c r="M63" s="2823"/>
      <c r="N63" s="2821"/>
      <c r="O63" s="2824"/>
      <c r="P63" s="2821"/>
      <c r="Q63" s="2831"/>
      <c r="R63" s="2821"/>
      <c r="S63" s="2831"/>
      <c r="T63" s="2821"/>
      <c r="U63" s="2834"/>
      <c r="V63" s="2821"/>
      <c r="W63" s="2834"/>
      <c r="X63" s="2821"/>
      <c r="Y63" s="2831"/>
      <c r="Z63" s="2821"/>
      <c r="AA63" s="2823"/>
      <c r="AB63" s="2821"/>
      <c r="AC63" s="2823"/>
      <c r="AD63" s="2821"/>
      <c r="AE63" s="2831"/>
      <c r="AF63" s="2840"/>
      <c r="AG63" s="2841"/>
      <c r="AH63" s="2842"/>
      <c r="AI63" s="1014"/>
      <c r="AJ63" s="1013"/>
      <c r="AK63" s="1016"/>
      <c r="AL63" s="1013"/>
      <c r="AM63" s="1013"/>
      <c r="AN63" s="1013"/>
      <c r="AO63" s="1013"/>
      <c r="AP63" s="1013"/>
      <c r="AQ63" s="1013"/>
      <c r="AR63" s="1013"/>
      <c r="AS63" s="1013"/>
      <c r="AT63" s="1013"/>
      <c r="AU63" s="1013"/>
      <c r="AV63" s="1013"/>
      <c r="AW63" s="1013"/>
      <c r="AX63" s="1013"/>
      <c r="AY63" s="1013"/>
      <c r="AZ63" s="1013"/>
      <c r="BA63" s="1013"/>
      <c r="BB63" s="1013"/>
      <c r="BC63" s="1013"/>
      <c r="BD63" s="1013"/>
      <c r="BE63" s="1013"/>
      <c r="BF63" s="1013"/>
      <c r="BG63" s="1013"/>
      <c r="BH63" s="1013"/>
      <c r="BI63" s="1013"/>
      <c r="BJ63" s="1013"/>
      <c r="BK63" s="1013"/>
      <c r="BL63" s="1013"/>
      <c r="BM63" s="1013"/>
      <c r="BN63" s="1013"/>
      <c r="BO63" s="1013"/>
      <c r="BP63" s="1015"/>
    </row>
    <row r="64" spans="1:73" ht="20.100000000000001" customHeight="1" thickBot="1">
      <c r="A64" s="2850"/>
      <c r="B64" s="2851"/>
      <c r="C64" s="2851"/>
      <c r="D64" s="2851"/>
      <c r="E64" s="2851"/>
      <c r="F64" s="2852"/>
      <c r="G64" s="2853">
        <f>$G$7</f>
        <v>0</v>
      </c>
      <c r="H64" s="2854"/>
      <c r="I64" s="2854"/>
      <c r="J64" s="2854"/>
      <c r="K64" s="2855"/>
      <c r="L64" s="2822"/>
      <c r="M64" s="2823"/>
      <c r="N64" s="2822"/>
      <c r="O64" s="2824"/>
      <c r="P64" s="2822"/>
      <c r="Q64" s="2832"/>
      <c r="R64" s="2822"/>
      <c r="S64" s="2832"/>
      <c r="T64" s="2822"/>
      <c r="U64" s="2835"/>
      <c r="V64" s="2822"/>
      <c r="W64" s="2835"/>
      <c r="X64" s="2822"/>
      <c r="Y64" s="2832"/>
      <c r="Z64" s="2822"/>
      <c r="AA64" s="2823"/>
      <c r="AB64" s="2822"/>
      <c r="AC64" s="2823"/>
      <c r="AD64" s="2822"/>
      <c r="AE64" s="2832"/>
      <c r="AF64" s="2843"/>
      <c r="AG64" s="2844"/>
      <c r="AH64" s="2845"/>
      <c r="AI64" s="1014"/>
      <c r="AJ64" s="1013"/>
      <c r="AK64" s="2879" t="s">
        <v>3146</v>
      </c>
      <c r="AL64" s="2880"/>
      <c r="AM64" s="2880"/>
      <c r="AN64" s="2880"/>
      <c r="AO64" s="2880"/>
      <c r="AP64" s="2880"/>
      <c r="AQ64" s="2880"/>
      <c r="AR64" s="2880"/>
      <c r="AS64" s="2880"/>
      <c r="AT64" s="2880"/>
      <c r="AU64" s="2880"/>
      <c r="AV64" s="2880"/>
      <c r="AW64" s="2880"/>
      <c r="AX64" s="2880"/>
      <c r="AY64" s="2880"/>
      <c r="AZ64" s="2880"/>
      <c r="BA64" s="2880"/>
      <c r="BB64" s="2880"/>
      <c r="BC64" s="2880"/>
      <c r="BD64" s="2880"/>
      <c r="BE64" s="2880"/>
      <c r="BF64" s="2880"/>
      <c r="BG64" s="2880"/>
      <c r="BH64" s="2880"/>
      <c r="BI64" s="2880"/>
      <c r="BJ64" s="2880"/>
      <c r="BK64" s="2880"/>
      <c r="BL64" s="2880"/>
      <c r="BM64" s="2880"/>
      <c r="BN64" s="2880"/>
      <c r="BO64" s="2880"/>
      <c r="BP64" s="2881"/>
    </row>
    <row r="65" spans="1:68" ht="9.9499999999999993" customHeight="1">
      <c r="A65" s="2825" t="s">
        <v>3143</v>
      </c>
      <c r="B65" s="2826"/>
      <c r="C65" s="2849"/>
      <c r="D65" s="2826" t="s">
        <v>3142</v>
      </c>
      <c r="E65" s="2826"/>
      <c r="F65" s="2827"/>
      <c r="G65" s="2825" t="s">
        <v>3141</v>
      </c>
      <c r="H65" s="2826"/>
      <c r="I65" s="2826"/>
      <c r="J65" s="2826"/>
      <c r="K65" s="2827"/>
      <c r="L65" s="2822"/>
      <c r="M65" s="2823"/>
      <c r="N65" s="2822"/>
      <c r="O65" s="2824"/>
      <c r="P65" s="2822"/>
      <c r="Q65" s="2832"/>
      <c r="R65" s="2822"/>
      <c r="S65" s="2832"/>
      <c r="T65" s="2822"/>
      <c r="U65" s="2835"/>
      <c r="V65" s="2822"/>
      <c r="W65" s="2835"/>
      <c r="X65" s="2822"/>
      <c r="Y65" s="2832"/>
      <c r="Z65" s="2822"/>
      <c r="AA65" s="2823"/>
      <c r="AB65" s="2822"/>
      <c r="AC65" s="2823"/>
      <c r="AD65" s="2822"/>
      <c r="AE65" s="2832"/>
      <c r="AF65" s="2843"/>
      <c r="AG65" s="2844"/>
      <c r="AH65" s="2845"/>
      <c r="AI65" s="1014"/>
      <c r="AJ65" s="1013"/>
      <c r="AK65" s="1013"/>
      <c r="AL65" s="1013"/>
      <c r="AM65" s="1013"/>
      <c r="AN65" s="1013"/>
      <c r="AO65" s="1013"/>
      <c r="AP65" s="1013"/>
      <c r="AQ65" s="1013"/>
      <c r="AR65" s="1013"/>
      <c r="AS65" s="1013"/>
      <c r="AT65" s="1013"/>
      <c r="AU65" s="1013"/>
      <c r="AV65" s="1013"/>
      <c r="AW65" s="1013"/>
      <c r="AX65" s="1013"/>
      <c r="AY65" s="1013"/>
      <c r="AZ65" s="1013"/>
      <c r="BA65" s="1013"/>
      <c r="BB65" s="1013"/>
      <c r="BC65" s="1013"/>
      <c r="BD65" s="1013"/>
      <c r="BE65" s="1013"/>
      <c r="BF65" s="1013"/>
      <c r="BG65" s="1013"/>
      <c r="BH65" s="1013"/>
      <c r="BI65" s="1013"/>
      <c r="BJ65" s="1013"/>
      <c r="BK65" s="1013"/>
      <c r="BL65" s="1013"/>
      <c r="BM65" s="1013"/>
      <c r="BN65" s="1013"/>
      <c r="BO65" s="1013"/>
      <c r="BP65" s="1012"/>
    </row>
    <row r="66" spans="1:68" ht="20.100000000000001" customHeight="1">
      <c r="A66" s="1011"/>
      <c r="B66" s="1084" t="s">
        <v>3140</v>
      </c>
      <c r="C66" s="1085"/>
      <c r="D66" s="1086"/>
      <c r="E66" s="1084" t="s">
        <v>3140</v>
      </c>
      <c r="F66" s="1087"/>
      <c r="G66" s="2828"/>
      <c r="H66" s="2829"/>
      <c r="I66" s="2829"/>
      <c r="J66" s="2829"/>
      <c r="K66" s="2830"/>
      <c r="L66" s="1007" t="s">
        <v>3139</v>
      </c>
      <c r="M66" s="2823"/>
      <c r="N66" s="1007" t="s">
        <v>3139</v>
      </c>
      <c r="O66" s="2824"/>
      <c r="P66" s="1007" t="s">
        <v>3139</v>
      </c>
      <c r="Q66" s="2833"/>
      <c r="R66" s="1007" t="s">
        <v>3139</v>
      </c>
      <c r="S66" s="2833"/>
      <c r="T66" s="1007" t="s">
        <v>3139</v>
      </c>
      <c r="U66" s="2836"/>
      <c r="V66" s="1007" t="s">
        <v>3139</v>
      </c>
      <c r="W66" s="2836"/>
      <c r="X66" s="1007" t="s">
        <v>3139</v>
      </c>
      <c r="Y66" s="2833"/>
      <c r="Z66" s="1007" t="s">
        <v>3139</v>
      </c>
      <c r="AA66" s="2823"/>
      <c r="AB66" s="1007" t="s">
        <v>3139</v>
      </c>
      <c r="AC66" s="2823"/>
      <c r="AD66" s="1007" t="s">
        <v>3139</v>
      </c>
      <c r="AE66" s="2833"/>
      <c r="AF66" s="2846"/>
      <c r="AG66" s="2847"/>
      <c r="AH66" s="2848"/>
      <c r="AI66" s="1014"/>
      <c r="AJ66" s="1013"/>
      <c r="AK66" s="2877"/>
      <c r="AL66" s="2877"/>
      <c r="AM66" s="2877"/>
      <c r="AN66" s="2877"/>
      <c r="AO66" s="2877"/>
      <c r="AP66" s="2877"/>
      <c r="AQ66" s="2877"/>
      <c r="AR66" s="2877"/>
      <c r="AS66" s="2877"/>
      <c r="AT66" s="2877"/>
      <c r="AU66" s="2877"/>
      <c r="AV66" s="2877"/>
      <c r="AW66" s="2877"/>
      <c r="AX66" s="2877"/>
      <c r="AY66" s="2877"/>
      <c r="AZ66" s="2877"/>
      <c r="BA66" s="2877"/>
      <c r="BB66" s="2877"/>
      <c r="BC66" s="2877"/>
      <c r="BD66" s="2877"/>
      <c r="BE66" s="2877"/>
      <c r="BF66" s="2877"/>
      <c r="BG66" s="2877"/>
      <c r="BH66" s="2877"/>
      <c r="BI66" s="2877"/>
      <c r="BJ66" s="2877"/>
      <c r="BK66" s="2877"/>
      <c r="BL66" s="2877"/>
      <c r="BM66" s="2877"/>
      <c r="BN66" s="2877"/>
      <c r="BO66" s="2877"/>
      <c r="BP66" s="2882"/>
    </row>
    <row r="67" spans="1:68" ht="9.9499999999999993" customHeight="1">
      <c r="A67" s="2818" t="s">
        <v>3145</v>
      </c>
      <c r="B67" s="2819"/>
      <c r="C67" s="2819"/>
      <c r="D67" s="2819"/>
      <c r="E67" s="2819"/>
      <c r="F67" s="2820"/>
      <c r="G67" s="2818" t="s">
        <v>3144</v>
      </c>
      <c r="H67" s="2819"/>
      <c r="I67" s="2819"/>
      <c r="J67" s="2819"/>
      <c r="K67" s="2820"/>
      <c r="L67" s="2821"/>
      <c r="M67" s="2823"/>
      <c r="N67" s="2821"/>
      <c r="O67" s="2824"/>
      <c r="P67" s="2821"/>
      <c r="Q67" s="2831"/>
      <c r="R67" s="2821"/>
      <c r="S67" s="2831"/>
      <c r="T67" s="2821"/>
      <c r="U67" s="2834"/>
      <c r="V67" s="2821"/>
      <c r="W67" s="2834"/>
      <c r="X67" s="2821"/>
      <c r="Y67" s="2831"/>
      <c r="Z67" s="2821"/>
      <c r="AA67" s="2823"/>
      <c r="AB67" s="2821"/>
      <c r="AC67" s="2823"/>
      <c r="AD67" s="2821"/>
      <c r="AE67" s="2831"/>
      <c r="AF67" s="2840"/>
      <c r="AG67" s="2841"/>
      <c r="AH67" s="2842"/>
      <c r="AI67" s="1014"/>
      <c r="AJ67" s="1013"/>
      <c r="AK67" s="1013"/>
      <c r="AL67" s="1013"/>
      <c r="AM67" s="1013"/>
      <c r="AN67" s="1013"/>
      <c r="AO67" s="1013"/>
      <c r="AP67" s="1013"/>
      <c r="AQ67" s="1013"/>
      <c r="AR67" s="1013"/>
      <c r="AS67" s="1013"/>
      <c r="AT67" s="1013"/>
      <c r="AU67" s="1013"/>
      <c r="AV67" s="1013"/>
      <c r="AW67" s="1013"/>
      <c r="AX67" s="1013"/>
      <c r="AY67" s="1013"/>
      <c r="AZ67" s="1013"/>
      <c r="BA67" s="1013"/>
      <c r="BB67" s="1013"/>
      <c r="BC67" s="1013"/>
      <c r="BD67" s="1013"/>
      <c r="BE67" s="1013"/>
      <c r="BF67" s="1013"/>
      <c r="BG67" s="1013"/>
      <c r="BH67" s="1013"/>
      <c r="BI67" s="1013"/>
      <c r="BJ67" s="1013"/>
      <c r="BK67" s="1013"/>
      <c r="BL67" s="1013"/>
      <c r="BM67" s="1013"/>
      <c r="BN67" s="1013"/>
      <c r="BO67" s="1013"/>
      <c r="BP67" s="1012"/>
    </row>
    <row r="68" spans="1:68" ht="20.100000000000001" customHeight="1">
      <c r="A68" s="2850"/>
      <c r="B68" s="2851"/>
      <c r="C68" s="2851"/>
      <c r="D68" s="2851"/>
      <c r="E68" s="2851"/>
      <c r="F68" s="2852"/>
      <c r="G68" s="2853">
        <f>$G$7</f>
        <v>0</v>
      </c>
      <c r="H68" s="2854"/>
      <c r="I68" s="2854"/>
      <c r="J68" s="2854"/>
      <c r="K68" s="2855"/>
      <c r="L68" s="2822"/>
      <c r="M68" s="2823"/>
      <c r="N68" s="2822"/>
      <c r="O68" s="2824"/>
      <c r="P68" s="2822"/>
      <c r="Q68" s="2832"/>
      <c r="R68" s="2822"/>
      <c r="S68" s="2832"/>
      <c r="T68" s="2822"/>
      <c r="U68" s="2835"/>
      <c r="V68" s="2822"/>
      <c r="W68" s="2835"/>
      <c r="X68" s="2822"/>
      <c r="Y68" s="2832"/>
      <c r="Z68" s="2822"/>
      <c r="AA68" s="2823"/>
      <c r="AB68" s="2822"/>
      <c r="AC68" s="2823"/>
      <c r="AD68" s="2822"/>
      <c r="AE68" s="2832"/>
      <c r="AF68" s="2843"/>
      <c r="AG68" s="2844"/>
      <c r="AH68" s="2845"/>
      <c r="AI68" s="1014"/>
      <c r="AJ68" s="1013"/>
      <c r="AK68" s="1013"/>
      <c r="AL68" s="1013"/>
      <c r="AM68" s="1013"/>
      <c r="AN68" s="1013"/>
      <c r="AO68" s="1013"/>
      <c r="AP68" s="1013"/>
      <c r="AQ68" s="1013"/>
      <c r="AR68" s="1013"/>
      <c r="AS68" s="1013"/>
      <c r="AT68" s="1013"/>
      <c r="AU68" s="1013"/>
      <c r="AV68" s="1013"/>
      <c r="AW68" s="1013"/>
      <c r="AX68" s="1013"/>
      <c r="AY68" s="1013"/>
      <c r="AZ68" s="1013"/>
      <c r="BA68" s="1013"/>
      <c r="BB68" s="1013"/>
      <c r="BC68" s="1013"/>
      <c r="BD68" s="1013"/>
      <c r="BE68" s="1013"/>
      <c r="BF68" s="1013"/>
      <c r="BG68" s="1013"/>
      <c r="BH68" s="1013"/>
      <c r="BI68" s="1013"/>
      <c r="BJ68" s="1013"/>
      <c r="BK68" s="1013"/>
      <c r="BL68" s="1013"/>
      <c r="BM68" s="1013"/>
      <c r="BN68" s="1013"/>
      <c r="BO68" s="1013"/>
      <c r="BP68" s="1012"/>
    </row>
    <row r="69" spans="1:68" ht="9.9499999999999993" customHeight="1">
      <c r="A69" s="2825" t="s">
        <v>3143</v>
      </c>
      <c r="B69" s="2826"/>
      <c r="C69" s="2849"/>
      <c r="D69" s="2826" t="s">
        <v>3142</v>
      </c>
      <c r="E69" s="2826"/>
      <c r="F69" s="2827"/>
      <c r="G69" s="2825" t="s">
        <v>3141</v>
      </c>
      <c r="H69" s="2826"/>
      <c r="I69" s="2826"/>
      <c r="J69" s="2826"/>
      <c r="K69" s="2827"/>
      <c r="L69" s="2822"/>
      <c r="M69" s="2823"/>
      <c r="N69" s="2822"/>
      <c r="O69" s="2824"/>
      <c r="P69" s="2822"/>
      <c r="Q69" s="2832"/>
      <c r="R69" s="2822"/>
      <c r="S69" s="2832"/>
      <c r="T69" s="2822"/>
      <c r="U69" s="2835"/>
      <c r="V69" s="2822"/>
      <c r="W69" s="2835"/>
      <c r="X69" s="2822"/>
      <c r="Y69" s="2832"/>
      <c r="Z69" s="2822"/>
      <c r="AA69" s="2823"/>
      <c r="AB69" s="2822"/>
      <c r="AC69" s="2823"/>
      <c r="AD69" s="2822"/>
      <c r="AE69" s="2832"/>
      <c r="AF69" s="2843"/>
      <c r="AG69" s="2844"/>
      <c r="AH69" s="2845"/>
      <c r="AI69" s="1014"/>
      <c r="AJ69" s="1013"/>
      <c r="AK69" s="1013"/>
      <c r="AL69" s="1013"/>
      <c r="AM69" s="1013"/>
      <c r="AN69" s="1013"/>
      <c r="AO69" s="1013"/>
      <c r="AP69" s="1013"/>
      <c r="AQ69" s="1013"/>
      <c r="AR69" s="1013"/>
      <c r="AS69" s="1013"/>
      <c r="AT69" s="1013"/>
      <c r="AU69" s="1013"/>
      <c r="AV69" s="1013"/>
      <c r="AW69" s="1013"/>
      <c r="AX69" s="1013"/>
      <c r="AY69" s="1013"/>
      <c r="AZ69" s="1013"/>
      <c r="BA69" s="1013"/>
      <c r="BB69" s="1013"/>
      <c r="BC69" s="1013"/>
      <c r="BD69" s="1013"/>
      <c r="BE69" s="1013"/>
      <c r="BF69" s="1013"/>
      <c r="BG69" s="1013"/>
      <c r="BH69" s="1013"/>
      <c r="BI69" s="1013"/>
      <c r="BJ69" s="1013"/>
      <c r="BK69" s="1013"/>
      <c r="BL69" s="1013"/>
      <c r="BM69" s="1013"/>
      <c r="BN69" s="1013"/>
      <c r="BO69" s="1013"/>
      <c r="BP69" s="1012"/>
    </row>
    <row r="70" spans="1:68" ht="20.100000000000001" customHeight="1">
      <c r="A70" s="1083"/>
      <c r="B70" s="1084" t="s">
        <v>3140</v>
      </c>
      <c r="C70" s="1085"/>
      <c r="D70" s="1086"/>
      <c r="E70" s="1084" t="s">
        <v>3140</v>
      </c>
      <c r="F70" s="1087"/>
      <c r="G70" s="2828"/>
      <c r="H70" s="2829"/>
      <c r="I70" s="2829"/>
      <c r="J70" s="2829"/>
      <c r="K70" s="2830"/>
      <c r="L70" s="1007" t="s">
        <v>3139</v>
      </c>
      <c r="M70" s="2823"/>
      <c r="N70" s="1007" t="s">
        <v>3139</v>
      </c>
      <c r="O70" s="2824"/>
      <c r="P70" s="1007" t="s">
        <v>3139</v>
      </c>
      <c r="Q70" s="2833"/>
      <c r="R70" s="1007" t="s">
        <v>3139</v>
      </c>
      <c r="S70" s="2833"/>
      <c r="T70" s="1007" t="s">
        <v>3139</v>
      </c>
      <c r="U70" s="2836"/>
      <c r="V70" s="1007" t="s">
        <v>3139</v>
      </c>
      <c r="W70" s="2836"/>
      <c r="X70" s="1007" t="s">
        <v>3139</v>
      </c>
      <c r="Y70" s="2833"/>
      <c r="Z70" s="1007" t="s">
        <v>3139</v>
      </c>
      <c r="AA70" s="2823"/>
      <c r="AB70" s="1007" t="s">
        <v>3139</v>
      </c>
      <c r="AC70" s="2823"/>
      <c r="AD70" s="1007" t="s">
        <v>3139</v>
      </c>
      <c r="AE70" s="2833"/>
      <c r="AF70" s="2846"/>
      <c r="AG70" s="2847"/>
      <c r="AH70" s="2848"/>
      <c r="AI70" s="1014"/>
      <c r="AJ70" s="1013"/>
      <c r="AK70" s="1013"/>
      <c r="AL70" s="1013"/>
      <c r="AM70" s="1013"/>
      <c r="AN70" s="1013"/>
      <c r="AO70" s="1013"/>
      <c r="AP70" s="1013"/>
      <c r="AQ70" s="1013"/>
      <c r="AR70" s="1013"/>
      <c r="AS70" s="1013"/>
      <c r="AT70" s="1013"/>
      <c r="AU70" s="1013"/>
      <c r="AV70" s="1013"/>
      <c r="AW70" s="1013"/>
      <c r="AX70" s="1013"/>
      <c r="AY70" s="1013"/>
      <c r="AZ70" s="1013"/>
      <c r="BA70" s="1013"/>
      <c r="BB70" s="1013"/>
      <c r="BC70" s="1013"/>
      <c r="BD70" s="1013"/>
      <c r="BE70" s="1013"/>
      <c r="BF70" s="1013"/>
      <c r="BG70" s="1013"/>
      <c r="BH70" s="1013"/>
      <c r="BI70" s="1013"/>
      <c r="BJ70" s="1013"/>
      <c r="BK70" s="1013"/>
      <c r="BL70" s="1013"/>
      <c r="BM70" s="1013"/>
      <c r="BN70" s="1013"/>
      <c r="BO70" s="1013"/>
      <c r="BP70" s="1012"/>
    </row>
    <row r="71" spans="1:68" ht="9.9499999999999993" customHeight="1">
      <c r="A71" s="2818" t="s">
        <v>3145</v>
      </c>
      <c r="B71" s="2819"/>
      <c r="C71" s="2819"/>
      <c r="D71" s="2819"/>
      <c r="E71" s="2819"/>
      <c r="F71" s="2820"/>
      <c r="G71" s="2818" t="s">
        <v>3144</v>
      </c>
      <c r="H71" s="2819"/>
      <c r="I71" s="2819"/>
      <c r="J71" s="2819"/>
      <c r="K71" s="2820"/>
      <c r="L71" s="2821"/>
      <c r="M71" s="2823"/>
      <c r="N71" s="2821"/>
      <c r="O71" s="2824"/>
      <c r="P71" s="2821"/>
      <c r="Q71" s="2831"/>
      <c r="R71" s="2821"/>
      <c r="S71" s="2831"/>
      <c r="T71" s="2821"/>
      <c r="U71" s="2834"/>
      <c r="V71" s="2821"/>
      <c r="W71" s="2834"/>
      <c r="X71" s="2821"/>
      <c r="Y71" s="2831"/>
      <c r="Z71" s="2821"/>
      <c r="AA71" s="2823"/>
      <c r="AB71" s="2821"/>
      <c r="AC71" s="2823"/>
      <c r="AD71" s="2821"/>
      <c r="AE71" s="2831"/>
      <c r="AF71" s="2840"/>
      <c r="AG71" s="2841"/>
      <c r="AH71" s="2842"/>
      <c r="AI71" s="1014"/>
      <c r="AJ71" s="1013"/>
      <c r="AK71" s="1013"/>
      <c r="AL71" s="1013"/>
      <c r="AM71" s="1013"/>
      <c r="AN71" s="1013"/>
      <c r="AO71" s="1013"/>
      <c r="AP71" s="1013"/>
      <c r="AQ71" s="1013"/>
      <c r="AR71" s="1013"/>
      <c r="AS71" s="1013"/>
      <c r="AT71" s="1013"/>
      <c r="AU71" s="1013"/>
      <c r="AV71" s="1013"/>
      <c r="AW71" s="1013"/>
      <c r="AX71" s="1013"/>
      <c r="AY71" s="1013"/>
      <c r="AZ71" s="1013"/>
      <c r="BA71" s="1013"/>
      <c r="BB71" s="1013"/>
      <c r="BC71" s="1013"/>
      <c r="BD71" s="1013"/>
      <c r="BE71" s="1013"/>
      <c r="BF71" s="1013"/>
      <c r="BG71" s="1013"/>
      <c r="BH71" s="1013"/>
      <c r="BI71" s="1013"/>
      <c r="BJ71" s="1013"/>
      <c r="BK71" s="1013"/>
      <c r="BL71" s="1013"/>
      <c r="BM71" s="1013"/>
      <c r="BN71" s="1013"/>
      <c r="BO71" s="1013"/>
      <c r="BP71" s="1012"/>
    </row>
    <row r="72" spans="1:68" ht="20.100000000000001" customHeight="1">
      <c r="A72" s="2850"/>
      <c r="B72" s="2851"/>
      <c r="C72" s="2851"/>
      <c r="D72" s="2851"/>
      <c r="E72" s="2851"/>
      <c r="F72" s="2852"/>
      <c r="G72" s="2853">
        <f>$G$7</f>
        <v>0</v>
      </c>
      <c r="H72" s="2854"/>
      <c r="I72" s="2854"/>
      <c r="J72" s="2854"/>
      <c r="K72" s="2855"/>
      <c r="L72" s="2822"/>
      <c r="M72" s="2823"/>
      <c r="N72" s="2822"/>
      <c r="O72" s="2824"/>
      <c r="P72" s="2822"/>
      <c r="Q72" s="2832"/>
      <c r="R72" s="2822"/>
      <c r="S72" s="2832"/>
      <c r="T72" s="2822"/>
      <c r="U72" s="2835"/>
      <c r="V72" s="2822"/>
      <c r="W72" s="2835"/>
      <c r="X72" s="2822"/>
      <c r="Y72" s="2832"/>
      <c r="Z72" s="2822"/>
      <c r="AA72" s="2823"/>
      <c r="AB72" s="2822"/>
      <c r="AC72" s="2823"/>
      <c r="AD72" s="2822"/>
      <c r="AE72" s="2832"/>
      <c r="AF72" s="2843"/>
      <c r="AG72" s="2844"/>
      <c r="AH72" s="2845"/>
      <c r="AI72" s="1014"/>
      <c r="AJ72" s="1013"/>
      <c r="AK72" s="1013"/>
      <c r="AL72" s="1013"/>
      <c r="AM72" s="1013"/>
      <c r="AN72" s="1013"/>
      <c r="AO72" s="1013"/>
      <c r="AP72" s="1013"/>
      <c r="AQ72" s="1013"/>
      <c r="AR72" s="1013"/>
      <c r="AS72" s="1013"/>
      <c r="AT72" s="1013"/>
      <c r="AU72" s="1013"/>
      <c r="AV72" s="1013"/>
      <c r="AW72" s="1013"/>
      <c r="AX72" s="1013"/>
      <c r="AY72" s="1013"/>
      <c r="AZ72" s="1013"/>
      <c r="BA72" s="1013"/>
      <c r="BB72" s="1013"/>
      <c r="BC72" s="1013"/>
      <c r="BD72" s="1013"/>
      <c r="BE72" s="1013"/>
      <c r="BF72" s="1013"/>
      <c r="BG72" s="1013"/>
      <c r="BH72" s="1013"/>
      <c r="BI72" s="1013"/>
      <c r="BJ72" s="1013"/>
      <c r="BK72" s="1013"/>
      <c r="BL72" s="1013"/>
      <c r="BM72" s="1013"/>
      <c r="BN72" s="1013"/>
      <c r="BO72" s="1013"/>
      <c r="BP72" s="1012"/>
    </row>
    <row r="73" spans="1:68" ht="9.9499999999999993" customHeight="1">
      <c r="A73" s="2825" t="s">
        <v>3143</v>
      </c>
      <c r="B73" s="2826"/>
      <c r="C73" s="2849"/>
      <c r="D73" s="2826" t="s">
        <v>3142</v>
      </c>
      <c r="E73" s="2826"/>
      <c r="F73" s="2827"/>
      <c r="G73" s="2825" t="s">
        <v>3141</v>
      </c>
      <c r="H73" s="2826"/>
      <c r="I73" s="2826"/>
      <c r="J73" s="2826"/>
      <c r="K73" s="2827"/>
      <c r="L73" s="2822"/>
      <c r="M73" s="2823"/>
      <c r="N73" s="2822"/>
      <c r="O73" s="2824"/>
      <c r="P73" s="2822"/>
      <c r="Q73" s="2832"/>
      <c r="R73" s="2822"/>
      <c r="S73" s="2832"/>
      <c r="T73" s="2822"/>
      <c r="U73" s="2835"/>
      <c r="V73" s="2822"/>
      <c r="W73" s="2835"/>
      <c r="X73" s="2822"/>
      <c r="Y73" s="2832"/>
      <c r="Z73" s="2822"/>
      <c r="AA73" s="2823"/>
      <c r="AB73" s="2822"/>
      <c r="AC73" s="2823"/>
      <c r="AD73" s="2822"/>
      <c r="AE73" s="2832"/>
      <c r="AF73" s="2843"/>
      <c r="AG73" s="2844"/>
      <c r="AH73" s="2845"/>
      <c r="AI73" s="1014"/>
      <c r="AJ73" s="1013"/>
      <c r="AK73" s="1013"/>
      <c r="AL73" s="1013"/>
      <c r="AM73" s="1013"/>
      <c r="AN73" s="1013"/>
      <c r="AO73" s="1013"/>
      <c r="AP73" s="1013"/>
      <c r="AQ73" s="1013"/>
      <c r="AR73" s="1013"/>
      <c r="AS73" s="1013"/>
      <c r="AT73" s="1013"/>
      <c r="AU73" s="1013"/>
      <c r="AV73" s="1013"/>
      <c r="AW73" s="1013"/>
      <c r="AX73" s="1013"/>
      <c r="AY73" s="1013"/>
      <c r="AZ73" s="1013"/>
      <c r="BA73" s="1013"/>
      <c r="BB73" s="1013"/>
      <c r="BC73" s="1013"/>
      <c r="BD73" s="1013"/>
      <c r="BE73" s="1013"/>
      <c r="BF73" s="1013"/>
      <c r="BG73" s="1013"/>
      <c r="BH73" s="1013"/>
      <c r="BI73" s="1013"/>
      <c r="BJ73" s="1013"/>
      <c r="BK73" s="1013"/>
      <c r="BL73" s="1013"/>
      <c r="BM73" s="1013"/>
      <c r="BN73" s="1013"/>
      <c r="BO73" s="1013"/>
      <c r="BP73" s="1012"/>
    </row>
    <row r="74" spans="1:68" ht="20.100000000000001" customHeight="1">
      <c r="A74" s="1083"/>
      <c r="B74" s="1084" t="s">
        <v>3140</v>
      </c>
      <c r="C74" s="1085"/>
      <c r="D74" s="1086"/>
      <c r="E74" s="1084" t="s">
        <v>3140</v>
      </c>
      <c r="F74" s="1087"/>
      <c r="G74" s="2828"/>
      <c r="H74" s="2829"/>
      <c r="I74" s="2829"/>
      <c r="J74" s="2829"/>
      <c r="K74" s="2830"/>
      <c r="L74" s="1007" t="s">
        <v>3139</v>
      </c>
      <c r="M74" s="2823"/>
      <c r="N74" s="1007" t="s">
        <v>3139</v>
      </c>
      <c r="O74" s="2824"/>
      <c r="P74" s="1007" t="s">
        <v>3139</v>
      </c>
      <c r="Q74" s="2833"/>
      <c r="R74" s="1007" t="s">
        <v>3139</v>
      </c>
      <c r="S74" s="2833"/>
      <c r="T74" s="1007" t="s">
        <v>3139</v>
      </c>
      <c r="U74" s="2836"/>
      <c r="V74" s="1007" t="s">
        <v>3139</v>
      </c>
      <c r="W74" s="2836"/>
      <c r="X74" s="1007" t="s">
        <v>3139</v>
      </c>
      <c r="Y74" s="2833"/>
      <c r="Z74" s="1007" t="s">
        <v>3139</v>
      </c>
      <c r="AA74" s="2823"/>
      <c r="AB74" s="1007" t="s">
        <v>3139</v>
      </c>
      <c r="AC74" s="2823"/>
      <c r="AD74" s="1007" t="s">
        <v>3139</v>
      </c>
      <c r="AE74" s="2833"/>
      <c r="AF74" s="2846"/>
      <c r="AG74" s="2847"/>
      <c r="AH74" s="2848"/>
      <c r="AI74" s="1006"/>
      <c r="AJ74" s="1005"/>
      <c r="AK74" s="1005"/>
      <c r="AL74" s="1005"/>
      <c r="AM74" s="1005"/>
      <c r="AN74" s="1005"/>
      <c r="AO74" s="1005"/>
      <c r="AP74" s="1005"/>
      <c r="AQ74" s="1005"/>
      <c r="AR74" s="1005"/>
      <c r="AS74" s="1005"/>
      <c r="AT74" s="1005"/>
      <c r="AU74" s="1005"/>
      <c r="AV74" s="1005"/>
      <c r="AW74" s="1005"/>
      <c r="AX74" s="1005"/>
      <c r="AY74" s="1005"/>
      <c r="AZ74" s="1005"/>
      <c r="BA74" s="1005"/>
      <c r="BB74" s="1005"/>
      <c r="BC74" s="1005"/>
      <c r="BD74" s="1005"/>
      <c r="BE74" s="1005"/>
      <c r="BF74" s="1005"/>
      <c r="BG74" s="1005"/>
      <c r="BH74" s="1005"/>
      <c r="BI74" s="1005"/>
      <c r="BJ74" s="1005"/>
      <c r="BK74" s="1005"/>
      <c r="BL74" s="1005"/>
      <c r="BM74" s="1005"/>
      <c r="BN74" s="1005"/>
      <c r="BO74" s="1005"/>
      <c r="BP74" s="1004"/>
    </row>
  </sheetData>
  <sheetProtection algorithmName="SHA-512" hashValue="hT10bORhS+FLDjzo2Jm5DClR7U52fjv4k+krNugb6R458CSMA1haKV1cU53fiz0BVHZ+qIhiom9TkeHPzwpKKg==" saltValue="a5noLteqPTkHv8LUyrVOSA==" spinCount="100000" sheet="1" selectLockedCells="1"/>
  <mergeCells count="901">
    <mergeCell ref="AE71:AE74"/>
    <mergeCell ref="AF71:AH74"/>
    <mergeCell ref="A72:F72"/>
    <mergeCell ref="G72:K72"/>
    <mergeCell ref="A73:C73"/>
    <mergeCell ref="D73:F73"/>
    <mergeCell ref="G73:K73"/>
    <mergeCell ref="R71:R73"/>
    <mergeCell ref="S71:S74"/>
    <mergeCell ref="T71:T73"/>
    <mergeCell ref="U71:U74"/>
    <mergeCell ref="V71:V73"/>
    <mergeCell ref="W71:W74"/>
    <mergeCell ref="X71:X73"/>
    <mergeCell ref="Y71:Y74"/>
    <mergeCell ref="Z71:Z73"/>
    <mergeCell ref="A71:F71"/>
    <mergeCell ref="G71:K71"/>
    <mergeCell ref="L71:L73"/>
    <mergeCell ref="M71:M74"/>
    <mergeCell ref="N71:N73"/>
    <mergeCell ref="O71:O74"/>
    <mergeCell ref="G74:K74"/>
    <mergeCell ref="P71:P73"/>
    <mergeCell ref="Q71:Q74"/>
    <mergeCell ref="AA67:AA70"/>
    <mergeCell ref="AB67:AB69"/>
    <mergeCell ref="AC67:AC70"/>
    <mergeCell ref="AD67:AD69"/>
    <mergeCell ref="Q67:Q70"/>
    <mergeCell ref="AA71:AA74"/>
    <mergeCell ref="AB71:AB73"/>
    <mergeCell ref="AC71:AC74"/>
    <mergeCell ref="AD71:AD73"/>
    <mergeCell ref="AE67:AE70"/>
    <mergeCell ref="AF67:AH70"/>
    <mergeCell ref="A68:F68"/>
    <mergeCell ref="G68:K68"/>
    <mergeCell ref="A69:C69"/>
    <mergeCell ref="D69:F69"/>
    <mergeCell ref="G69:K69"/>
    <mergeCell ref="R67:R69"/>
    <mergeCell ref="S67:S70"/>
    <mergeCell ref="T67:T69"/>
    <mergeCell ref="U67:U70"/>
    <mergeCell ref="V67:V69"/>
    <mergeCell ref="W67:W70"/>
    <mergeCell ref="X67:X69"/>
    <mergeCell ref="Y67:Y70"/>
    <mergeCell ref="Z67:Z69"/>
    <mergeCell ref="A67:F67"/>
    <mergeCell ref="G67:K67"/>
    <mergeCell ref="L67:L69"/>
    <mergeCell ref="M67:M70"/>
    <mergeCell ref="N67:N69"/>
    <mergeCell ref="O67:O70"/>
    <mergeCell ref="G70:K70"/>
    <mergeCell ref="P67:P69"/>
    <mergeCell ref="W63:W66"/>
    <mergeCell ref="X63:X65"/>
    <mergeCell ref="Y63:Y66"/>
    <mergeCell ref="Z63:Z65"/>
    <mergeCell ref="AA63:AA66"/>
    <mergeCell ref="P63:P65"/>
    <mergeCell ref="AK64:BP64"/>
    <mergeCell ref="A65:C65"/>
    <mergeCell ref="D65:F65"/>
    <mergeCell ref="G65:K65"/>
    <mergeCell ref="G66:K66"/>
    <mergeCell ref="AK66:BP66"/>
    <mergeCell ref="AB63:AB65"/>
    <mergeCell ref="AC63:AC66"/>
    <mergeCell ref="AD63:AD65"/>
    <mergeCell ref="AE63:AE66"/>
    <mergeCell ref="O63:O66"/>
    <mergeCell ref="Q63:Q66"/>
    <mergeCell ref="R63:R65"/>
    <mergeCell ref="S63:S66"/>
    <mergeCell ref="T63:T65"/>
    <mergeCell ref="U63:U66"/>
    <mergeCell ref="A63:F63"/>
    <mergeCell ref="G63:K63"/>
    <mergeCell ref="AK60:BP60"/>
    <mergeCell ref="A61:C61"/>
    <mergeCell ref="D61:F61"/>
    <mergeCell ref="G61:K61"/>
    <mergeCell ref="G62:K62"/>
    <mergeCell ref="AK62:BP62"/>
    <mergeCell ref="AB59:AB61"/>
    <mergeCell ref="AC59:AC62"/>
    <mergeCell ref="AD59:AD61"/>
    <mergeCell ref="N59:N61"/>
    <mergeCell ref="O59:O62"/>
    <mergeCell ref="P59:P61"/>
    <mergeCell ref="Q59:Q62"/>
    <mergeCell ref="R59:R61"/>
    <mergeCell ref="L63:L65"/>
    <mergeCell ref="M63:M66"/>
    <mergeCell ref="N63:N65"/>
    <mergeCell ref="AF63:AH66"/>
    <mergeCell ref="A64:F64"/>
    <mergeCell ref="G64:K64"/>
    <mergeCell ref="V63:V65"/>
    <mergeCell ref="S59:S62"/>
    <mergeCell ref="T59:T61"/>
    <mergeCell ref="U59:U62"/>
    <mergeCell ref="AE59:AE62"/>
    <mergeCell ref="AF59:AH62"/>
    <mergeCell ref="A60:F60"/>
    <mergeCell ref="G60:K60"/>
    <mergeCell ref="V59:V61"/>
    <mergeCell ref="W59:W62"/>
    <mergeCell ref="X59:X61"/>
    <mergeCell ref="Y59:Y62"/>
    <mergeCell ref="Z59:Z61"/>
    <mergeCell ref="AA59:AA62"/>
    <mergeCell ref="A59:F59"/>
    <mergeCell ref="G59:K59"/>
    <mergeCell ref="L59:L61"/>
    <mergeCell ref="M59:M62"/>
    <mergeCell ref="W55:W58"/>
    <mergeCell ref="X55:X57"/>
    <mergeCell ref="Y55:Y58"/>
    <mergeCell ref="Z55:Z57"/>
    <mergeCell ref="AA55:AA58"/>
    <mergeCell ref="P55:P57"/>
    <mergeCell ref="AK56:AS56"/>
    <mergeCell ref="A57:C57"/>
    <mergeCell ref="D57:F57"/>
    <mergeCell ref="G57:K57"/>
    <mergeCell ref="G58:K58"/>
    <mergeCell ref="AK58:BP58"/>
    <mergeCell ref="AB55:AB57"/>
    <mergeCell ref="AC55:AC58"/>
    <mergeCell ref="AD55:AD57"/>
    <mergeCell ref="AE55:AE58"/>
    <mergeCell ref="O55:O58"/>
    <mergeCell ref="Q55:Q58"/>
    <mergeCell ref="R55:R57"/>
    <mergeCell ref="S55:S58"/>
    <mergeCell ref="T55:T57"/>
    <mergeCell ref="U55:U58"/>
    <mergeCell ref="A55:F55"/>
    <mergeCell ref="G55:K55"/>
    <mergeCell ref="BK51:BK54"/>
    <mergeCell ref="BL51:BL53"/>
    <mergeCell ref="BM51:BM54"/>
    <mergeCell ref="BN51:BP54"/>
    <mergeCell ref="A52:F52"/>
    <mergeCell ref="G52:K52"/>
    <mergeCell ref="AI52:AN52"/>
    <mergeCell ref="AO52:AS52"/>
    <mergeCell ref="A53:C53"/>
    <mergeCell ref="AW51:AW54"/>
    <mergeCell ref="AX51:AX53"/>
    <mergeCell ref="AO53:AS53"/>
    <mergeCell ref="AO54:AS54"/>
    <mergeCell ref="AB51:AB53"/>
    <mergeCell ref="AC51:AC54"/>
    <mergeCell ref="AD51:AD53"/>
    <mergeCell ref="AE51:AE54"/>
    <mergeCell ref="AF51:AH54"/>
    <mergeCell ref="AI51:AN51"/>
    <mergeCell ref="Q51:Q54"/>
    <mergeCell ref="R51:R53"/>
    <mergeCell ref="S51:S54"/>
    <mergeCell ref="T51:T53"/>
    <mergeCell ref="U51:U54"/>
    <mergeCell ref="L55:L57"/>
    <mergeCell ref="M55:M58"/>
    <mergeCell ref="N55:N57"/>
    <mergeCell ref="AF55:AH58"/>
    <mergeCell ref="A56:F56"/>
    <mergeCell ref="G56:K56"/>
    <mergeCell ref="V55:V57"/>
    <mergeCell ref="BJ51:BJ53"/>
    <mergeCell ref="AY51:AY54"/>
    <mergeCell ref="AZ51:AZ53"/>
    <mergeCell ref="BA51:BA54"/>
    <mergeCell ref="BB51:BB53"/>
    <mergeCell ref="BC51:BC54"/>
    <mergeCell ref="BD51:BD53"/>
    <mergeCell ref="D53:F53"/>
    <mergeCell ref="BE51:BE54"/>
    <mergeCell ref="BF51:BF53"/>
    <mergeCell ref="BG51:BG54"/>
    <mergeCell ref="BH51:BH53"/>
    <mergeCell ref="BI51:BI54"/>
    <mergeCell ref="AO51:AS51"/>
    <mergeCell ref="AT51:AT53"/>
    <mergeCell ref="AU51:AU54"/>
    <mergeCell ref="AV51:AV53"/>
    <mergeCell ref="AI53:AK53"/>
    <mergeCell ref="AL53:AN53"/>
    <mergeCell ref="V51:V53"/>
    <mergeCell ref="W51:W54"/>
    <mergeCell ref="X51:X53"/>
    <mergeCell ref="Y51:Y54"/>
    <mergeCell ref="Z51:Z53"/>
    <mergeCell ref="AA51:AA54"/>
    <mergeCell ref="A51:F51"/>
    <mergeCell ref="G51:K51"/>
    <mergeCell ref="L51:L53"/>
    <mergeCell ref="M51:M54"/>
    <mergeCell ref="N51:N53"/>
    <mergeCell ref="O51:O54"/>
    <mergeCell ref="G53:K53"/>
    <mergeCell ref="G54:K54"/>
    <mergeCell ref="P51:P53"/>
    <mergeCell ref="BI47:BI50"/>
    <mergeCell ref="BJ47:BJ49"/>
    <mergeCell ref="BK47:BK50"/>
    <mergeCell ref="BL47:BL49"/>
    <mergeCell ref="BM47:BM50"/>
    <mergeCell ref="BN47:BP50"/>
    <mergeCell ref="A48:F48"/>
    <mergeCell ref="G48:K48"/>
    <mergeCell ref="AI48:AN48"/>
    <mergeCell ref="AO48:AS48"/>
    <mergeCell ref="A49:C49"/>
    <mergeCell ref="D49:F49"/>
    <mergeCell ref="AZ47:AZ49"/>
    <mergeCell ref="BA47:BA50"/>
    <mergeCell ref="BB47:BB49"/>
    <mergeCell ref="BC47:BC50"/>
    <mergeCell ref="BD47:BD49"/>
    <mergeCell ref="BE47:BE50"/>
    <mergeCell ref="BF47:BF49"/>
    <mergeCell ref="BG47:BG50"/>
    <mergeCell ref="BH47:BH49"/>
    <mergeCell ref="AO47:AS47"/>
    <mergeCell ref="AT47:AT49"/>
    <mergeCell ref="AU47:AU50"/>
    <mergeCell ref="AV47:AV49"/>
    <mergeCell ref="AW47:AW50"/>
    <mergeCell ref="AX47:AX49"/>
    <mergeCell ref="AO49:AS49"/>
    <mergeCell ref="AO50:AS50"/>
    <mergeCell ref="AY47:AY50"/>
    <mergeCell ref="Z47:Z49"/>
    <mergeCell ref="AA47:AA50"/>
    <mergeCell ref="AB47:AB49"/>
    <mergeCell ref="AC47:AC50"/>
    <mergeCell ref="AD47:AD49"/>
    <mergeCell ref="AE47:AE50"/>
    <mergeCell ref="AF47:AH50"/>
    <mergeCell ref="AI47:AN47"/>
    <mergeCell ref="AI49:AK49"/>
    <mergeCell ref="AL49:AN49"/>
    <mergeCell ref="Q47:Q50"/>
    <mergeCell ref="R47:R49"/>
    <mergeCell ref="S47:S50"/>
    <mergeCell ref="T47:T49"/>
    <mergeCell ref="U47:U50"/>
    <mergeCell ref="V47:V49"/>
    <mergeCell ref="W47:W50"/>
    <mergeCell ref="X47:X49"/>
    <mergeCell ref="Y47:Y50"/>
    <mergeCell ref="A47:F47"/>
    <mergeCell ref="G47:K47"/>
    <mergeCell ref="L47:L49"/>
    <mergeCell ref="M47:M50"/>
    <mergeCell ref="N47:N49"/>
    <mergeCell ref="O47:O50"/>
    <mergeCell ref="G49:K49"/>
    <mergeCell ref="G50:K50"/>
    <mergeCell ref="P47:P49"/>
    <mergeCell ref="BI43:BI46"/>
    <mergeCell ref="BJ43:BJ45"/>
    <mergeCell ref="BK43:BK46"/>
    <mergeCell ref="BL43:BL45"/>
    <mergeCell ref="BM43:BM46"/>
    <mergeCell ref="BN43:BP46"/>
    <mergeCell ref="A44:F44"/>
    <mergeCell ref="G44:K44"/>
    <mergeCell ref="AI44:AN44"/>
    <mergeCell ref="AO44:AS44"/>
    <mergeCell ref="A45:C45"/>
    <mergeCell ref="D45:F45"/>
    <mergeCell ref="AZ43:AZ45"/>
    <mergeCell ref="BA43:BA46"/>
    <mergeCell ref="BB43:BB45"/>
    <mergeCell ref="BC43:BC46"/>
    <mergeCell ref="BD43:BD45"/>
    <mergeCell ref="BE43:BE46"/>
    <mergeCell ref="BF43:BF45"/>
    <mergeCell ref="BG43:BG46"/>
    <mergeCell ref="BH43:BH45"/>
    <mergeCell ref="AO43:AS43"/>
    <mergeCell ref="AT43:AT45"/>
    <mergeCell ref="AU43:AU46"/>
    <mergeCell ref="AV43:AV45"/>
    <mergeCell ref="AW43:AW46"/>
    <mergeCell ref="AX43:AX45"/>
    <mergeCell ref="AO45:AS45"/>
    <mergeCell ref="AO46:AS46"/>
    <mergeCell ref="AY43:AY46"/>
    <mergeCell ref="Z43:Z45"/>
    <mergeCell ref="AA43:AA46"/>
    <mergeCell ref="AB43:AB45"/>
    <mergeCell ref="AC43:AC46"/>
    <mergeCell ref="AD43:AD45"/>
    <mergeCell ref="AE43:AE46"/>
    <mergeCell ref="AF43:AH46"/>
    <mergeCell ref="AI43:AN43"/>
    <mergeCell ref="AI45:AK45"/>
    <mergeCell ref="AL45:AN45"/>
    <mergeCell ref="Q43:Q46"/>
    <mergeCell ref="R43:R45"/>
    <mergeCell ref="S43:S46"/>
    <mergeCell ref="T43:T45"/>
    <mergeCell ref="U43:U46"/>
    <mergeCell ref="V43:V45"/>
    <mergeCell ref="W43:W46"/>
    <mergeCell ref="X43:X45"/>
    <mergeCell ref="Y43:Y46"/>
    <mergeCell ref="A43:F43"/>
    <mergeCell ref="G43:K43"/>
    <mergeCell ref="L43:L45"/>
    <mergeCell ref="M43:M46"/>
    <mergeCell ref="N43:N45"/>
    <mergeCell ref="O43:O46"/>
    <mergeCell ref="G45:K45"/>
    <mergeCell ref="G46:K46"/>
    <mergeCell ref="P43:P45"/>
    <mergeCell ref="C42:G42"/>
    <mergeCell ref="H42:K42"/>
    <mergeCell ref="AB42:AC42"/>
    <mergeCell ref="AD42:AE42"/>
    <mergeCell ref="AK42:AO42"/>
    <mergeCell ref="AP42:AS42"/>
    <mergeCell ref="V41:W42"/>
    <mergeCell ref="X41:Y42"/>
    <mergeCell ref="Z41:AA42"/>
    <mergeCell ref="AB41:AC41"/>
    <mergeCell ref="N41:O42"/>
    <mergeCell ref="P41:Q42"/>
    <mergeCell ref="AL41:AM41"/>
    <mergeCell ref="AN41:AO41"/>
    <mergeCell ref="AJ41:AK41"/>
    <mergeCell ref="B41:C41"/>
    <mergeCell ref="D41:E41"/>
    <mergeCell ref="F41:G41"/>
    <mergeCell ref="L41:M42"/>
    <mergeCell ref="AT41:AU42"/>
    <mergeCell ref="AV41:AW42"/>
    <mergeCell ref="AX41:AY42"/>
    <mergeCell ref="AZ41:BA42"/>
    <mergeCell ref="BB41:BC42"/>
    <mergeCell ref="AJ40:AK40"/>
    <mergeCell ref="AL40:AM40"/>
    <mergeCell ref="A38:L38"/>
    <mergeCell ref="AI38:AT38"/>
    <mergeCell ref="B39:E39"/>
    <mergeCell ref="L39:AA39"/>
    <mergeCell ref="AB39:AE39"/>
    <mergeCell ref="AF39:AH42"/>
    <mergeCell ref="AJ39:AM39"/>
    <mergeCell ref="AT39:BI39"/>
    <mergeCell ref="R41:S42"/>
    <mergeCell ref="T41:U42"/>
    <mergeCell ref="B40:C40"/>
    <mergeCell ref="D40:E40"/>
    <mergeCell ref="L40:W40"/>
    <mergeCell ref="X40:AA40"/>
    <mergeCell ref="AB40:AC40"/>
    <mergeCell ref="AD40:AE40"/>
    <mergeCell ref="AD41:AE41"/>
    <mergeCell ref="BM34:BM37"/>
    <mergeCell ref="BN34:BP37"/>
    <mergeCell ref="BE34:BE37"/>
    <mergeCell ref="BF34:BF36"/>
    <mergeCell ref="BG34:BG37"/>
    <mergeCell ref="BH34:BH36"/>
    <mergeCell ref="BJ39:BM39"/>
    <mergeCell ref="BN39:BP42"/>
    <mergeCell ref="BJ40:BK40"/>
    <mergeCell ref="BL40:BM40"/>
    <mergeCell ref="BD41:BE42"/>
    <mergeCell ref="BF41:BG42"/>
    <mergeCell ref="BH41:BI42"/>
    <mergeCell ref="BJ41:BK41"/>
    <mergeCell ref="BL41:BM41"/>
    <mergeCell ref="BJ42:BK42"/>
    <mergeCell ref="BL42:BM42"/>
    <mergeCell ref="BJ34:BJ36"/>
    <mergeCell ref="BK34:BK37"/>
    <mergeCell ref="BL34:BL36"/>
    <mergeCell ref="BI34:BI37"/>
    <mergeCell ref="AT40:BE40"/>
    <mergeCell ref="BF40:BI40"/>
    <mergeCell ref="BA34:BA37"/>
    <mergeCell ref="A35:F35"/>
    <mergeCell ref="G35:K35"/>
    <mergeCell ref="AI35:AN35"/>
    <mergeCell ref="AO35:AS35"/>
    <mergeCell ref="A36:C36"/>
    <mergeCell ref="D36:F36"/>
    <mergeCell ref="AB34:AB36"/>
    <mergeCell ref="AC34:AC37"/>
    <mergeCell ref="AD34:AD36"/>
    <mergeCell ref="AE34:AE37"/>
    <mergeCell ref="AO34:AS34"/>
    <mergeCell ref="Q34:Q37"/>
    <mergeCell ref="Z34:Z36"/>
    <mergeCell ref="AA34:AA37"/>
    <mergeCell ref="AO36:AS36"/>
    <mergeCell ref="AO37:AS37"/>
    <mergeCell ref="A34:F34"/>
    <mergeCell ref="G34:K34"/>
    <mergeCell ref="G36:K36"/>
    <mergeCell ref="G37:K37"/>
    <mergeCell ref="BD34:BD36"/>
    <mergeCell ref="AT34:AT36"/>
    <mergeCell ref="AU34:AU37"/>
    <mergeCell ref="AV34:AV36"/>
    <mergeCell ref="AW34:AW37"/>
    <mergeCell ref="L34:L36"/>
    <mergeCell ref="M34:M37"/>
    <mergeCell ref="N34:N36"/>
    <mergeCell ref="O34:O37"/>
    <mergeCell ref="R34:R36"/>
    <mergeCell ref="S34:S37"/>
    <mergeCell ref="T34:T36"/>
    <mergeCell ref="U34:U37"/>
    <mergeCell ref="AF34:AH37"/>
    <mergeCell ref="AI34:AN34"/>
    <mergeCell ref="AI36:AK36"/>
    <mergeCell ref="AL36:AN36"/>
    <mergeCell ref="V34:V36"/>
    <mergeCell ref="W34:W37"/>
    <mergeCell ref="X34:X36"/>
    <mergeCell ref="Y34:Y37"/>
    <mergeCell ref="P34:P36"/>
    <mergeCell ref="AY34:AY37"/>
    <mergeCell ref="AZ34:AZ36"/>
    <mergeCell ref="AC30:AC33"/>
    <mergeCell ref="AD30:AD32"/>
    <mergeCell ref="AE30:AE33"/>
    <mergeCell ref="AF30:AH33"/>
    <mergeCell ref="AI30:AN30"/>
    <mergeCell ref="AI32:AK32"/>
    <mergeCell ref="AL32:AN32"/>
    <mergeCell ref="BB34:BB36"/>
    <mergeCell ref="BC34:BC37"/>
    <mergeCell ref="AX34:AX36"/>
    <mergeCell ref="Q30:Q33"/>
    <mergeCell ref="R30:R32"/>
    <mergeCell ref="S30:S33"/>
    <mergeCell ref="T30:T32"/>
    <mergeCell ref="U30:U33"/>
    <mergeCell ref="BK30:BK33"/>
    <mergeCell ref="BL30:BL32"/>
    <mergeCell ref="BM30:BM33"/>
    <mergeCell ref="BN30:BP33"/>
    <mergeCell ref="BC30:BC33"/>
    <mergeCell ref="BD30:BD32"/>
    <mergeCell ref="BE30:BE33"/>
    <mergeCell ref="BF30:BF32"/>
    <mergeCell ref="BG30:BG33"/>
    <mergeCell ref="BH30:BH32"/>
    <mergeCell ref="BI30:BI33"/>
    <mergeCell ref="BJ30:BJ32"/>
    <mergeCell ref="AX30:AX32"/>
    <mergeCell ref="AO32:AS32"/>
    <mergeCell ref="AO33:AS33"/>
    <mergeCell ref="AY30:AY33"/>
    <mergeCell ref="Z30:Z32"/>
    <mergeCell ref="AA30:AA33"/>
    <mergeCell ref="AB30:AB32"/>
    <mergeCell ref="A31:F31"/>
    <mergeCell ref="G31:K31"/>
    <mergeCell ref="AI31:AN31"/>
    <mergeCell ref="AO31:AS31"/>
    <mergeCell ref="A32:C32"/>
    <mergeCell ref="D32:F32"/>
    <mergeCell ref="AZ30:AZ32"/>
    <mergeCell ref="BA30:BA33"/>
    <mergeCell ref="BB30:BB32"/>
    <mergeCell ref="AO30:AS30"/>
    <mergeCell ref="AT30:AT32"/>
    <mergeCell ref="AU30:AU33"/>
    <mergeCell ref="AV30:AV32"/>
    <mergeCell ref="AW30:AW33"/>
    <mergeCell ref="V30:V32"/>
    <mergeCell ref="W30:W33"/>
    <mergeCell ref="X30:X32"/>
    <mergeCell ref="Y30:Y33"/>
    <mergeCell ref="A30:F30"/>
    <mergeCell ref="G30:K30"/>
    <mergeCell ref="L30:L32"/>
    <mergeCell ref="M30:M33"/>
    <mergeCell ref="N30:N32"/>
    <mergeCell ref="O30:O33"/>
    <mergeCell ref="G32:K32"/>
    <mergeCell ref="G33:K33"/>
    <mergeCell ref="P30:P32"/>
    <mergeCell ref="BI26:BI29"/>
    <mergeCell ref="BJ26:BJ28"/>
    <mergeCell ref="BK26:BK29"/>
    <mergeCell ref="BL26:BL28"/>
    <mergeCell ref="BM26:BM29"/>
    <mergeCell ref="BN26:BP29"/>
    <mergeCell ref="BC26:BC29"/>
    <mergeCell ref="BD26:BD28"/>
    <mergeCell ref="BE26:BE29"/>
    <mergeCell ref="BF26:BF28"/>
    <mergeCell ref="BG26:BG29"/>
    <mergeCell ref="BH26:BH28"/>
    <mergeCell ref="AF26:AH29"/>
    <mergeCell ref="AI26:AN26"/>
    <mergeCell ref="AI28:AK28"/>
    <mergeCell ref="AL28:AN28"/>
    <mergeCell ref="Q26:Q29"/>
    <mergeCell ref="R26:R28"/>
    <mergeCell ref="S26:S29"/>
    <mergeCell ref="T26:T28"/>
    <mergeCell ref="U26:U29"/>
    <mergeCell ref="AI27:AN27"/>
    <mergeCell ref="AO27:AS27"/>
    <mergeCell ref="A28:C28"/>
    <mergeCell ref="D28:F28"/>
    <mergeCell ref="AZ26:AZ28"/>
    <mergeCell ref="BA26:BA29"/>
    <mergeCell ref="BB26:BB28"/>
    <mergeCell ref="AO26:AS26"/>
    <mergeCell ref="AT26:AT28"/>
    <mergeCell ref="AU26:AU29"/>
    <mergeCell ref="AV26:AV28"/>
    <mergeCell ref="AW26:AW29"/>
    <mergeCell ref="AX26:AX28"/>
    <mergeCell ref="AO28:AS28"/>
    <mergeCell ref="AO29:AS29"/>
    <mergeCell ref="AY26:AY29"/>
    <mergeCell ref="Z26:Z28"/>
    <mergeCell ref="AA26:AA29"/>
    <mergeCell ref="AB26:AB28"/>
    <mergeCell ref="AC26:AC29"/>
    <mergeCell ref="AD26:AD28"/>
    <mergeCell ref="AE26:AE29"/>
    <mergeCell ref="V26:V28"/>
    <mergeCell ref="W26:W29"/>
    <mergeCell ref="X26:X28"/>
    <mergeCell ref="Y26:Y29"/>
    <mergeCell ref="A26:F26"/>
    <mergeCell ref="G26:K26"/>
    <mergeCell ref="L26:L28"/>
    <mergeCell ref="M26:M29"/>
    <mergeCell ref="N26:N28"/>
    <mergeCell ref="O26:O29"/>
    <mergeCell ref="G28:K28"/>
    <mergeCell ref="G29:K29"/>
    <mergeCell ref="P26:P28"/>
    <mergeCell ref="A27:F27"/>
    <mergeCell ref="G27:K27"/>
    <mergeCell ref="BI22:BI25"/>
    <mergeCell ref="BJ22:BJ24"/>
    <mergeCell ref="BK22:BK25"/>
    <mergeCell ref="BL22:BL24"/>
    <mergeCell ref="BM22:BM25"/>
    <mergeCell ref="BN22:BP25"/>
    <mergeCell ref="A23:F23"/>
    <mergeCell ref="G23:K23"/>
    <mergeCell ref="AI23:AN23"/>
    <mergeCell ref="AO23:AS23"/>
    <mergeCell ref="A24:C24"/>
    <mergeCell ref="D24:F24"/>
    <mergeCell ref="AZ22:AZ24"/>
    <mergeCell ref="BA22:BA25"/>
    <mergeCell ref="BB22:BB24"/>
    <mergeCell ref="BC22:BC25"/>
    <mergeCell ref="BD22:BD24"/>
    <mergeCell ref="BE22:BE25"/>
    <mergeCell ref="BF22:BF24"/>
    <mergeCell ref="BG22:BG25"/>
    <mergeCell ref="BH22:BH24"/>
    <mergeCell ref="AO22:AS22"/>
    <mergeCell ref="AT22:AT24"/>
    <mergeCell ref="AU22:AU25"/>
    <mergeCell ref="AV22:AV24"/>
    <mergeCell ref="AW22:AW25"/>
    <mergeCell ref="AX22:AX24"/>
    <mergeCell ref="AO24:AS24"/>
    <mergeCell ref="AO25:AS25"/>
    <mergeCell ref="AY22:AY25"/>
    <mergeCell ref="Z22:Z24"/>
    <mergeCell ref="AA22:AA25"/>
    <mergeCell ref="AB22:AB24"/>
    <mergeCell ref="AC22:AC25"/>
    <mergeCell ref="AD22:AD24"/>
    <mergeCell ref="AE22:AE25"/>
    <mergeCell ref="AF22:AH25"/>
    <mergeCell ref="AI22:AN22"/>
    <mergeCell ref="AI24:AK24"/>
    <mergeCell ref="AL24:AN24"/>
    <mergeCell ref="Q22:Q25"/>
    <mergeCell ref="R22:R24"/>
    <mergeCell ref="S22:S25"/>
    <mergeCell ref="T22:T24"/>
    <mergeCell ref="U22:U25"/>
    <mergeCell ref="V22:V24"/>
    <mergeCell ref="W22:W25"/>
    <mergeCell ref="X22:X24"/>
    <mergeCell ref="Y22:Y25"/>
    <mergeCell ref="A22:F22"/>
    <mergeCell ref="G22:K22"/>
    <mergeCell ref="L22:L24"/>
    <mergeCell ref="M22:M25"/>
    <mergeCell ref="N22:N24"/>
    <mergeCell ref="O22:O25"/>
    <mergeCell ref="G24:K24"/>
    <mergeCell ref="G25:K25"/>
    <mergeCell ref="P22:P24"/>
    <mergeCell ref="BI18:BI21"/>
    <mergeCell ref="BJ18:BJ20"/>
    <mergeCell ref="BK18:BK21"/>
    <mergeCell ref="BL18:BL20"/>
    <mergeCell ref="BM18:BM21"/>
    <mergeCell ref="BN18:BP21"/>
    <mergeCell ref="A19:F19"/>
    <mergeCell ref="G19:K19"/>
    <mergeCell ref="AI19:AN19"/>
    <mergeCell ref="AO19:AS19"/>
    <mergeCell ref="A20:C20"/>
    <mergeCell ref="D20:F20"/>
    <mergeCell ref="AZ18:AZ20"/>
    <mergeCell ref="BA18:BA21"/>
    <mergeCell ref="BB18:BB20"/>
    <mergeCell ref="BC18:BC21"/>
    <mergeCell ref="BD18:BD20"/>
    <mergeCell ref="BE18:BE21"/>
    <mergeCell ref="BF18:BF20"/>
    <mergeCell ref="BG18:BG21"/>
    <mergeCell ref="BH18:BH20"/>
    <mergeCell ref="AO18:AS18"/>
    <mergeCell ref="AT18:AT20"/>
    <mergeCell ref="AU18:AU21"/>
    <mergeCell ref="AV18:AV20"/>
    <mergeCell ref="AW18:AW21"/>
    <mergeCell ref="AX18:AX20"/>
    <mergeCell ref="AO20:AS20"/>
    <mergeCell ref="AO21:AS21"/>
    <mergeCell ref="AY18:AY21"/>
    <mergeCell ref="Z18:Z20"/>
    <mergeCell ref="AA18:AA21"/>
    <mergeCell ref="AB18:AB20"/>
    <mergeCell ref="AC18:AC21"/>
    <mergeCell ref="AD18:AD20"/>
    <mergeCell ref="AE18:AE21"/>
    <mergeCell ref="AF18:AH21"/>
    <mergeCell ref="AI18:AN18"/>
    <mergeCell ref="AI20:AK20"/>
    <mergeCell ref="AL20:AN20"/>
    <mergeCell ref="Q18:Q21"/>
    <mergeCell ref="R18:R20"/>
    <mergeCell ref="S18:S21"/>
    <mergeCell ref="T18:T20"/>
    <mergeCell ref="U18:U21"/>
    <mergeCell ref="V18:V20"/>
    <mergeCell ref="W18:W21"/>
    <mergeCell ref="X18:X20"/>
    <mergeCell ref="Y18:Y21"/>
    <mergeCell ref="A18:F18"/>
    <mergeCell ref="G18:K18"/>
    <mergeCell ref="L18:L20"/>
    <mergeCell ref="M18:M21"/>
    <mergeCell ref="N18:N20"/>
    <mergeCell ref="O18:O21"/>
    <mergeCell ref="G20:K20"/>
    <mergeCell ref="G21:K21"/>
    <mergeCell ref="P18:P20"/>
    <mergeCell ref="BI14:BI17"/>
    <mergeCell ref="BJ14:BJ16"/>
    <mergeCell ref="BK14:BK17"/>
    <mergeCell ref="BL14:BL16"/>
    <mergeCell ref="BM14:BM17"/>
    <mergeCell ref="BN14:BP17"/>
    <mergeCell ref="A15:F15"/>
    <mergeCell ref="G15:K15"/>
    <mergeCell ref="AI15:AN15"/>
    <mergeCell ref="AO15:AS15"/>
    <mergeCell ref="A16:C16"/>
    <mergeCell ref="D16:F16"/>
    <mergeCell ref="AZ14:AZ16"/>
    <mergeCell ref="BA14:BA17"/>
    <mergeCell ref="BB14:BB16"/>
    <mergeCell ref="BC14:BC17"/>
    <mergeCell ref="BD14:BD16"/>
    <mergeCell ref="BE14:BE17"/>
    <mergeCell ref="BF14:BF16"/>
    <mergeCell ref="BG14:BG17"/>
    <mergeCell ref="BH14:BH16"/>
    <mergeCell ref="AO14:AS14"/>
    <mergeCell ref="AT14:AT16"/>
    <mergeCell ref="AU14:AU17"/>
    <mergeCell ref="AV14:AV16"/>
    <mergeCell ref="AW14:AW17"/>
    <mergeCell ref="AX14:AX16"/>
    <mergeCell ref="AO16:AS16"/>
    <mergeCell ref="AO17:AS17"/>
    <mergeCell ref="AY14:AY17"/>
    <mergeCell ref="Z14:Z16"/>
    <mergeCell ref="AA14:AA17"/>
    <mergeCell ref="AB14:AB16"/>
    <mergeCell ref="AC14:AC17"/>
    <mergeCell ref="AD14:AD16"/>
    <mergeCell ref="AE14:AE17"/>
    <mergeCell ref="AF14:AH17"/>
    <mergeCell ref="AI14:AN14"/>
    <mergeCell ref="AI16:AK16"/>
    <mergeCell ref="AL16:AN16"/>
    <mergeCell ref="Q14:Q17"/>
    <mergeCell ref="R14:R16"/>
    <mergeCell ref="S14:S17"/>
    <mergeCell ref="T14:T16"/>
    <mergeCell ref="U14:U17"/>
    <mergeCell ref="V14:V16"/>
    <mergeCell ref="W14:W17"/>
    <mergeCell ref="X14:X16"/>
    <mergeCell ref="Y14:Y17"/>
    <mergeCell ref="A14:F14"/>
    <mergeCell ref="G14:K14"/>
    <mergeCell ref="L14:L16"/>
    <mergeCell ref="M14:M17"/>
    <mergeCell ref="N14:N16"/>
    <mergeCell ref="O14:O17"/>
    <mergeCell ref="G16:K16"/>
    <mergeCell ref="G17:K17"/>
    <mergeCell ref="P14:P16"/>
    <mergeCell ref="BI10:BI13"/>
    <mergeCell ref="BJ10:BJ12"/>
    <mergeCell ref="BK10:BK13"/>
    <mergeCell ref="BL10:BL12"/>
    <mergeCell ref="BM10:BM13"/>
    <mergeCell ref="BN10:BP13"/>
    <mergeCell ref="A11:F11"/>
    <mergeCell ref="G11:K11"/>
    <mergeCell ref="AI11:AN11"/>
    <mergeCell ref="AO11:AS11"/>
    <mergeCell ref="A12:C12"/>
    <mergeCell ref="D12:F12"/>
    <mergeCell ref="AZ10:AZ12"/>
    <mergeCell ref="BA10:BA13"/>
    <mergeCell ref="BB10:BB12"/>
    <mergeCell ref="BC10:BC13"/>
    <mergeCell ref="BD10:BD12"/>
    <mergeCell ref="BE10:BE13"/>
    <mergeCell ref="BF10:BF12"/>
    <mergeCell ref="BG10:BG13"/>
    <mergeCell ref="BH10:BH12"/>
    <mergeCell ref="AO10:AS10"/>
    <mergeCell ref="AT10:AT12"/>
    <mergeCell ref="AU10:AU13"/>
    <mergeCell ref="AV10:AV12"/>
    <mergeCell ref="AW10:AW13"/>
    <mergeCell ref="AX10:AX12"/>
    <mergeCell ref="AO12:AS12"/>
    <mergeCell ref="AO13:AS13"/>
    <mergeCell ref="AY10:AY13"/>
    <mergeCell ref="Z10:Z12"/>
    <mergeCell ref="AA10:AA13"/>
    <mergeCell ref="AB10:AB12"/>
    <mergeCell ref="AC10:AC13"/>
    <mergeCell ref="AD10:AD12"/>
    <mergeCell ref="AE10:AE13"/>
    <mergeCell ref="AF10:AH13"/>
    <mergeCell ref="AI10:AN10"/>
    <mergeCell ref="AI12:AK12"/>
    <mergeCell ref="AL12:AN12"/>
    <mergeCell ref="Q10:Q13"/>
    <mergeCell ref="R10:R12"/>
    <mergeCell ref="S10:S13"/>
    <mergeCell ref="T10:T12"/>
    <mergeCell ref="U10:U13"/>
    <mergeCell ref="V10:V12"/>
    <mergeCell ref="W10:W13"/>
    <mergeCell ref="X10:X12"/>
    <mergeCell ref="Y10:Y13"/>
    <mergeCell ref="A10:F10"/>
    <mergeCell ref="G10:K10"/>
    <mergeCell ref="L10:L12"/>
    <mergeCell ref="M10:M13"/>
    <mergeCell ref="N10:N12"/>
    <mergeCell ref="O10:O13"/>
    <mergeCell ref="G12:K12"/>
    <mergeCell ref="G13:K13"/>
    <mergeCell ref="P10:P12"/>
    <mergeCell ref="BI6:BI9"/>
    <mergeCell ref="BJ6:BJ8"/>
    <mergeCell ref="BK6:BK9"/>
    <mergeCell ref="BL6:BL8"/>
    <mergeCell ref="BM6:BM9"/>
    <mergeCell ref="BN6:BP9"/>
    <mergeCell ref="A7:F7"/>
    <mergeCell ref="G7:K7"/>
    <mergeCell ref="AI7:AN7"/>
    <mergeCell ref="AO7:AS7"/>
    <mergeCell ref="A8:C8"/>
    <mergeCell ref="D8:F8"/>
    <mergeCell ref="AZ6:AZ8"/>
    <mergeCell ref="BA6:BA9"/>
    <mergeCell ref="BB6:BB8"/>
    <mergeCell ref="BC6:BC9"/>
    <mergeCell ref="BD6:BD8"/>
    <mergeCell ref="BE6:BE9"/>
    <mergeCell ref="BF6:BF8"/>
    <mergeCell ref="BG6:BG9"/>
    <mergeCell ref="BH6:BH8"/>
    <mergeCell ref="AO6:AS6"/>
    <mergeCell ref="AT6:AT8"/>
    <mergeCell ref="AU6:AU9"/>
    <mergeCell ref="AV6:AV8"/>
    <mergeCell ref="AW6:AW9"/>
    <mergeCell ref="AX6:AX8"/>
    <mergeCell ref="AO8:AS8"/>
    <mergeCell ref="AO9:AS9"/>
    <mergeCell ref="AY6:AY9"/>
    <mergeCell ref="Z6:Z8"/>
    <mergeCell ref="AA6:AA9"/>
    <mergeCell ref="AB6:AB8"/>
    <mergeCell ref="AC6:AC9"/>
    <mergeCell ref="AD6:AD8"/>
    <mergeCell ref="AE6:AE9"/>
    <mergeCell ref="AF6:AH9"/>
    <mergeCell ref="AI6:AN6"/>
    <mergeCell ref="AI8:AK8"/>
    <mergeCell ref="AL8:AN8"/>
    <mergeCell ref="Q6:Q9"/>
    <mergeCell ref="R6:R8"/>
    <mergeCell ref="S6:S9"/>
    <mergeCell ref="T6:T8"/>
    <mergeCell ref="U6:U9"/>
    <mergeCell ref="V6:V8"/>
    <mergeCell ref="W6:W9"/>
    <mergeCell ref="X6:X8"/>
    <mergeCell ref="Y6:Y9"/>
    <mergeCell ref="A6:F6"/>
    <mergeCell ref="G6:K6"/>
    <mergeCell ref="L6:L8"/>
    <mergeCell ref="M6:M9"/>
    <mergeCell ref="N6:N8"/>
    <mergeCell ref="O6:O9"/>
    <mergeCell ref="G8:K8"/>
    <mergeCell ref="G9:K9"/>
    <mergeCell ref="P6:P8"/>
    <mergeCell ref="BJ4:BK4"/>
    <mergeCell ref="BL4:BM4"/>
    <mergeCell ref="BJ5:BK5"/>
    <mergeCell ref="BL5:BM5"/>
    <mergeCell ref="C5:G5"/>
    <mergeCell ref="H5:K5"/>
    <mergeCell ref="AB5:AC5"/>
    <mergeCell ref="AD5:AE5"/>
    <mergeCell ref="AK5:AO5"/>
    <mergeCell ref="AP5:AS5"/>
    <mergeCell ref="V4:W5"/>
    <mergeCell ref="X4:Y5"/>
    <mergeCell ref="Z4:AA5"/>
    <mergeCell ref="AB4:AC4"/>
    <mergeCell ref="BJ2:BM2"/>
    <mergeCell ref="BN2:BP5"/>
    <mergeCell ref="B3:C3"/>
    <mergeCell ref="D3:E3"/>
    <mergeCell ref="L3:W3"/>
    <mergeCell ref="X3:AA3"/>
    <mergeCell ref="AB3:AC3"/>
    <mergeCell ref="AD3:AE3"/>
    <mergeCell ref="AD4:AE4"/>
    <mergeCell ref="AJ4:AK4"/>
    <mergeCell ref="BJ3:BK3"/>
    <mergeCell ref="BL3:BM3"/>
    <mergeCell ref="B4:C4"/>
    <mergeCell ref="D4:E4"/>
    <mergeCell ref="F4:G4"/>
    <mergeCell ref="L4:M5"/>
    <mergeCell ref="N4:O5"/>
    <mergeCell ref="P4:Q5"/>
    <mergeCell ref="AL4:AM4"/>
    <mergeCell ref="AN4:AO4"/>
    <mergeCell ref="AT4:AU5"/>
    <mergeCell ref="AV4:AW5"/>
    <mergeCell ref="AX4:AY5"/>
    <mergeCell ref="AZ4:BA5"/>
    <mergeCell ref="AT3:BE3"/>
    <mergeCell ref="BF3:BI3"/>
    <mergeCell ref="AJ3:AK3"/>
    <mergeCell ref="AL3:AM3"/>
    <mergeCell ref="A1:L1"/>
    <mergeCell ref="AI1:AT1"/>
    <mergeCell ref="B2:E2"/>
    <mergeCell ref="L2:AA2"/>
    <mergeCell ref="AB2:AE2"/>
    <mergeCell ref="AF2:AH5"/>
    <mergeCell ref="AJ2:AM2"/>
    <mergeCell ref="AT2:BI2"/>
    <mergeCell ref="R4:S5"/>
    <mergeCell ref="T4:U5"/>
    <mergeCell ref="BB4:BC5"/>
    <mergeCell ref="BD4:BE5"/>
    <mergeCell ref="BF4:BG5"/>
    <mergeCell ref="BH4:BI5"/>
  </mergeCells>
  <phoneticPr fontId="171"/>
  <conditionalFormatting sqref="L6">
    <cfRule type="cellIs" dxfId="279" priority="279" operator="equal">
      <formula>""</formula>
    </cfRule>
  </conditionalFormatting>
  <conditionalFormatting sqref="L18 L14 L10">
    <cfRule type="cellIs" dxfId="278" priority="278" operator="equal">
      <formula>""</formula>
    </cfRule>
  </conditionalFormatting>
  <conditionalFormatting sqref="L34 L30 L26 L22">
    <cfRule type="cellIs" dxfId="277" priority="277" operator="equal">
      <formula>""</formula>
    </cfRule>
  </conditionalFormatting>
  <conditionalFormatting sqref="N6">
    <cfRule type="cellIs" dxfId="276" priority="276" operator="equal">
      <formula>""</formula>
    </cfRule>
  </conditionalFormatting>
  <conditionalFormatting sqref="N18 N14 N10">
    <cfRule type="cellIs" dxfId="275" priority="275" operator="equal">
      <formula>""</formula>
    </cfRule>
  </conditionalFormatting>
  <conditionalFormatting sqref="N34 N30 N26 N22">
    <cfRule type="cellIs" dxfId="274" priority="274" operator="equal">
      <formula>""</formula>
    </cfRule>
  </conditionalFormatting>
  <conditionalFormatting sqref="P6">
    <cfRule type="cellIs" dxfId="273" priority="273" operator="equal">
      <formula>""</formula>
    </cfRule>
  </conditionalFormatting>
  <conditionalFormatting sqref="P18 P14 P10">
    <cfRule type="cellIs" dxfId="272" priority="272" operator="equal">
      <formula>""</formula>
    </cfRule>
  </conditionalFormatting>
  <conditionalFormatting sqref="P34 P30 P26 P22">
    <cfRule type="cellIs" dxfId="271" priority="271" operator="equal">
      <formula>""</formula>
    </cfRule>
  </conditionalFormatting>
  <conditionalFormatting sqref="R6">
    <cfRule type="cellIs" dxfId="270" priority="270" operator="equal">
      <formula>""</formula>
    </cfRule>
  </conditionalFormatting>
  <conditionalFormatting sqref="R18 R14 R10">
    <cfRule type="cellIs" dxfId="269" priority="269" operator="equal">
      <formula>""</formula>
    </cfRule>
  </conditionalFormatting>
  <conditionalFormatting sqref="R34 R30 R26 R22">
    <cfRule type="cellIs" dxfId="268" priority="268" operator="equal">
      <formula>""</formula>
    </cfRule>
  </conditionalFormatting>
  <conditionalFormatting sqref="T6">
    <cfRule type="cellIs" dxfId="267" priority="267" operator="equal">
      <formula>""</formula>
    </cfRule>
  </conditionalFormatting>
  <conditionalFormatting sqref="T18 T14 T10">
    <cfRule type="cellIs" dxfId="266" priority="266" operator="equal">
      <formula>""</formula>
    </cfRule>
  </conditionalFormatting>
  <conditionalFormatting sqref="T34 T30 T26 T22">
    <cfRule type="cellIs" dxfId="265" priority="265" operator="equal">
      <formula>""</formula>
    </cfRule>
  </conditionalFormatting>
  <conditionalFormatting sqref="V6">
    <cfRule type="cellIs" dxfId="264" priority="264" operator="equal">
      <formula>""</formula>
    </cfRule>
  </conditionalFormatting>
  <conditionalFormatting sqref="V18 V14 V10">
    <cfRule type="cellIs" dxfId="263" priority="263" operator="equal">
      <formula>""</formula>
    </cfRule>
  </conditionalFormatting>
  <conditionalFormatting sqref="V34 V30 V26 V22">
    <cfRule type="cellIs" dxfId="262" priority="262" operator="equal">
      <formula>""</formula>
    </cfRule>
  </conditionalFormatting>
  <conditionalFormatting sqref="X6">
    <cfRule type="cellIs" dxfId="261" priority="261" operator="equal">
      <formula>""</formula>
    </cfRule>
  </conditionalFormatting>
  <conditionalFormatting sqref="X18 X14 X10">
    <cfRule type="cellIs" dxfId="260" priority="260" operator="equal">
      <formula>""</formula>
    </cfRule>
  </conditionalFormatting>
  <conditionalFormatting sqref="X34 X30 X26 X22">
    <cfRule type="cellIs" dxfId="259" priority="259" operator="equal">
      <formula>""</formula>
    </cfRule>
  </conditionalFormatting>
  <conditionalFormatting sqref="Z6">
    <cfRule type="cellIs" dxfId="258" priority="258" operator="equal">
      <formula>""</formula>
    </cfRule>
  </conditionalFormatting>
  <conditionalFormatting sqref="Z18 Z14 Z10">
    <cfRule type="cellIs" dxfId="257" priority="257" operator="equal">
      <formula>""</formula>
    </cfRule>
  </conditionalFormatting>
  <conditionalFormatting sqref="Z34 Z30 Z26 Z22">
    <cfRule type="cellIs" dxfId="256" priority="256" operator="equal">
      <formula>""</formula>
    </cfRule>
  </conditionalFormatting>
  <conditionalFormatting sqref="AB6">
    <cfRule type="cellIs" dxfId="255" priority="255" operator="equal">
      <formula>""</formula>
    </cfRule>
  </conditionalFormatting>
  <conditionalFormatting sqref="AB18 AB14 AB10">
    <cfRule type="cellIs" dxfId="254" priority="254" operator="equal">
      <formula>""</formula>
    </cfRule>
  </conditionalFormatting>
  <conditionalFormatting sqref="AB34 AB30 AB26 AB22">
    <cfRule type="cellIs" dxfId="253" priority="253" operator="equal">
      <formula>""</formula>
    </cfRule>
  </conditionalFormatting>
  <conditionalFormatting sqref="AD6">
    <cfRule type="cellIs" dxfId="252" priority="252" operator="equal">
      <formula>""</formula>
    </cfRule>
  </conditionalFormatting>
  <conditionalFormatting sqref="AD18 AD14 AD10">
    <cfRule type="cellIs" dxfId="251" priority="251" operator="equal">
      <formula>""</formula>
    </cfRule>
  </conditionalFormatting>
  <conditionalFormatting sqref="AD34 AD30 AD26 AD22">
    <cfRule type="cellIs" dxfId="250" priority="250" operator="equal">
      <formula>""</formula>
    </cfRule>
  </conditionalFormatting>
  <conditionalFormatting sqref="G9:K9">
    <cfRule type="cellIs" dxfId="249" priority="249" operator="equal">
      <formula>""</formula>
    </cfRule>
  </conditionalFormatting>
  <conditionalFormatting sqref="G37:K37 G33:K33 G29:K29 G25:K25 G21:K21 G17:K17 G13:K13">
    <cfRule type="cellIs" dxfId="248" priority="248" operator="equal">
      <formula>""</formula>
    </cfRule>
  </conditionalFormatting>
  <conditionalFormatting sqref="A7">
    <cfRule type="containsBlanks" dxfId="247" priority="245">
      <formula>LEN(TRIM(A7))=0</formula>
    </cfRule>
    <cfRule type="cellIs" dxfId="246" priority="247" operator="equal">
      <formula>""</formula>
    </cfRule>
  </conditionalFormatting>
  <conditionalFormatting sqref="A9">
    <cfRule type="containsBlanks" dxfId="245" priority="246">
      <formula>LEN(TRIM(A9))=0</formula>
    </cfRule>
  </conditionalFormatting>
  <conditionalFormatting sqref="D9">
    <cfRule type="containsBlanks" dxfId="244" priority="244">
      <formula>LEN(TRIM(D9))=0</formula>
    </cfRule>
  </conditionalFormatting>
  <conditionalFormatting sqref="F9">
    <cfRule type="cellIs" dxfId="243" priority="242" operator="equal">
      <formula>""</formula>
    </cfRule>
  </conditionalFormatting>
  <conditionalFormatting sqref="L43">
    <cfRule type="cellIs" dxfId="242" priority="241" operator="equal">
      <formula>""</formula>
    </cfRule>
  </conditionalFormatting>
  <conditionalFormatting sqref="L55 L51 L47">
    <cfRule type="cellIs" dxfId="241" priority="240" operator="equal">
      <formula>""</formula>
    </cfRule>
  </conditionalFormatting>
  <conditionalFormatting sqref="L71 L67 L63 L59">
    <cfRule type="cellIs" dxfId="240" priority="239" operator="equal">
      <formula>""</formula>
    </cfRule>
  </conditionalFormatting>
  <conditionalFormatting sqref="N43">
    <cfRule type="cellIs" dxfId="239" priority="238" operator="equal">
      <formula>""</formula>
    </cfRule>
  </conditionalFormatting>
  <conditionalFormatting sqref="N55 N51 N47">
    <cfRule type="cellIs" dxfId="238" priority="237" operator="equal">
      <formula>""</formula>
    </cfRule>
  </conditionalFormatting>
  <conditionalFormatting sqref="N71 N67 N63 N59">
    <cfRule type="cellIs" dxfId="237" priority="236" operator="equal">
      <formula>""</formula>
    </cfRule>
  </conditionalFormatting>
  <conditionalFormatting sqref="P43">
    <cfRule type="cellIs" dxfId="236" priority="235" operator="equal">
      <formula>""</formula>
    </cfRule>
  </conditionalFormatting>
  <conditionalFormatting sqref="P55 P51 P47">
    <cfRule type="cellIs" dxfId="235" priority="234" operator="equal">
      <formula>""</formula>
    </cfRule>
  </conditionalFormatting>
  <conditionalFormatting sqref="P71 P67 P63 P59">
    <cfRule type="cellIs" dxfId="234" priority="233" operator="equal">
      <formula>""</formula>
    </cfRule>
  </conditionalFormatting>
  <conditionalFormatting sqref="R43">
    <cfRule type="cellIs" dxfId="233" priority="232" operator="equal">
      <formula>""</formula>
    </cfRule>
  </conditionalFormatting>
  <conditionalFormatting sqref="R55 R51 R47">
    <cfRule type="cellIs" dxfId="232" priority="231" operator="equal">
      <formula>""</formula>
    </cfRule>
  </conditionalFormatting>
  <conditionalFormatting sqref="R71 R67 R63 R59">
    <cfRule type="cellIs" dxfId="231" priority="230" operator="equal">
      <formula>""</formula>
    </cfRule>
  </conditionalFormatting>
  <conditionalFormatting sqref="T43">
    <cfRule type="cellIs" dxfId="230" priority="229" operator="equal">
      <formula>""</formula>
    </cfRule>
  </conditionalFormatting>
  <conditionalFormatting sqref="T55 T51 T47">
    <cfRule type="cellIs" dxfId="229" priority="228" operator="equal">
      <formula>""</formula>
    </cfRule>
  </conditionalFormatting>
  <conditionalFormatting sqref="T71 T67 T63 T59">
    <cfRule type="cellIs" dxfId="228" priority="227" operator="equal">
      <formula>""</formula>
    </cfRule>
  </conditionalFormatting>
  <conditionalFormatting sqref="V43">
    <cfRule type="cellIs" dxfId="227" priority="226" operator="equal">
      <formula>""</formula>
    </cfRule>
  </conditionalFormatting>
  <conditionalFormatting sqref="V55 V51 V47">
    <cfRule type="cellIs" dxfId="226" priority="225" operator="equal">
      <formula>""</formula>
    </cfRule>
  </conditionalFormatting>
  <conditionalFormatting sqref="V71 V67 V63 V59">
    <cfRule type="cellIs" dxfId="225" priority="224" operator="equal">
      <formula>""</formula>
    </cfRule>
  </conditionalFormatting>
  <conditionalFormatting sqref="X43">
    <cfRule type="cellIs" dxfId="224" priority="223" operator="equal">
      <formula>""</formula>
    </cfRule>
  </conditionalFormatting>
  <conditionalFormatting sqref="X55 X51 X47">
    <cfRule type="cellIs" dxfId="223" priority="222" operator="equal">
      <formula>""</formula>
    </cfRule>
  </conditionalFormatting>
  <conditionalFormatting sqref="X71 X67 X63 X59">
    <cfRule type="cellIs" dxfId="222" priority="221" operator="equal">
      <formula>""</formula>
    </cfRule>
  </conditionalFormatting>
  <conditionalFormatting sqref="Z43">
    <cfRule type="cellIs" dxfId="221" priority="220" operator="equal">
      <formula>""</formula>
    </cfRule>
  </conditionalFormatting>
  <conditionalFormatting sqref="Z55 Z51 Z47">
    <cfRule type="cellIs" dxfId="220" priority="219" operator="equal">
      <formula>""</formula>
    </cfRule>
  </conditionalFormatting>
  <conditionalFormatting sqref="Z71 Z67 Z63 Z59">
    <cfRule type="cellIs" dxfId="219" priority="218" operator="equal">
      <formula>""</formula>
    </cfRule>
  </conditionalFormatting>
  <conditionalFormatting sqref="AB43">
    <cfRule type="cellIs" dxfId="218" priority="217" operator="equal">
      <formula>""</formula>
    </cfRule>
  </conditionalFormatting>
  <conditionalFormatting sqref="AB55 AB51 AB47">
    <cfRule type="cellIs" dxfId="217" priority="216" operator="equal">
      <formula>""</formula>
    </cfRule>
  </conditionalFormatting>
  <conditionalFormatting sqref="AB71 AB67 AB63 AB59">
    <cfRule type="cellIs" dxfId="216" priority="215" operator="equal">
      <formula>""</formula>
    </cfRule>
  </conditionalFormatting>
  <conditionalFormatting sqref="AD43">
    <cfRule type="cellIs" dxfId="215" priority="214" operator="equal">
      <formula>""</formula>
    </cfRule>
  </conditionalFormatting>
  <conditionalFormatting sqref="AD55 AD51 AD47">
    <cfRule type="cellIs" dxfId="214" priority="213" operator="equal">
      <formula>""</formula>
    </cfRule>
  </conditionalFormatting>
  <conditionalFormatting sqref="AD71 AD67 AD63 AD59">
    <cfRule type="cellIs" dxfId="213" priority="212" operator="equal">
      <formula>""</formula>
    </cfRule>
  </conditionalFormatting>
  <conditionalFormatting sqref="AT6">
    <cfRule type="cellIs" dxfId="212" priority="211" operator="equal">
      <formula>""</formula>
    </cfRule>
  </conditionalFormatting>
  <conditionalFormatting sqref="AK54">
    <cfRule type="cellIs" dxfId="211" priority="145" operator="equal">
      <formula>""</formula>
    </cfRule>
  </conditionalFormatting>
  <conditionalFormatting sqref="AK50">
    <cfRule type="cellIs" dxfId="210" priority="149" operator="equal">
      <formula>""</formula>
    </cfRule>
  </conditionalFormatting>
  <conditionalFormatting sqref="AN50">
    <cfRule type="cellIs" dxfId="209" priority="148" operator="equal">
      <formula>""</formula>
    </cfRule>
  </conditionalFormatting>
  <conditionalFormatting sqref="AN54">
    <cfRule type="cellIs" dxfId="208" priority="144" operator="equal">
      <formula>""</formula>
    </cfRule>
  </conditionalFormatting>
  <conditionalFormatting sqref="AT18 AT14 AT10">
    <cfRule type="cellIs" dxfId="207" priority="210" operator="equal">
      <formula>""</formula>
    </cfRule>
  </conditionalFormatting>
  <conditionalFormatting sqref="AT34 AT30 AT26 AT22">
    <cfRule type="cellIs" dxfId="206" priority="209" operator="equal">
      <formula>""</formula>
    </cfRule>
  </conditionalFormatting>
  <conditionalFormatting sqref="AV6">
    <cfRule type="cellIs" dxfId="205" priority="208" operator="equal">
      <formula>""</formula>
    </cfRule>
  </conditionalFormatting>
  <conditionalFormatting sqref="AV18 AV14 AV10">
    <cfRule type="cellIs" dxfId="204" priority="207" operator="equal">
      <formula>""</formula>
    </cfRule>
  </conditionalFormatting>
  <conditionalFormatting sqref="AV34 AV30 AV26 AV22">
    <cfRule type="cellIs" dxfId="203" priority="206" operator="equal">
      <formula>""</formula>
    </cfRule>
  </conditionalFormatting>
  <conditionalFormatting sqref="AX6">
    <cfRule type="cellIs" dxfId="202" priority="205" operator="equal">
      <formula>""</formula>
    </cfRule>
  </conditionalFormatting>
  <conditionalFormatting sqref="AX18 AX14 AX10">
    <cfRule type="cellIs" dxfId="201" priority="204" operator="equal">
      <formula>""</formula>
    </cfRule>
  </conditionalFormatting>
  <conditionalFormatting sqref="AX34 AX30 AX26 AX22">
    <cfRule type="cellIs" dxfId="200" priority="203" operator="equal">
      <formula>""</formula>
    </cfRule>
  </conditionalFormatting>
  <conditionalFormatting sqref="AZ6">
    <cfRule type="cellIs" dxfId="199" priority="202" operator="equal">
      <formula>""</formula>
    </cfRule>
  </conditionalFormatting>
  <conditionalFormatting sqref="AZ18 AZ14 AZ10">
    <cfRule type="cellIs" dxfId="198" priority="201" operator="equal">
      <formula>""</formula>
    </cfRule>
  </conditionalFormatting>
  <conditionalFormatting sqref="AZ34 AZ30 AZ26 AZ22">
    <cfRule type="cellIs" dxfId="197" priority="200" operator="equal">
      <formula>""</formula>
    </cfRule>
  </conditionalFormatting>
  <conditionalFormatting sqref="BB6">
    <cfRule type="cellIs" dxfId="196" priority="199" operator="equal">
      <formula>""</formula>
    </cfRule>
  </conditionalFormatting>
  <conditionalFormatting sqref="BB18 BB14 BB10">
    <cfRule type="cellIs" dxfId="195" priority="198" operator="equal">
      <formula>""</formula>
    </cfRule>
  </conditionalFormatting>
  <conditionalFormatting sqref="BB34 BB30 BB26 BB22">
    <cfRule type="cellIs" dxfId="194" priority="197" operator="equal">
      <formula>""</formula>
    </cfRule>
  </conditionalFormatting>
  <conditionalFormatting sqref="BD6">
    <cfRule type="cellIs" dxfId="193" priority="196" operator="equal">
      <formula>""</formula>
    </cfRule>
  </conditionalFormatting>
  <conditionalFormatting sqref="BD18 BD14 BD10">
    <cfRule type="cellIs" dxfId="192" priority="195" operator="equal">
      <formula>""</formula>
    </cfRule>
  </conditionalFormatting>
  <conditionalFormatting sqref="BD34 BD30 BD26 BD22">
    <cfRule type="cellIs" dxfId="191" priority="194" operator="equal">
      <formula>""</formula>
    </cfRule>
  </conditionalFormatting>
  <conditionalFormatting sqref="BF6">
    <cfRule type="cellIs" dxfId="190" priority="193" operator="equal">
      <formula>""</formula>
    </cfRule>
  </conditionalFormatting>
  <conditionalFormatting sqref="BF18 BF14 BF10">
    <cfRule type="cellIs" dxfId="189" priority="192" operator="equal">
      <formula>""</formula>
    </cfRule>
  </conditionalFormatting>
  <conditionalFormatting sqref="BF34 BF30 BF26 BF22">
    <cfRule type="cellIs" dxfId="188" priority="191" operator="equal">
      <formula>""</formula>
    </cfRule>
  </conditionalFormatting>
  <conditionalFormatting sqref="BH6">
    <cfRule type="cellIs" dxfId="187" priority="190" operator="equal">
      <formula>""</formula>
    </cfRule>
  </conditionalFormatting>
  <conditionalFormatting sqref="BH18 BH14 BH10">
    <cfRule type="cellIs" dxfId="186" priority="189" operator="equal">
      <formula>""</formula>
    </cfRule>
  </conditionalFormatting>
  <conditionalFormatting sqref="BH34 BH30 BH26 BH22">
    <cfRule type="cellIs" dxfId="185" priority="188" operator="equal">
      <formula>""</formula>
    </cfRule>
  </conditionalFormatting>
  <conditionalFormatting sqref="BJ6">
    <cfRule type="cellIs" dxfId="184" priority="187" operator="equal">
      <formula>""</formula>
    </cfRule>
  </conditionalFormatting>
  <conditionalFormatting sqref="BJ18 BJ14 BJ10">
    <cfRule type="cellIs" dxfId="183" priority="186" operator="equal">
      <formula>""</formula>
    </cfRule>
  </conditionalFormatting>
  <conditionalFormatting sqref="BJ34 BJ30 BJ26 BJ22">
    <cfRule type="cellIs" dxfId="182" priority="185" operator="equal">
      <formula>""</formula>
    </cfRule>
  </conditionalFormatting>
  <conditionalFormatting sqref="BL6">
    <cfRule type="cellIs" dxfId="181" priority="184" operator="equal">
      <formula>""</formula>
    </cfRule>
  </conditionalFormatting>
  <conditionalFormatting sqref="BL18 BL14 BL10">
    <cfRule type="cellIs" dxfId="180" priority="183" operator="equal">
      <formula>""</formula>
    </cfRule>
  </conditionalFormatting>
  <conditionalFormatting sqref="BL34 BL30 BL26 BL22">
    <cfRule type="cellIs" dxfId="179" priority="182" operator="equal">
      <formula>""</formula>
    </cfRule>
  </conditionalFormatting>
  <conditionalFormatting sqref="AT43">
    <cfRule type="cellIs" dxfId="178" priority="181" operator="equal">
      <formula>""</formula>
    </cfRule>
  </conditionalFormatting>
  <conditionalFormatting sqref="AT51 AT47">
    <cfRule type="cellIs" dxfId="177" priority="180" operator="equal">
      <formula>""</formula>
    </cfRule>
  </conditionalFormatting>
  <conditionalFormatting sqref="AV43">
    <cfRule type="cellIs" dxfId="176" priority="179" operator="equal">
      <formula>""</formula>
    </cfRule>
  </conditionalFormatting>
  <conditionalFormatting sqref="AV51 AV47">
    <cfRule type="cellIs" dxfId="175" priority="178" operator="equal">
      <formula>""</formula>
    </cfRule>
  </conditionalFormatting>
  <conditionalFormatting sqref="AX43">
    <cfRule type="cellIs" dxfId="174" priority="177" operator="equal">
      <formula>""</formula>
    </cfRule>
  </conditionalFormatting>
  <conditionalFormatting sqref="AX51 AX47">
    <cfRule type="cellIs" dxfId="173" priority="176" operator="equal">
      <formula>""</formula>
    </cfRule>
  </conditionalFormatting>
  <conditionalFormatting sqref="AZ43">
    <cfRule type="cellIs" dxfId="172" priority="175" operator="equal">
      <formula>""</formula>
    </cfRule>
  </conditionalFormatting>
  <conditionalFormatting sqref="AZ51 AZ47">
    <cfRule type="cellIs" dxfId="171" priority="174" operator="equal">
      <formula>""</formula>
    </cfRule>
  </conditionalFormatting>
  <conditionalFormatting sqref="BB43">
    <cfRule type="cellIs" dxfId="170" priority="173" operator="equal">
      <formula>""</formula>
    </cfRule>
  </conditionalFormatting>
  <conditionalFormatting sqref="BB51 BB47">
    <cfRule type="cellIs" dxfId="169" priority="172" operator="equal">
      <formula>""</formula>
    </cfRule>
  </conditionalFormatting>
  <conditionalFormatting sqref="BD43">
    <cfRule type="cellIs" dxfId="168" priority="171" operator="equal">
      <formula>""</formula>
    </cfRule>
  </conditionalFormatting>
  <conditionalFormatting sqref="BD51 BD47">
    <cfRule type="cellIs" dxfId="167" priority="170" operator="equal">
      <formula>""</formula>
    </cfRule>
  </conditionalFormatting>
  <conditionalFormatting sqref="BF43">
    <cfRule type="cellIs" dxfId="166" priority="169" operator="equal">
      <formula>""</formula>
    </cfRule>
  </conditionalFormatting>
  <conditionalFormatting sqref="BF51 BF47">
    <cfRule type="cellIs" dxfId="165" priority="168" operator="equal">
      <formula>""</formula>
    </cfRule>
  </conditionalFormatting>
  <conditionalFormatting sqref="BH43">
    <cfRule type="cellIs" dxfId="164" priority="167" operator="equal">
      <formula>""</formula>
    </cfRule>
  </conditionalFormatting>
  <conditionalFormatting sqref="BH51 BH47">
    <cfRule type="cellIs" dxfId="163" priority="166" operator="equal">
      <formula>""</formula>
    </cfRule>
  </conditionalFormatting>
  <conditionalFormatting sqref="BJ43">
    <cfRule type="cellIs" dxfId="162" priority="165" operator="equal">
      <formula>""</formula>
    </cfRule>
  </conditionalFormatting>
  <conditionalFormatting sqref="BJ51 BJ47">
    <cfRule type="cellIs" dxfId="161" priority="164" operator="equal">
      <formula>""</formula>
    </cfRule>
  </conditionalFormatting>
  <conditionalFormatting sqref="BL43">
    <cfRule type="cellIs" dxfId="160" priority="163" operator="equal">
      <formula>""</formula>
    </cfRule>
  </conditionalFormatting>
  <conditionalFormatting sqref="BL51 BL47">
    <cfRule type="cellIs" dxfId="159" priority="162" operator="equal">
      <formula>""</formula>
    </cfRule>
  </conditionalFormatting>
  <conditionalFormatting sqref="AO46:AS46">
    <cfRule type="cellIs" dxfId="158" priority="161" operator="equal">
      <formula>""</formula>
    </cfRule>
  </conditionalFormatting>
  <conditionalFormatting sqref="AO54:AS54 AO50:AS50">
    <cfRule type="cellIs" dxfId="157" priority="160" operator="equal">
      <formula>""</formula>
    </cfRule>
  </conditionalFormatting>
  <conditionalFormatting sqref="AI44">
    <cfRule type="containsBlanks" dxfId="156" priority="157">
      <formula>LEN(TRIM(AI44))=0</formula>
    </cfRule>
    <cfRule type="cellIs" dxfId="155" priority="159" operator="equal">
      <formula>""</formula>
    </cfRule>
  </conditionalFormatting>
  <conditionalFormatting sqref="AI46">
    <cfRule type="containsBlanks" dxfId="154" priority="158">
      <formula>LEN(TRIM(AI46))=0</formula>
    </cfRule>
  </conditionalFormatting>
  <conditionalFormatting sqref="AL46">
    <cfRule type="containsBlanks" dxfId="153" priority="156">
      <formula>LEN(TRIM(AL46))=0</formula>
    </cfRule>
  </conditionalFormatting>
  <conditionalFormatting sqref="AK46">
    <cfRule type="cellIs" dxfId="152" priority="155" operator="equal">
      <formula>""</formula>
    </cfRule>
  </conditionalFormatting>
  <conditionalFormatting sqref="AI52 AI48">
    <cfRule type="containsBlanks" dxfId="151" priority="153">
      <formula>LEN(TRIM(AI48))=0</formula>
    </cfRule>
    <cfRule type="cellIs" dxfId="150" priority="154" operator="equal">
      <formula>""</formula>
    </cfRule>
  </conditionalFormatting>
  <conditionalFormatting sqref="AN46">
    <cfRule type="cellIs" dxfId="149" priority="152" operator="equal">
      <formula>""</formula>
    </cfRule>
  </conditionalFormatting>
  <conditionalFormatting sqref="AI50">
    <cfRule type="containsBlanks" dxfId="148" priority="151">
      <formula>LEN(TRIM(AI50))=0</formula>
    </cfRule>
  </conditionalFormatting>
  <conditionalFormatting sqref="AL50">
    <cfRule type="containsBlanks" dxfId="147" priority="150">
      <formula>LEN(TRIM(AL50))=0</formula>
    </cfRule>
  </conditionalFormatting>
  <conditionalFormatting sqref="AI54">
    <cfRule type="containsBlanks" dxfId="146" priority="147">
      <formula>LEN(TRIM(AI54))=0</formula>
    </cfRule>
  </conditionalFormatting>
  <conditionalFormatting sqref="AL54">
    <cfRule type="containsBlanks" dxfId="145" priority="146">
      <formula>LEN(TRIM(AL54))=0</formula>
    </cfRule>
  </conditionalFormatting>
  <conditionalFormatting sqref="A11">
    <cfRule type="containsBlanks" dxfId="144" priority="141">
      <formula>LEN(TRIM(A11))=0</formula>
    </cfRule>
    <cfRule type="cellIs" dxfId="143" priority="143" operator="equal">
      <formula>""</formula>
    </cfRule>
  </conditionalFormatting>
  <conditionalFormatting sqref="A13">
    <cfRule type="containsBlanks" dxfId="142" priority="142">
      <formula>LEN(TRIM(A13))=0</formula>
    </cfRule>
  </conditionalFormatting>
  <conditionalFormatting sqref="D13">
    <cfRule type="containsBlanks" dxfId="141" priority="140">
      <formula>LEN(TRIM(D13))=0</formula>
    </cfRule>
  </conditionalFormatting>
  <conditionalFormatting sqref="C13">
    <cfRule type="cellIs" dxfId="140" priority="139" operator="equal">
      <formula>""</formula>
    </cfRule>
  </conditionalFormatting>
  <conditionalFormatting sqref="F13">
    <cfRule type="cellIs" dxfId="139" priority="138" operator="equal">
      <formula>""</formula>
    </cfRule>
  </conditionalFormatting>
  <conditionalFormatting sqref="A15">
    <cfRule type="containsBlanks" dxfId="138" priority="135">
      <formula>LEN(TRIM(A15))=0</formula>
    </cfRule>
    <cfRule type="cellIs" dxfId="137" priority="137" operator="equal">
      <formula>""</formula>
    </cfRule>
  </conditionalFormatting>
  <conditionalFormatting sqref="A17">
    <cfRule type="containsBlanks" dxfId="136" priority="136">
      <formula>LEN(TRIM(A17))=0</formula>
    </cfRule>
  </conditionalFormatting>
  <conditionalFormatting sqref="D17">
    <cfRule type="containsBlanks" dxfId="135" priority="134">
      <formula>LEN(TRIM(D17))=0</formula>
    </cfRule>
  </conditionalFormatting>
  <conditionalFormatting sqref="C17">
    <cfRule type="cellIs" dxfId="134" priority="133" operator="equal">
      <formula>""</formula>
    </cfRule>
  </conditionalFormatting>
  <conditionalFormatting sqref="F17">
    <cfRule type="cellIs" dxfId="133" priority="132" operator="equal">
      <formula>""</formula>
    </cfRule>
  </conditionalFormatting>
  <conditionalFormatting sqref="A19">
    <cfRule type="containsBlanks" dxfId="132" priority="129">
      <formula>LEN(TRIM(A19))=0</formula>
    </cfRule>
    <cfRule type="cellIs" dxfId="131" priority="131" operator="equal">
      <formula>""</formula>
    </cfRule>
  </conditionalFormatting>
  <conditionalFormatting sqref="A21">
    <cfRule type="containsBlanks" dxfId="130" priority="130">
      <formula>LEN(TRIM(A21))=0</formula>
    </cfRule>
  </conditionalFormatting>
  <conditionalFormatting sqref="D21">
    <cfRule type="containsBlanks" dxfId="129" priority="128">
      <formula>LEN(TRIM(D21))=0</formula>
    </cfRule>
  </conditionalFormatting>
  <conditionalFormatting sqref="C21">
    <cfRule type="cellIs" dxfId="128" priority="127" operator="equal">
      <formula>""</formula>
    </cfRule>
  </conditionalFormatting>
  <conditionalFormatting sqref="F21">
    <cfRule type="cellIs" dxfId="127" priority="126" operator="equal">
      <formula>""</formula>
    </cfRule>
  </conditionalFormatting>
  <conditionalFormatting sqref="A23">
    <cfRule type="containsBlanks" dxfId="126" priority="123">
      <formula>LEN(TRIM(A23))=0</formula>
    </cfRule>
    <cfRule type="cellIs" dxfId="125" priority="125" operator="equal">
      <formula>""</formula>
    </cfRule>
  </conditionalFormatting>
  <conditionalFormatting sqref="A25">
    <cfRule type="containsBlanks" dxfId="124" priority="124">
      <formula>LEN(TRIM(A25))=0</formula>
    </cfRule>
  </conditionalFormatting>
  <conditionalFormatting sqref="D25">
    <cfRule type="containsBlanks" dxfId="123" priority="122">
      <formula>LEN(TRIM(D25))=0</formula>
    </cfRule>
  </conditionalFormatting>
  <conditionalFormatting sqref="C25">
    <cfRule type="cellIs" dxfId="122" priority="121" operator="equal">
      <formula>""</formula>
    </cfRule>
  </conditionalFormatting>
  <conditionalFormatting sqref="F25">
    <cfRule type="cellIs" dxfId="121" priority="120" operator="equal">
      <formula>""</formula>
    </cfRule>
  </conditionalFormatting>
  <conditionalFormatting sqref="A27">
    <cfRule type="containsBlanks" dxfId="120" priority="117">
      <formula>LEN(TRIM(A27))=0</formula>
    </cfRule>
    <cfRule type="cellIs" dxfId="119" priority="119" operator="equal">
      <formula>""</formula>
    </cfRule>
  </conditionalFormatting>
  <conditionalFormatting sqref="A29">
    <cfRule type="containsBlanks" dxfId="118" priority="118">
      <formula>LEN(TRIM(A29))=0</formula>
    </cfRule>
  </conditionalFormatting>
  <conditionalFormatting sqref="D29">
    <cfRule type="containsBlanks" dxfId="117" priority="116">
      <formula>LEN(TRIM(D29))=0</formula>
    </cfRule>
  </conditionalFormatting>
  <conditionalFormatting sqref="C29">
    <cfRule type="cellIs" dxfId="116" priority="115" operator="equal">
      <formula>""</formula>
    </cfRule>
  </conditionalFormatting>
  <conditionalFormatting sqref="F29">
    <cfRule type="cellIs" dxfId="115" priority="114" operator="equal">
      <formula>""</formula>
    </cfRule>
  </conditionalFormatting>
  <conditionalFormatting sqref="A31">
    <cfRule type="containsBlanks" dxfId="114" priority="111">
      <formula>LEN(TRIM(A31))=0</formula>
    </cfRule>
    <cfRule type="cellIs" dxfId="113" priority="113" operator="equal">
      <formula>""</formula>
    </cfRule>
  </conditionalFormatting>
  <conditionalFormatting sqref="A33">
    <cfRule type="containsBlanks" dxfId="112" priority="112">
      <formula>LEN(TRIM(A33))=0</formula>
    </cfRule>
  </conditionalFormatting>
  <conditionalFormatting sqref="D33">
    <cfRule type="containsBlanks" dxfId="111" priority="110">
      <formula>LEN(TRIM(D33))=0</formula>
    </cfRule>
  </conditionalFormatting>
  <conditionalFormatting sqref="C33">
    <cfRule type="cellIs" dxfId="110" priority="109" operator="equal">
      <formula>""</formula>
    </cfRule>
  </conditionalFormatting>
  <conditionalFormatting sqref="F33">
    <cfRule type="cellIs" dxfId="109" priority="108" operator="equal">
      <formula>""</formula>
    </cfRule>
  </conditionalFormatting>
  <conditionalFormatting sqref="A35">
    <cfRule type="containsBlanks" dxfId="108" priority="105">
      <formula>LEN(TRIM(A35))=0</formula>
    </cfRule>
    <cfRule type="cellIs" dxfId="107" priority="107" operator="equal">
      <formula>""</formula>
    </cfRule>
  </conditionalFormatting>
  <conditionalFormatting sqref="A37">
    <cfRule type="containsBlanks" dxfId="106" priority="106">
      <formula>LEN(TRIM(A37))=0</formula>
    </cfRule>
  </conditionalFormatting>
  <conditionalFormatting sqref="D37">
    <cfRule type="containsBlanks" dxfId="105" priority="104">
      <formula>LEN(TRIM(D37))=0</formula>
    </cfRule>
  </conditionalFormatting>
  <conditionalFormatting sqref="C37">
    <cfRule type="cellIs" dxfId="104" priority="103" operator="equal">
      <formula>""</formula>
    </cfRule>
  </conditionalFormatting>
  <conditionalFormatting sqref="F37">
    <cfRule type="cellIs" dxfId="103" priority="102" operator="equal">
      <formula>""</formula>
    </cfRule>
  </conditionalFormatting>
  <conditionalFormatting sqref="G46:K46">
    <cfRule type="cellIs" dxfId="102" priority="101" operator="equal">
      <formula>""</formula>
    </cfRule>
  </conditionalFormatting>
  <conditionalFormatting sqref="G74:K74 G70:K70 G66:K66 G62:K62 G58:K58 G54:K54 G50:K50">
    <cfRule type="cellIs" dxfId="101" priority="100" operator="equal">
      <formula>""</formula>
    </cfRule>
  </conditionalFormatting>
  <conditionalFormatting sqref="A44">
    <cfRule type="containsBlanks" dxfId="100" priority="97">
      <formula>LEN(TRIM(A44))=0</formula>
    </cfRule>
    <cfRule type="cellIs" dxfId="99" priority="99" operator="equal">
      <formula>""</formula>
    </cfRule>
  </conditionalFormatting>
  <conditionalFormatting sqref="A46">
    <cfRule type="containsBlanks" dxfId="98" priority="98">
      <formula>LEN(TRIM(A46))=0</formula>
    </cfRule>
  </conditionalFormatting>
  <conditionalFormatting sqref="D46">
    <cfRule type="containsBlanks" dxfId="97" priority="96">
      <formula>LEN(TRIM(D46))=0</formula>
    </cfRule>
  </conditionalFormatting>
  <conditionalFormatting sqref="C46">
    <cfRule type="cellIs" dxfId="96" priority="95" operator="equal">
      <formula>""</formula>
    </cfRule>
  </conditionalFormatting>
  <conditionalFormatting sqref="A48">
    <cfRule type="containsBlanks" dxfId="95" priority="92">
      <formula>LEN(TRIM(A48))=0</formula>
    </cfRule>
    <cfRule type="cellIs" dxfId="94" priority="94" operator="equal">
      <formula>""</formula>
    </cfRule>
  </conditionalFormatting>
  <conditionalFormatting sqref="A50">
    <cfRule type="containsBlanks" dxfId="93" priority="93">
      <formula>LEN(TRIM(A50))=0</formula>
    </cfRule>
  </conditionalFormatting>
  <conditionalFormatting sqref="D50">
    <cfRule type="containsBlanks" dxfId="92" priority="91">
      <formula>LEN(TRIM(D50))=0</formula>
    </cfRule>
  </conditionalFormatting>
  <conditionalFormatting sqref="C50">
    <cfRule type="cellIs" dxfId="91" priority="90" operator="equal">
      <formula>""</formula>
    </cfRule>
  </conditionalFormatting>
  <conditionalFormatting sqref="A52">
    <cfRule type="containsBlanks" dxfId="90" priority="87">
      <formula>LEN(TRIM(A52))=0</formula>
    </cfRule>
    <cfRule type="cellIs" dxfId="89" priority="89" operator="equal">
      <formula>""</formula>
    </cfRule>
  </conditionalFormatting>
  <conditionalFormatting sqref="A54">
    <cfRule type="containsBlanks" dxfId="88" priority="88">
      <formula>LEN(TRIM(A54))=0</formula>
    </cfRule>
  </conditionalFormatting>
  <conditionalFormatting sqref="D54">
    <cfRule type="containsBlanks" dxfId="87" priority="86">
      <formula>LEN(TRIM(D54))=0</formula>
    </cfRule>
  </conditionalFormatting>
  <conditionalFormatting sqref="C54">
    <cfRule type="cellIs" dxfId="86" priority="85" operator="equal">
      <formula>""</formula>
    </cfRule>
  </conditionalFormatting>
  <conditionalFormatting sqref="A56">
    <cfRule type="containsBlanks" dxfId="85" priority="82">
      <formula>LEN(TRIM(A56))=0</formula>
    </cfRule>
    <cfRule type="cellIs" dxfId="84" priority="84" operator="equal">
      <formula>""</formula>
    </cfRule>
  </conditionalFormatting>
  <conditionalFormatting sqref="A58">
    <cfRule type="containsBlanks" dxfId="83" priority="83">
      <formula>LEN(TRIM(A58))=0</formula>
    </cfRule>
  </conditionalFormatting>
  <conditionalFormatting sqref="D58">
    <cfRule type="containsBlanks" dxfId="82" priority="81">
      <formula>LEN(TRIM(D58))=0</formula>
    </cfRule>
  </conditionalFormatting>
  <conditionalFormatting sqref="C58">
    <cfRule type="cellIs" dxfId="81" priority="80" operator="equal">
      <formula>""</formula>
    </cfRule>
  </conditionalFormatting>
  <conditionalFormatting sqref="A60">
    <cfRule type="containsBlanks" dxfId="80" priority="77">
      <formula>LEN(TRIM(A60))=0</formula>
    </cfRule>
    <cfRule type="cellIs" dxfId="79" priority="79" operator="equal">
      <formula>""</formula>
    </cfRule>
  </conditionalFormatting>
  <conditionalFormatting sqref="A62">
    <cfRule type="containsBlanks" dxfId="78" priority="78">
      <formula>LEN(TRIM(A62))=0</formula>
    </cfRule>
  </conditionalFormatting>
  <conditionalFormatting sqref="D62">
    <cfRule type="containsBlanks" dxfId="77" priority="76">
      <formula>LEN(TRIM(D62))=0</formula>
    </cfRule>
  </conditionalFormatting>
  <conditionalFormatting sqref="C62">
    <cfRule type="cellIs" dxfId="76" priority="75" operator="equal">
      <formula>""</formula>
    </cfRule>
  </conditionalFormatting>
  <conditionalFormatting sqref="A64">
    <cfRule type="containsBlanks" dxfId="75" priority="72">
      <formula>LEN(TRIM(A64))=0</formula>
    </cfRule>
    <cfRule type="cellIs" dxfId="74" priority="74" operator="equal">
      <formula>""</formula>
    </cfRule>
  </conditionalFormatting>
  <conditionalFormatting sqref="A66">
    <cfRule type="containsBlanks" dxfId="73" priority="73">
      <formula>LEN(TRIM(A66))=0</formula>
    </cfRule>
  </conditionalFormatting>
  <conditionalFormatting sqref="D66">
    <cfRule type="containsBlanks" dxfId="72" priority="71">
      <formula>LEN(TRIM(D66))=0</formula>
    </cfRule>
  </conditionalFormatting>
  <conditionalFormatting sqref="C66">
    <cfRule type="cellIs" dxfId="71" priority="70" operator="equal">
      <formula>""</formula>
    </cfRule>
  </conditionalFormatting>
  <conditionalFormatting sqref="F66">
    <cfRule type="cellIs" dxfId="70" priority="69" operator="equal">
      <formula>""</formula>
    </cfRule>
  </conditionalFormatting>
  <conditionalFormatting sqref="A68">
    <cfRule type="containsBlanks" dxfId="69" priority="66">
      <formula>LEN(TRIM(A68))=0</formula>
    </cfRule>
    <cfRule type="cellIs" dxfId="68" priority="68" operator="equal">
      <formula>""</formula>
    </cfRule>
  </conditionalFormatting>
  <conditionalFormatting sqref="A70">
    <cfRule type="containsBlanks" dxfId="67" priority="67">
      <formula>LEN(TRIM(A70))=0</formula>
    </cfRule>
  </conditionalFormatting>
  <conditionalFormatting sqref="D70">
    <cfRule type="containsBlanks" dxfId="66" priority="65">
      <formula>LEN(TRIM(D70))=0</formula>
    </cfRule>
  </conditionalFormatting>
  <conditionalFormatting sqref="C70">
    <cfRule type="cellIs" dxfId="65" priority="64" operator="equal">
      <formula>""</formula>
    </cfRule>
  </conditionalFormatting>
  <conditionalFormatting sqref="F70">
    <cfRule type="cellIs" dxfId="64" priority="63" operator="equal">
      <formula>""</formula>
    </cfRule>
  </conditionalFormatting>
  <conditionalFormatting sqref="A72">
    <cfRule type="containsBlanks" dxfId="63" priority="60">
      <formula>LEN(TRIM(A72))=0</formula>
    </cfRule>
    <cfRule type="cellIs" dxfId="62" priority="62" operator="equal">
      <formula>""</formula>
    </cfRule>
  </conditionalFormatting>
  <conditionalFormatting sqref="A74">
    <cfRule type="containsBlanks" dxfId="61" priority="61">
      <formula>LEN(TRIM(A74))=0</formula>
    </cfRule>
  </conditionalFormatting>
  <conditionalFormatting sqref="D74">
    <cfRule type="containsBlanks" dxfId="60" priority="59">
      <formula>LEN(TRIM(D74))=0</formula>
    </cfRule>
  </conditionalFormatting>
  <conditionalFormatting sqref="C74">
    <cfRule type="cellIs" dxfId="59" priority="58" operator="equal">
      <formula>""</formula>
    </cfRule>
  </conditionalFormatting>
  <conditionalFormatting sqref="F74">
    <cfRule type="cellIs" dxfId="58" priority="57" operator="equal">
      <formula>""</formula>
    </cfRule>
  </conditionalFormatting>
  <conditionalFormatting sqref="AO9:AS9">
    <cfRule type="cellIs" dxfId="57" priority="56" operator="equal">
      <formula>""</formula>
    </cfRule>
  </conditionalFormatting>
  <conditionalFormatting sqref="AO37:AS37 AO33:AS33 AO29:AS29 AO25:AS25 AO21:AS21 AO17:AS17 AO13:AS13">
    <cfRule type="cellIs" dxfId="56" priority="55" operator="equal">
      <formula>""</formula>
    </cfRule>
  </conditionalFormatting>
  <conditionalFormatting sqref="AI7">
    <cfRule type="containsBlanks" dxfId="55" priority="52">
      <formula>LEN(TRIM(AI7))=0</formula>
    </cfRule>
    <cfRule type="cellIs" dxfId="54" priority="54" operator="equal">
      <formula>""</formula>
    </cfRule>
  </conditionalFormatting>
  <conditionalFormatting sqref="AI9">
    <cfRule type="containsBlanks" dxfId="53" priority="53">
      <formula>LEN(TRIM(AI9))=0</formula>
    </cfRule>
  </conditionalFormatting>
  <conditionalFormatting sqref="AL9">
    <cfRule type="containsBlanks" dxfId="52" priority="51">
      <formula>LEN(TRIM(AL9))=0</formula>
    </cfRule>
  </conditionalFormatting>
  <conditionalFormatting sqref="AK9">
    <cfRule type="cellIs" dxfId="51" priority="50" operator="equal">
      <formula>""</formula>
    </cfRule>
  </conditionalFormatting>
  <conditionalFormatting sqref="AN9">
    <cfRule type="cellIs" dxfId="50" priority="49" operator="equal">
      <formula>""</formula>
    </cfRule>
  </conditionalFormatting>
  <conditionalFormatting sqref="AI11">
    <cfRule type="containsBlanks" dxfId="49" priority="47">
      <formula>LEN(TRIM(AI11))=0</formula>
    </cfRule>
    <cfRule type="cellIs" dxfId="48" priority="48" operator="equal">
      <formula>""</formula>
    </cfRule>
  </conditionalFormatting>
  <conditionalFormatting sqref="AI15">
    <cfRule type="containsBlanks" dxfId="47" priority="44">
      <formula>LEN(TRIM(AI15))=0</formula>
    </cfRule>
    <cfRule type="cellIs" dxfId="46" priority="46" operator="equal">
      <formula>""</formula>
    </cfRule>
  </conditionalFormatting>
  <conditionalFormatting sqref="AI17">
    <cfRule type="containsBlanks" dxfId="45" priority="45">
      <formula>LEN(TRIM(AI17))=0</formula>
    </cfRule>
  </conditionalFormatting>
  <conditionalFormatting sqref="AL17">
    <cfRule type="containsBlanks" dxfId="44" priority="43">
      <formula>LEN(TRIM(AL17))=0</formula>
    </cfRule>
  </conditionalFormatting>
  <conditionalFormatting sqref="AK17">
    <cfRule type="cellIs" dxfId="43" priority="42" operator="equal">
      <formula>""</formula>
    </cfRule>
  </conditionalFormatting>
  <conditionalFormatting sqref="AN17">
    <cfRule type="cellIs" dxfId="42" priority="41" operator="equal">
      <formula>""</formula>
    </cfRule>
  </conditionalFormatting>
  <conditionalFormatting sqref="AI19">
    <cfRule type="containsBlanks" dxfId="41" priority="38">
      <formula>LEN(TRIM(AI19))=0</formula>
    </cfRule>
    <cfRule type="cellIs" dxfId="40" priority="40" operator="equal">
      <formula>""</formula>
    </cfRule>
  </conditionalFormatting>
  <conditionalFormatting sqref="AI21">
    <cfRule type="containsBlanks" dxfId="39" priority="39">
      <formula>LEN(TRIM(AI21))=0</formula>
    </cfRule>
  </conditionalFormatting>
  <conditionalFormatting sqref="AL21">
    <cfRule type="containsBlanks" dxfId="38" priority="37">
      <formula>LEN(TRIM(AL21))=0</formula>
    </cfRule>
  </conditionalFormatting>
  <conditionalFormatting sqref="AK21">
    <cfRule type="cellIs" dxfId="37" priority="36" operator="equal">
      <formula>""</formula>
    </cfRule>
  </conditionalFormatting>
  <conditionalFormatting sqref="AN21">
    <cfRule type="cellIs" dxfId="36" priority="35" operator="equal">
      <formula>""</formula>
    </cfRule>
  </conditionalFormatting>
  <conditionalFormatting sqref="AI23">
    <cfRule type="containsBlanks" dxfId="35" priority="32">
      <formula>LEN(TRIM(AI23))=0</formula>
    </cfRule>
    <cfRule type="cellIs" dxfId="34" priority="34" operator="equal">
      <formula>""</formula>
    </cfRule>
  </conditionalFormatting>
  <conditionalFormatting sqref="AI25">
    <cfRule type="containsBlanks" dxfId="33" priority="33">
      <formula>LEN(TRIM(AI25))=0</formula>
    </cfRule>
  </conditionalFormatting>
  <conditionalFormatting sqref="AL25">
    <cfRule type="containsBlanks" dxfId="32" priority="31">
      <formula>LEN(TRIM(AL25))=0</formula>
    </cfRule>
  </conditionalFormatting>
  <conditionalFormatting sqref="AK25">
    <cfRule type="cellIs" dxfId="31" priority="30" operator="equal">
      <formula>""</formula>
    </cfRule>
  </conditionalFormatting>
  <conditionalFormatting sqref="AN25">
    <cfRule type="cellIs" dxfId="30" priority="29" operator="equal">
      <formula>""</formula>
    </cfRule>
  </conditionalFormatting>
  <conditionalFormatting sqref="AI27">
    <cfRule type="containsBlanks" dxfId="29" priority="26">
      <formula>LEN(TRIM(AI27))=0</formula>
    </cfRule>
    <cfRule type="cellIs" dxfId="28" priority="28" operator="equal">
      <formula>""</formula>
    </cfRule>
  </conditionalFormatting>
  <conditionalFormatting sqref="AI29">
    <cfRule type="containsBlanks" dxfId="27" priority="27">
      <formula>LEN(TRIM(AI29))=0</formula>
    </cfRule>
  </conditionalFormatting>
  <conditionalFormatting sqref="AL29">
    <cfRule type="containsBlanks" dxfId="26" priority="25">
      <formula>LEN(TRIM(AL29))=0</formula>
    </cfRule>
  </conditionalFormatting>
  <conditionalFormatting sqref="AK29">
    <cfRule type="cellIs" dxfId="25" priority="24" operator="equal">
      <formula>""</formula>
    </cfRule>
  </conditionalFormatting>
  <conditionalFormatting sqref="AN29">
    <cfRule type="cellIs" dxfId="24" priority="23" operator="equal">
      <formula>""</formula>
    </cfRule>
  </conditionalFormatting>
  <conditionalFormatting sqref="AI31">
    <cfRule type="containsBlanks" dxfId="23" priority="20">
      <formula>LEN(TRIM(AI31))=0</formula>
    </cfRule>
    <cfRule type="cellIs" dxfId="22" priority="22" operator="equal">
      <formula>""</formula>
    </cfRule>
  </conditionalFormatting>
  <conditionalFormatting sqref="AI33">
    <cfRule type="containsBlanks" dxfId="21" priority="21">
      <formula>LEN(TRIM(AI33))=0</formula>
    </cfRule>
  </conditionalFormatting>
  <conditionalFormatting sqref="AL33">
    <cfRule type="containsBlanks" dxfId="20" priority="19">
      <formula>LEN(TRIM(AL33))=0</formula>
    </cfRule>
  </conditionalFormatting>
  <conditionalFormatting sqref="AK33">
    <cfRule type="cellIs" dxfId="19" priority="18" operator="equal">
      <formula>""</formula>
    </cfRule>
  </conditionalFormatting>
  <conditionalFormatting sqref="AN33">
    <cfRule type="cellIs" dxfId="18" priority="17" operator="equal">
      <formula>""</formula>
    </cfRule>
  </conditionalFormatting>
  <conditionalFormatting sqref="AI35">
    <cfRule type="containsBlanks" dxfId="17" priority="14">
      <formula>LEN(TRIM(AI35))=0</formula>
    </cfRule>
    <cfRule type="cellIs" dxfId="16" priority="16" operator="equal">
      <formula>""</formula>
    </cfRule>
  </conditionalFormatting>
  <conditionalFormatting sqref="AI37">
    <cfRule type="containsBlanks" dxfId="15" priority="15">
      <formula>LEN(TRIM(AI37))=0</formula>
    </cfRule>
  </conditionalFormatting>
  <conditionalFormatting sqref="AL37">
    <cfRule type="containsBlanks" dxfId="14" priority="13">
      <formula>LEN(TRIM(AL37))=0</formula>
    </cfRule>
  </conditionalFormatting>
  <conditionalFormatting sqref="AK37">
    <cfRule type="cellIs" dxfId="13" priority="12" operator="equal">
      <formula>""</formula>
    </cfRule>
  </conditionalFormatting>
  <conditionalFormatting sqref="AN37">
    <cfRule type="cellIs" dxfId="12" priority="11" operator="equal">
      <formula>""</formula>
    </cfRule>
  </conditionalFormatting>
  <conditionalFormatting sqref="AI13">
    <cfRule type="containsBlanks" dxfId="11" priority="10">
      <formula>LEN(TRIM(AI13))=0</formula>
    </cfRule>
  </conditionalFormatting>
  <conditionalFormatting sqref="AL13">
    <cfRule type="containsBlanks" dxfId="10" priority="9">
      <formula>LEN(TRIM(AL13))=0</formula>
    </cfRule>
  </conditionalFormatting>
  <conditionalFormatting sqref="AK13">
    <cfRule type="cellIs" dxfId="9" priority="8" operator="equal">
      <formula>""</formula>
    </cfRule>
  </conditionalFormatting>
  <conditionalFormatting sqref="AN13">
    <cfRule type="cellIs" dxfId="8" priority="7" operator="equal">
      <formula>""</formula>
    </cfRule>
  </conditionalFormatting>
  <conditionalFormatting sqref="F46">
    <cfRule type="cellIs" dxfId="7" priority="6" operator="equal">
      <formula>""</formula>
    </cfRule>
  </conditionalFormatting>
  <conditionalFormatting sqref="F50">
    <cfRule type="cellIs" dxfId="6" priority="5" operator="equal">
      <formula>""</formula>
    </cfRule>
  </conditionalFormatting>
  <conditionalFormatting sqref="F54">
    <cfRule type="cellIs" dxfId="5" priority="4" operator="equal">
      <formula>""</formula>
    </cfRule>
  </conditionalFormatting>
  <conditionalFormatting sqref="F58">
    <cfRule type="cellIs" dxfId="4" priority="3" operator="equal">
      <formula>""</formula>
    </cfRule>
  </conditionalFormatting>
  <conditionalFormatting sqref="F62">
    <cfRule type="cellIs" dxfId="3" priority="2" operator="equal">
      <formula>""</formula>
    </cfRule>
  </conditionalFormatting>
  <conditionalFormatting sqref="C9">
    <cfRule type="cellIs" dxfId="2" priority="1" operator="equal">
      <formula>""</formula>
    </cfRule>
  </conditionalFormatting>
  <dataValidations count="7">
    <dataValidation type="list" allowBlank="1" showInputMessage="1" showErrorMessage="1" sqref="AI35:AN35 A44:F44 A11:F11 A15:F15 A19:F19 A23:F23 A27:F27 A31:F31 A48:F48 A52:F52 A56:F56 A60:F60 A64:F64 A68:F68 A72:F72 A35:F35 AI7:AN7 AI11:AN11 AI15:AN15 AI19:AN19 AI23:AN23 AI27:AN27 AI31:AN31 A7:F7" xr:uid="{B56694D0-5FA5-42A1-B995-4E48D0F777EF}">
      <formula1>$BT$4:$BT$7</formula1>
    </dataValidation>
    <dataValidation type="list" allowBlank="1" showInputMessage="1" showErrorMessage="1" sqref="AB5:AE5 BJ42:BM42 BJ5:BM5 AB42:AE42" xr:uid="{D74C3346-F33B-46F1-B62D-4AD4F8FA285C}">
      <formula1>$BS$3:$BS$7</formula1>
    </dataValidation>
    <dataValidation type="list" allowBlank="1" showInputMessage="1" showErrorMessage="1" sqref="AI44:AN44 AI48:AN48 AI52:AN52" xr:uid="{7EE0BA02-D91E-4E94-89CB-1F9F6ED06048}">
      <formula1>$BT$4:$BT$6</formula1>
    </dataValidation>
    <dataValidation type="list" allowBlank="1" showInputMessage="1" showErrorMessage="1" sqref="C9 AK17 AK37 AK29 AN9 AN29 AN54 AN50 AN46 AN25 AN21 AN17 AK13 AK54 AK50 F62 AK46 C46 F74 C70 F70 C62 C58 C54 C50 C66 AN13 F66 F58 F54 F50 F46 C74 F37 C33 F33 C25 C21 C17 C13 C29 F9 F29 F25 F21 F17 F13 C37 AK9 AN37 AK33 AN33 AK25 AK21" xr:uid="{779D6214-3CD7-4059-A87C-905A17E8860C}">
      <formula1>$BV$4:$BV$7</formula1>
    </dataValidation>
    <dataValidation type="list" allowBlank="1" showInputMessage="1" showErrorMessage="1" sqref="A9 AI17 AI37 AI29 AL9 AL29 AL54 AL50 AL46 AL25 AL21 AL17 AI13 AI54 AI50 AL13 AI46 A46 D74 A70 D70 A62 A58 A54 A50 A66 D46 D66 D62 D58 D54 D50 A74 D37 A33 D33 A25 A21 A17 A13 A29 D9 D29 D25 D21 D17 D13 A37 AI9 AL37 AI33 AL33 AI25 AI21" xr:uid="{D8BE3739-4033-4809-A096-62D0C0776284}">
      <formula1>$BU$4:$BU$19</formula1>
    </dataValidation>
    <dataValidation type="list" allowBlank="1" showInputMessage="1" showErrorMessage="1" sqref="AB3:AE3 BJ40:BM40 BJ3:BM3 AB40:AE40" xr:uid="{7BE1468E-1ACF-4D08-BAB4-0EE8A096F640}">
      <formula1>$BQ$3:$BQ$6</formula1>
    </dataValidation>
    <dataValidation type="list" allowBlank="1" showInputMessage="1" showErrorMessage="1" sqref="AB4:AE4 BJ41:BM41 BJ4:BM4 AB41:AE41" xr:uid="{F36A4E9B-8364-41A5-AD5F-DCC3C61643B0}">
      <formula1>$BR$3:$BR$6</formula1>
    </dataValidation>
  </dataValidations>
  <printOptions horizontalCentered="1"/>
  <pageMargins left="0.39370078740157483" right="0.39370078740157483" top="0.39370078740157483" bottom="0.39370078740157483" header="0" footer="0"/>
  <pageSetup paperSize="9" scale="97" orientation="landscape" verticalDpi="0" r:id="rId1"/>
  <headerFooter>
    <oddHeader>&amp;R&amp;"ＭＳ 明朝,標準"&amp;8&amp;D 　&amp;T</oddHeader>
  </headerFooter>
  <rowBreaks count="1" manualBreakCount="1">
    <brk id="37" max="67" man="1"/>
  </rowBreaks>
  <colBreaks count="1" manualBreakCount="1">
    <brk id="34" max="73" man="1"/>
  </col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2060"/>
  </sheetPr>
  <dimension ref="A1:BD49"/>
  <sheetViews>
    <sheetView showZeros="0" view="pageBreakPreview" zoomScaleNormal="80" zoomScaleSheetLayoutView="100" workbookViewId="0">
      <selection activeCell="P12" sqref="P12:X12"/>
    </sheetView>
  </sheetViews>
  <sheetFormatPr defaultRowHeight="13.5"/>
  <cols>
    <col min="1" max="15" width="3.625" style="1" customWidth="1"/>
    <col min="16" max="26" width="4.125" style="1" customWidth="1"/>
    <col min="27" max="52" width="3.625" style="1" customWidth="1"/>
    <col min="53" max="16384" width="9" style="1"/>
  </cols>
  <sheetData>
    <row r="1" spans="1:56" ht="28.5" customHeight="1">
      <c r="A1" s="2648"/>
      <c r="B1" s="2648"/>
      <c r="C1" s="2648"/>
      <c r="D1" s="2648"/>
      <c r="E1" s="2648"/>
      <c r="F1" s="2648"/>
      <c r="G1" s="2648"/>
      <c r="H1" s="2648"/>
      <c r="I1" s="2648"/>
      <c r="J1" s="2648"/>
      <c r="K1" s="2648"/>
      <c r="L1" s="2648"/>
      <c r="M1" s="2648"/>
      <c r="N1" s="2648"/>
      <c r="O1" s="2648"/>
      <c r="P1" s="2648"/>
      <c r="Q1" s="2648"/>
      <c r="R1" s="2648"/>
      <c r="S1" s="2648"/>
      <c r="T1" s="2648"/>
      <c r="U1" s="2648"/>
      <c r="V1" s="2648"/>
      <c r="W1" s="2648"/>
      <c r="X1" s="2648"/>
      <c r="Y1" s="2648"/>
      <c r="Z1" s="2648"/>
      <c r="AA1" s="2648"/>
      <c r="AB1" s="2648"/>
      <c r="AC1" s="2648"/>
      <c r="AD1" s="2648"/>
      <c r="AE1" s="2648"/>
      <c r="AF1" s="2648"/>
      <c r="AG1" s="2648"/>
      <c r="AH1" s="2648"/>
      <c r="AI1" s="2648"/>
      <c r="AJ1" s="2648"/>
      <c r="AK1" s="2648"/>
      <c r="AL1" s="2648"/>
      <c r="AM1" s="2648"/>
      <c r="AN1" s="2648"/>
      <c r="AO1" s="2648"/>
      <c r="AP1" s="2648"/>
      <c r="AQ1" s="2648"/>
      <c r="AR1" s="2648"/>
      <c r="AS1" s="2648"/>
      <c r="AT1" s="2648"/>
      <c r="AU1" s="2648"/>
      <c r="AV1" s="2648"/>
      <c r="AW1" s="2648"/>
      <c r="AX1" s="2648"/>
      <c r="AY1" s="2648"/>
      <c r="AZ1" s="2648"/>
    </row>
    <row r="2" spans="1:56" ht="23.25">
      <c r="A2" s="2684" t="s">
        <v>285</v>
      </c>
      <c r="B2" s="2684"/>
      <c r="C2" s="2684"/>
      <c r="D2" s="2684"/>
      <c r="E2" s="2684"/>
      <c r="F2" s="2684"/>
      <c r="G2" s="2684"/>
      <c r="H2" s="2684"/>
      <c r="I2" s="2684"/>
      <c r="J2" s="2684"/>
      <c r="K2" s="2684"/>
      <c r="L2" s="2684"/>
      <c r="M2" s="2684"/>
      <c r="N2" s="2684"/>
      <c r="O2" s="2684"/>
      <c r="P2" s="2684"/>
      <c r="Q2" s="2684"/>
      <c r="R2" s="2684"/>
      <c r="S2" s="2684"/>
      <c r="T2" s="2684"/>
      <c r="U2" s="2684"/>
      <c r="V2" s="2684"/>
      <c r="W2" s="2684"/>
      <c r="X2" s="2684"/>
      <c r="Y2" s="2684"/>
      <c r="Z2" s="2684"/>
      <c r="AA2" s="2684" t="s">
        <v>285</v>
      </c>
      <c r="AB2" s="2684"/>
      <c r="AC2" s="2684"/>
      <c r="AD2" s="2684"/>
      <c r="AE2" s="2684"/>
      <c r="AF2" s="2684"/>
      <c r="AG2" s="2684"/>
      <c r="AH2" s="2684"/>
      <c r="AI2" s="2684"/>
      <c r="AJ2" s="2684"/>
      <c r="AK2" s="2684"/>
      <c r="AL2" s="2684"/>
      <c r="AM2" s="2684"/>
      <c r="AN2" s="2684"/>
      <c r="AO2" s="2684"/>
      <c r="AP2" s="2684"/>
      <c r="AQ2" s="2684"/>
      <c r="AR2" s="2684"/>
      <c r="AS2" s="2684"/>
      <c r="AT2" s="2684"/>
      <c r="AU2" s="2684"/>
      <c r="AV2" s="2684"/>
      <c r="AW2" s="2684"/>
      <c r="AX2" s="2684"/>
      <c r="AY2" s="2684"/>
      <c r="AZ2" s="2684"/>
    </row>
    <row r="3" spans="1:56" ht="28.5" customHeight="1">
      <c r="A3" s="2648"/>
      <c r="B3" s="2648"/>
      <c r="C3" s="2648"/>
      <c r="D3" s="2648"/>
      <c r="E3" s="2648"/>
      <c r="F3" s="2648"/>
      <c r="G3" s="2648"/>
      <c r="H3" s="2648"/>
      <c r="I3" s="2648"/>
      <c r="J3" s="2648"/>
      <c r="K3" s="2648"/>
      <c r="L3" s="2648"/>
      <c r="M3" s="2648"/>
      <c r="N3" s="2648"/>
      <c r="O3" s="2648"/>
      <c r="P3" s="2648"/>
      <c r="Q3" s="2648"/>
      <c r="R3" s="2648"/>
      <c r="S3" s="2648"/>
      <c r="T3" s="2648"/>
      <c r="U3" s="2648"/>
      <c r="V3" s="2648"/>
      <c r="W3" s="2648"/>
      <c r="X3" s="2648"/>
      <c r="Y3" s="2648"/>
      <c r="Z3" s="2648"/>
      <c r="AA3" s="2648"/>
      <c r="AB3" s="2648"/>
      <c r="AC3" s="2648"/>
      <c r="AD3" s="2648"/>
      <c r="AE3" s="2648"/>
      <c r="AF3" s="2648"/>
      <c r="AG3" s="2648"/>
      <c r="AH3" s="2648"/>
      <c r="AI3" s="2648"/>
      <c r="AJ3" s="2648"/>
      <c r="AK3" s="2648"/>
      <c r="AL3" s="2648"/>
      <c r="AM3" s="2648"/>
      <c r="AN3" s="2648"/>
      <c r="AO3" s="2648"/>
      <c r="AP3" s="2648"/>
      <c r="AQ3" s="2648"/>
      <c r="AR3" s="2648"/>
      <c r="AS3" s="2648"/>
      <c r="AT3" s="2648"/>
      <c r="AU3" s="2648"/>
      <c r="AV3" s="2648"/>
      <c r="AW3" s="2648"/>
      <c r="AX3" s="2648"/>
      <c r="AY3" s="2648"/>
      <c r="AZ3" s="2648"/>
    </row>
    <row r="4" spans="1:56" ht="28.5" customHeight="1">
      <c r="A4" s="512"/>
      <c r="B4" s="512"/>
      <c r="C4" s="512"/>
      <c r="D4" s="512"/>
      <c r="E4" s="512"/>
      <c r="F4" s="512"/>
      <c r="G4" s="512"/>
      <c r="H4" s="512"/>
      <c r="I4" s="512"/>
      <c r="J4" s="512"/>
      <c r="K4" s="512"/>
      <c r="L4" s="512"/>
      <c r="M4" s="512"/>
      <c r="N4" s="512"/>
      <c r="O4" s="512"/>
      <c r="P4" s="512"/>
      <c r="Q4" s="512"/>
      <c r="R4" s="2883"/>
      <c r="S4" s="2883"/>
      <c r="T4" s="2883"/>
      <c r="U4" s="546" t="s">
        <v>16</v>
      </c>
      <c r="V4" s="750"/>
      <c r="W4" s="546" t="s">
        <v>15</v>
      </c>
      <c r="X4" s="750"/>
      <c r="Y4" s="546" t="s">
        <v>159</v>
      </c>
      <c r="Z4" s="546"/>
      <c r="AA4" s="512"/>
      <c r="AB4" s="512"/>
      <c r="AC4" s="512"/>
      <c r="AD4" s="512"/>
      <c r="AE4" s="512"/>
      <c r="AF4" s="512"/>
      <c r="AG4" s="512"/>
      <c r="AH4" s="512"/>
      <c r="AI4" s="512"/>
      <c r="AJ4" s="512"/>
      <c r="AK4" s="512"/>
      <c r="AL4" s="512"/>
      <c r="AM4" s="512"/>
      <c r="AN4" s="512"/>
      <c r="AO4" s="512"/>
      <c r="AP4" s="512"/>
      <c r="AQ4" s="512"/>
      <c r="AR4" s="2884" t="s">
        <v>3088</v>
      </c>
      <c r="AS4" s="2884"/>
      <c r="AT4" s="2884"/>
      <c r="AU4" s="546" t="s">
        <v>16</v>
      </c>
      <c r="AV4" s="547" t="s">
        <v>286</v>
      </c>
      <c r="AW4" s="546" t="s">
        <v>15</v>
      </c>
      <c r="AX4" s="547" t="s">
        <v>2879</v>
      </c>
      <c r="AY4" s="546" t="s">
        <v>159</v>
      </c>
      <c r="AZ4" s="546"/>
    </row>
    <row r="5" spans="1:56" ht="14.25" customHeight="1">
      <c r="A5" s="2648"/>
      <c r="B5" s="2648"/>
      <c r="C5" s="2648"/>
      <c r="D5" s="2648"/>
      <c r="E5" s="2648"/>
      <c r="F5" s="2648"/>
      <c r="G5" s="2648"/>
      <c r="H5" s="2648"/>
      <c r="I5" s="2648"/>
      <c r="J5" s="2648"/>
      <c r="K5" s="2648"/>
      <c r="L5" s="2648"/>
      <c r="M5" s="2648"/>
      <c r="N5" s="2648"/>
      <c r="O5" s="2648"/>
      <c r="P5" s="2648"/>
      <c r="Q5" s="2648"/>
      <c r="R5" s="2648"/>
      <c r="S5" s="2648"/>
      <c r="T5" s="2648"/>
      <c r="U5" s="2648"/>
      <c r="V5" s="2648"/>
      <c r="W5" s="2648"/>
      <c r="X5" s="2648"/>
      <c r="Y5" s="2648"/>
      <c r="Z5" s="2648"/>
      <c r="AA5" s="2648"/>
      <c r="AB5" s="2648"/>
      <c r="AC5" s="2648"/>
      <c r="AD5" s="2648"/>
      <c r="AE5" s="2648"/>
      <c r="AF5" s="2648"/>
      <c r="AG5" s="2648"/>
      <c r="AH5" s="2648"/>
      <c r="AI5" s="2648"/>
      <c r="AJ5" s="2648"/>
      <c r="AK5" s="2648"/>
      <c r="AL5" s="2648"/>
      <c r="AM5" s="2648"/>
      <c r="AN5" s="2648"/>
      <c r="AO5" s="2648"/>
      <c r="AP5" s="2648"/>
      <c r="AQ5" s="2648"/>
      <c r="AR5" s="2648"/>
      <c r="AS5" s="2648"/>
      <c r="AT5" s="2648"/>
      <c r="AU5" s="2648"/>
      <c r="AV5" s="2648"/>
      <c r="AW5" s="2648"/>
      <c r="AX5" s="2648"/>
      <c r="AY5" s="2648"/>
      <c r="AZ5" s="2648"/>
    </row>
    <row r="6" spans="1:56" ht="14.25" customHeight="1">
      <c r="A6" s="2639" t="s">
        <v>257</v>
      </c>
      <c r="B6" s="2639"/>
      <c r="C6" s="2639"/>
      <c r="D6" s="2639"/>
      <c r="E6" s="2639"/>
      <c r="F6" s="2639"/>
      <c r="G6" s="2639"/>
      <c r="H6" s="2639"/>
      <c r="I6" s="2639"/>
      <c r="J6" s="2639"/>
      <c r="K6" s="2639"/>
      <c r="L6" s="2639"/>
      <c r="M6" s="2639"/>
      <c r="N6" s="2639"/>
      <c r="O6" s="2639"/>
      <c r="P6" s="2639"/>
      <c r="Q6" s="2639"/>
      <c r="R6" s="2639"/>
      <c r="S6" s="2639"/>
      <c r="T6" s="2639"/>
      <c r="U6" s="2639"/>
      <c r="V6" s="2639"/>
      <c r="W6" s="2639"/>
      <c r="X6" s="2639"/>
      <c r="Y6" s="2639"/>
      <c r="Z6" s="2639"/>
      <c r="AA6" s="2639" t="s">
        <v>257</v>
      </c>
      <c r="AB6" s="2639"/>
      <c r="AC6" s="2639"/>
      <c r="AD6" s="2639"/>
      <c r="AE6" s="2639"/>
      <c r="AF6" s="2639"/>
      <c r="AG6" s="2639"/>
      <c r="AH6" s="2639"/>
      <c r="AI6" s="2639"/>
      <c r="AJ6" s="2639"/>
      <c r="AK6" s="2639"/>
      <c r="AL6" s="2639"/>
      <c r="AM6" s="2639"/>
      <c r="AN6" s="2639"/>
      <c r="AO6" s="2639"/>
      <c r="AP6" s="2639"/>
      <c r="AQ6" s="2639"/>
      <c r="AR6" s="2639"/>
      <c r="AS6" s="2639"/>
      <c r="AT6" s="2639"/>
      <c r="AU6" s="2639"/>
      <c r="AV6" s="2639"/>
      <c r="AW6" s="2639"/>
      <c r="AX6" s="2639"/>
      <c r="AY6" s="2639"/>
      <c r="AZ6" s="2639"/>
    </row>
    <row r="7" spans="1:56" ht="14.25" customHeight="1">
      <c r="A7" s="2639" t="s">
        <v>258</v>
      </c>
      <c r="B7" s="2639"/>
      <c r="C7" s="2639"/>
      <c r="D7" s="2639"/>
      <c r="E7" s="2639"/>
      <c r="F7" s="2639"/>
      <c r="G7" s="2639"/>
      <c r="H7" s="2639"/>
      <c r="I7" s="2639"/>
      <c r="J7" s="2639"/>
      <c r="K7" s="2639"/>
      <c r="L7" s="2639"/>
      <c r="M7" s="2639"/>
      <c r="N7" s="2639"/>
      <c r="O7" s="2639"/>
      <c r="P7" s="2639"/>
      <c r="Q7" s="2639"/>
      <c r="R7" s="2639"/>
      <c r="S7" s="2639"/>
      <c r="T7" s="2639"/>
      <c r="U7" s="2639"/>
      <c r="V7" s="2639"/>
      <c r="W7" s="2639"/>
      <c r="X7" s="2639"/>
      <c r="Y7" s="2639"/>
      <c r="Z7" s="2639"/>
      <c r="AA7" s="2639" t="s">
        <v>258</v>
      </c>
      <c r="AB7" s="2639"/>
      <c r="AC7" s="2639"/>
      <c r="AD7" s="2639"/>
      <c r="AE7" s="2639"/>
      <c r="AF7" s="2639"/>
      <c r="AG7" s="2639"/>
      <c r="AH7" s="2639"/>
      <c r="AI7" s="2639"/>
      <c r="AJ7" s="2639"/>
      <c r="AK7" s="2639"/>
      <c r="AL7" s="2639"/>
      <c r="AM7" s="2639"/>
      <c r="AN7" s="2639"/>
      <c r="AO7" s="2639"/>
      <c r="AP7" s="2639"/>
      <c r="AQ7" s="2639"/>
      <c r="AR7" s="2639"/>
      <c r="AS7" s="2639"/>
      <c r="AT7" s="2639"/>
      <c r="AU7" s="2639"/>
      <c r="AV7" s="2639"/>
      <c r="AW7" s="2639"/>
      <c r="AX7" s="2639"/>
      <c r="AY7" s="2639"/>
      <c r="AZ7" s="2639"/>
    </row>
    <row r="8" spans="1:56" ht="14.25" customHeight="1">
      <c r="A8" s="2639" t="s">
        <v>259</v>
      </c>
      <c r="B8" s="2639"/>
      <c r="C8" s="2639"/>
      <c r="D8" s="2639"/>
      <c r="E8" s="2639"/>
      <c r="F8" s="2639"/>
      <c r="G8" s="2639"/>
      <c r="H8" s="2639"/>
      <c r="I8" s="2639"/>
      <c r="J8" s="2639"/>
      <c r="K8" s="2639"/>
      <c r="L8" s="2639"/>
      <c r="M8" s="2639"/>
      <c r="N8" s="2639"/>
      <c r="O8" s="2639"/>
      <c r="P8" s="2639"/>
      <c r="Q8" s="2639"/>
      <c r="R8" s="2639"/>
      <c r="S8" s="2639"/>
      <c r="T8" s="2639"/>
      <c r="U8" s="2639"/>
      <c r="V8" s="2639"/>
      <c r="W8" s="2639"/>
      <c r="X8" s="2639"/>
      <c r="Y8" s="2639"/>
      <c r="Z8" s="2639"/>
      <c r="AA8" s="2639" t="s">
        <v>259</v>
      </c>
      <c r="AB8" s="2639"/>
      <c r="AC8" s="2639"/>
      <c r="AD8" s="2639"/>
      <c r="AE8" s="2639"/>
      <c r="AF8" s="2639"/>
      <c r="AG8" s="2639"/>
      <c r="AH8" s="2639"/>
      <c r="AI8" s="2639"/>
      <c r="AJ8" s="2639"/>
      <c r="AK8" s="2639"/>
      <c r="AL8" s="2639"/>
      <c r="AM8" s="2639"/>
      <c r="AN8" s="2639"/>
      <c r="AO8" s="2639"/>
      <c r="AP8" s="2639"/>
      <c r="AQ8" s="2639"/>
      <c r="AR8" s="2639"/>
      <c r="AS8" s="2639"/>
      <c r="AT8" s="2639"/>
      <c r="AU8" s="2639"/>
      <c r="AV8" s="2639"/>
      <c r="AW8" s="2639"/>
      <c r="AX8" s="2639"/>
      <c r="AY8" s="2639"/>
      <c r="AZ8" s="2639"/>
    </row>
    <row r="9" spans="1:56" ht="14.25" customHeight="1">
      <c r="A9" s="2639" t="s">
        <v>260</v>
      </c>
      <c r="B9" s="2639"/>
      <c r="C9" s="2639"/>
      <c r="D9" s="2639"/>
      <c r="E9" s="2639"/>
      <c r="F9" s="2639"/>
      <c r="G9" s="2639"/>
      <c r="H9" s="2639"/>
      <c r="I9" s="2639"/>
      <c r="J9" s="2639"/>
      <c r="K9" s="2639"/>
      <c r="L9" s="2639"/>
      <c r="M9" s="2639"/>
      <c r="N9" s="2639"/>
      <c r="O9" s="2639"/>
      <c r="P9" s="2639"/>
      <c r="Q9" s="2639"/>
      <c r="R9" s="2639"/>
      <c r="S9" s="2639"/>
      <c r="T9" s="2639"/>
      <c r="U9" s="2639"/>
      <c r="V9" s="2639"/>
      <c r="W9" s="2639"/>
      <c r="X9" s="2639"/>
      <c r="Y9" s="2639"/>
      <c r="Z9" s="2639"/>
      <c r="AA9" s="2639" t="s">
        <v>260</v>
      </c>
      <c r="AB9" s="2639"/>
      <c r="AC9" s="2639"/>
      <c r="AD9" s="2639"/>
      <c r="AE9" s="2639"/>
      <c r="AF9" s="2639"/>
      <c r="AG9" s="2639"/>
      <c r="AH9" s="2639"/>
      <c r="AI9" s="2639"/>
      <c r="AJ9" s="2639"/>
      <c r="AK9" s="2639"/>
      <c r="AL9" s="2639"/>
      <c r="AM9" s="2639"/>
      <c r="AN9" s="2639"/>
      <c r="AO9" s="2639"/>
      <c r="AP9" s="2639"/>
      <c r="AQ9" s="2639"/>
      <c r="AR9" s="2639"/>
      <c r="AS9" s="2639"/>
      <c r="AT9" s="2639"/>
      <c r="AU9" s="2639"/>
      <c r="AV9" s="2639"/>
      <c r="AW9" s="2639"/>
      <c r="AX9" s="2639"/>
      <c r="AY9" s="2639"/>
      <c r="AZ9" s="2639"/>
    </row>
    <row r="10" spans="1:56" ht="14.25" customHeight="1">
      <c r="A10" s="2639"/>
      <c r="B10" s="2639"/>
      <c r="C10" s="2639"/>
      <c r="D10" s="2639"/>
      <c r="E10" s="2639"/>
      <c r="F10" s="2639"/>
      <c r="G10" s="2639"/>
      <c r="H10" s="2639"/>
      <c r="I10" s="2639"/>
      <c r="J10" s="2639"/>
      <c r="K10" s="2639"/>
      <c r="L10" s="2639"/>
      <c r="M10" s="2639"/>
      <c r="N10" s="2639"/>
      <c r="O10" s="2639"/>
      <c r="P10" s="2639"/>
      <c r="Q10" s="2639"/>
      <c r="R10" s="2639"/>
      <c r="S10" s="2639"/>
      <c r="T10" s="2639"/>
      <c r="U10" s="2639"/>
      <c r="V10" s="2639"/>
      <c r="W10" s="2639"/>
      <c r="X10" s="2639"/>
      <c r="Y10" s="2639"/>
      <c r="Z10" s="2639"/>
      <c r="AA10" s="2639"/>
      <c r="AB10" s="2639"/>
      <c r="AC10" s="2639"/>
      <c r="AD10" s="2639"/>
      <c r="AE10" s="2639"/>
      <c r="AF10" s="2639"/>
      <c r="AG10" s="2639"/>
      <c r="AH10" s="2639"/>
      <c r="AI10" s="2639"/>
      <c r="AJ10" s="2639"/>
      <c r="AK10" s="2639"/>
      <c r="AL10" s="2639"/>
      <c r="AM10" s="2639"/>
      <c r="AN10" s="2639"/>
      <c r="AO10" s="2639"/>
      <c r="AP10" s="2639"/>
      <c r="AQ10" s="2639"/>
      <c r="AR10" s="2639"/>
      <c r="AS10" s="2639"/>
      <c r="AT10" s="2639"/>
      <c r="AU10" s="2639"/>
      <c r="AV10" s="2639"/>
      <c r="AW10" s="2639"/>
      <c r="AX10" s="2639"/>
      <c r="AY10" s="2639"/>
      <c r="AZ10" s="2639"/>
    </row>
    <row r="11" spans="1:56" ht="28.5" customHeight="1">
      <c r="A11" s="2648"/>
      <c r="B11" s="2648"/>
      <c r="C11" s="2648"/>
      <c r="D11" s="2648"/>
      <c r="E11" s="2648"/>
      <c r="F11" s="2648"/>
      <c r="G11" s="2648"/>
      <c r="H11" s="2648"/>
      <c r="I11" s="2648"/>
      <c r="J11" s="2648"/>
      <c r="K11" s="2648"/>
      <c r="L11" s="2648"/>
      <c r="M11" s="2648" t="s">
        <v>160</v>
      </c>
      <c r="N11" s="2648"/>
      <c r="O11" s="2648"/>
      <c r="P11" s="2885" t="str">
        <f>CONCATENATE('01 使用承認申請書'!D4)</f>
        <v/>
      </c>
      <c r="Q11" s="2886"/>
      <c r="R11" s="2886"/>
      <c r="S11" s="2886"/>
      <c r="T11" s="2886"/>
      <c r="U11" s="2886"/>
      <c r="V11" s="2886"/>
      <c r="W11" s="2886"/>
      <c r="X11" s="2886"/>
      <c r="Y11" s="2886"/>
      <c r="Z11" s="2886"/>
      <c r="AA11" s="2648"/>
      <c r="AB11" s="2648"/>
      <c r="AC11" s="2648"/>
      <c r="AD11" s="2648"/>
      <c r="AE11" s="2648"/>
      <c r="AF11" s="2648"/>
      <c r="AG11" s="2648"/>
      <c r="AH11" s="2648"/>
      <c r="AI11" s="2648"/>
      <c r="AJ11" s="2648"/>
      <c r="AK11" s="2648"/>
      <c r="AL11" s="2648"/>
      <c r="AM11" s="2648" t="s">
        <v>160</v>
      </c>
      <c r="AN11" s="2648"/>
      <c r="AO11" s="2648"/>
      <c r="AP11" s="2671" t="s">
        <v>287</v>
      </c>
      <c r="AQ11" s="2672"/>
      <c r="AR11" s="2672"/>
      <c r="AS11" s="2672"/>
      <c r="AT11" s="2672"/>
      <c r="AU11" s="2672"/>
      <c r="AV11" s="2672"/>
      <c r="AW11" s="2672"/>
      <c r="AX11" s="2672"/>
      <c r="AY11" s="2672"/>
      <c r="AZ11" s="2672"/>
    </row>
    <row r="12" spans="1:56" ht="28.5" customHeight="1">
      <c r="A12" s="2648"/>
      <c r="B12" s="2648"/>
      <c r="C12" s="2648"/>
      <c r="D12" s="2648"/>
      <c r="E12" s="2648"/>
      <c r="F12" s="2648"/>
      <c r="G12" s="2648"/>
      <c r="H12" s="2648"/>
      <c r="I12" s="2648"/>
      <c r="J12" s="2648"/>
      <c r="K12" s="2648"/>
      <c r="L12" s="2648"/>
      <c r="M12" s="2648" t="s">
        <v>262</v>
      </c>
      <c r="N12" s="2648"/>
      <c r="O12" s="2648"/>
      <c r="P12" s="2885" t="str">
        <f>CONCATENATE('01 使用承認申請書'!S6)</f>
        <v/>
      </c>
      <c r="Q12" s="2885"/>
      <c r="R12" s="2885"/>
      <c r="S12" s="2885"/>
      <c r="T12" s="2885"/>
      <c r="U12" s="2885"/>
      <c r="V12" s="2885"/>
      <c r="W12" s="2885"/>
      <c r="X12" s="2885"/>
      <c r="Y12" s="586"/>
      <c r="Z12" s="587"/>
      <c r="AA12" s="2648"/>
      <c r="AB12" s="2648"/>
      <c r="AC12" s="2648"/>
      <c r="AD12" s="2648"/>
      <c r="AE12" s="2648"/>
      <c r="AF12" s="2648"/>
      <c r="AG12" s="2648"/>
      <c r="AH12" s="2648"/>
      <c r="AI12" s="2648"/>
      <c r="AJ12" s="2648"/>
      <c r="AK12" s="2648"/>
      <c r="AL12" s="2648"/>
      <c r="AM12" s="2648" t="s">
        <v>262</v>
      </c>
      <c r="AN12" s="2648"/>
      <c r="AO12" s="2648"/>
      <c r="AP12" s="2671" t="s">
        <v>161</v>
      </c>
      <c r="AQ12" s="2671"/>
      <c r="AR12" s="2671"/>
      <c r="AS12" s="2671"/>
      <c r="AT12" s="2671"/>
      <c r="AU12" s="2671"/>
      <c r="AV12" s="2671"/>
      <c r="AW12" s="2671"/>
      <c r="AX12" s="2671"/>
      <c r="AY12" s="547"/>
      <c r="AZ12" s="584"/>
      <c r="BA12" s="26"/>
    </row>
    <row r="13" spans="1:56" ht="28.5" customHeight="1">
      <c r="A13" s="2648"/>
      <c r="B13" s="2648"/>
      <c r="C13" s="2648"/>
      <c r="D13" s="2648"/>
      <c r="E13" s="2648"/>
      <c r="F13" s="2648"/>
      <c r="G13" s="2648"/>
      <c r="H13" s="2648"/>
      <c r="I13" s="2648"/>
      <c r="J13" s="2648"/>
      <c r="K13" s="2648"/>
      <c r="L13" s="2648"/>
      <c r="M13" s="2648" t="s">
        <v>263</v>
      </c>
      <c r="N13" s="2648"/>
      <c r="O13" s="2648"/>
      <c r="P13" s="2885" t="str">
        <f>'01 使用承認申請書'!$E$8&amp;'01 使用承認申請書'!$R$8</f>
        <v/>
      </c>
      <c r="Q13" s="2885"/>
      <c r="R13" s="2885"/>
      <c r="S13" s="2885"/>
      <c r="T13" s="2885"/>
      <c r="U13" s="2885"/>
      <c r="V13" s="2885"/>
      <c r="W13" s="2885"/>
      <c r="X13" s="2885"/>
      <c r="Y13" s="2885"/>
      <c r="Z13" s="2885"/>
      <c r="AA13" s="2648"/>
      <c r="AB13" s="2648"/>
      <c r="AC13" s="2648"/>
      <c r="AD13" s="2648"/>
      <c r="AE13" s="2648"/>
      <c r="AF13" s="2648"/>
      <c r="AG13" s="2648"/>
      <c r="AH13" s="2648"/>
      <c r="AI13" s="2648"/>
      <c r="AJ13" s="2648"/>
      <c r="AK13" s="2648"/>
      <c r="AL13" s="2648"/>
      <c r="AM13" s="2648" t="s">
        <v>263</v>
      </c>
      <c r="AN13" s="2648"/>
      <c r="AO13" s="2648"/>
      <c r="AP13" s="2671" t="s">
        <v>58</v>
      </c>
      <c r="AQ13" s="2671"/>
      <c r="AR13" s="2671"/>
      <c r="AS13" s="2671"/>
      <c r="AT13" s="2671"/>
      <c r="AU13" s="2671"/>
      <c r="AV13" s="2671"/>
      <c r="AW13" s="2671"/>
      <c r="AX13" s="2671"/>
      <c r="AY13" s="2671"/>
      <c r="AZ13" s="2671"/>
      <c r="BA13" s="63">
        <v>1</v>
      </c>
      <c r="BB13" s="63" t="s">
        <v>381</v>
      </c>
      <c r="BC13" s="63" t="s">
        <v>1830</v>
      </c>
    </row>
    <row r="14" spans="1:56" ht="28.5" customHeight="1">
      <c r="A14" s="2648"/>
      <c r="B14" s="2648"/>
      <c r="C14" s="2648"/>
      <c r="D14" s="2648"/>
      <c r="E14" s="2648"/>
      <c r="F14" s="2648"/>
      <c r="G14" s="2648"/>
      <c r="H14" s="2648"/>
      <c r="I14" s="2648"/>
      <c r="J14" s="2648"/>
      <c r="K14" s="2648"/>
      <c r="L14" s="2648"/>
      <c r="M14" s="2648" t="s">
        <v>264</v>
      </c>
      <c r="N14" s="2648"/>
      <c r="O14" s="2648"/>
      <c r="P14" s="2887" t="str">
        <f>CONCATENATE('01 使用承認申請書'!D9)</f>
        <v/>
      </c>
      <c r="Q14" s="2887"/>
      <c r="R14" s="2887"/>
      <c r="S14" s="2887"/>
      <c r="T14" s="2887"/>
      <c r="U14" s="2887"/>
      <c r="V14" s="2887"/>
      <c r="W14" s="2887"/>
      <c r="X14" s="2887"/>
      <c r="Y14" s="2887"/>
      <c r="Z14" s="2887"/>
      <c r="AA14" s="2648"/>
      <c r="AB14" s="2648"/>
      <c r="AC14" s="2648"/>
      <c r="AD14" s="2648"/>
      <c r="AE14" s="2648"/>
      <c r="AF14" s="2648"/>
      <c r="AG14" s="2648"/>
      <c r="AH14" s="2648"/>
      <c r="AI14" s="2648"/>
      <c r="AJ14" s="2648"/>
      <c r="AK14" s="2648"/>
      <c r="AL14" s="2648"/>
      <c r="AM14" s="2648" t="s">
        <v>264</v>
      </c>
      <c r="AN14" s="2648"/>
      <c r="AO14" s="2648"/>
      <c r="AP14" s="2670" t="s">
        <v>2880</v>
      </c>
      <c r="AQ14" s="2670"/>
      <c r="AR14" s="2670"/>
      <c r="AS14" s="2670"/>
      <c r="AT14" s="2670"/>
      <c r="AU14" s="2670"/>
      <c r="AV14" s="2670"/>
      <c r="AW14" s="2670"/>
      <c r="AX14" s="2670"/>
      <c r="AY14" s="2670"/>
      <c r="AZ14" s="2670"/>
      <c r="BA14" s="63">
        <v>2</v>
      </c>
      <c r="BB14" s="63" t="s">
        <v>382</v>
      </c>
      <c r="BC14" s="63" t="s">
        <v>2959</v>
      </c>
    </row>
    <row r="15" spans="1:56" ht="14.25" customHeight="1">
      <c r="A15" s="2639"/>
      <c r="B15" s="2639"/>
      <c r="C15" s="2639"/>
      <c r="D15" s="2639"/>
      <c r="E15" s="2639"/>
      <c r="F15" s="2639"/>
      <c r="G15" s="2639"/>
      <c r="H15" s="2639"/>
      <c r="I15" s="2639"/>
      <c r="J15" s="2639"/>
      <c r="K15" s="2639"/>
      <c r="L15" s="2639"/>
      <c r="M15" s="2639"/>
      <c r="N15" s="2639"/>
      <c r="O15" s="2639"/>
      <c r="P15" s="2639"/>
      <c r="Q15" s="2639"/>
      <c r="R15" s="2639"/>
      <c r="S15" s="2639"/>
      <c r="T15" s="2639"/>
      <c r="U15" s="2639"/>
      <c r="V15" s="2639"/>
      <c r="W15" s="2639"/>
      <c r="X15" s="2639"/>
      <c r="Y15" s="2639"/>
      <c r="Z15" s="2639"/>
      <c r="AA15" s="2639"/>
      <c r="AB15" s="2639"/>
      <c r="AC15" s="2639"/>
      <c r="AD15" s="2639"/>
      <c r="AE15" s="2639"/>
      <c r="AF15" s="2639"/>
      <c r="AG15" s="2639"/>
      <c r="AH15" s="2639"/>
      <c r="AI15" s="2639"/>
      <c r="AJ15" s="2639"/>
      <c r="AK15" s="2639"/>
      <c r="AL15" s="2639"/>
      <c r="AM15" s="2639"/>
      <c r="AN15" s="2639"/>
      <c r="AO15" s="2639"/>
      <c r="AP15" s="2639"/>
      <c r="AQ15" s="2639"/>
      <c r="AR15" s="2639"/>
      <c r="AS15" s="2639"/>
      <c r="AT15" s="2639"/>
      <c r="AU15" s="2639"/>
      <c r="AV15" s="2639"/>
      <c r="AW15" s="2639"/>
      <c r="AX15" s="2639"/>
      <c r="AY15" s="2639"/>
      <c r="AZ15" s="2639"/>
      <c r="BA15" s="63">
        <v>3</v>
      </c>
      <c r="BB15" s="63" t="s">
        <v>495</v>
      </c>
      <c r="BC15" s="63" t="s">
        <v>2958</v>
      </c>
    </row>
    <row r="16" spans="1:56" ht="14.25" customHeight="1">
      <c r="A16" s="2648"/>
      <c r="B16" s="2648"/>
      <c r="C16" s="2648"/>
      <c r="D16" s="2648"/>
      <c r="E16" s="2648"/>
      <c r="F16" s="2648"/>
      <c r="G16" s="2648"/>
      <c r="H16" s="2648"/>
      <c r="I16" s="2648"/>
      <c r="J16" s="2648"/>
      <c r="K16" s="2648"/>
      <c r="L16" s="2648"/>
      <c r="M16" s="2648"/>
      <c r="N16" s="2648"/>
      <c r="O16" s="2648"/>
      <c r="P16" s="2648"/>
      <c r="Q16" s="2648"/>
      <c r="R16" s="2648"/>
      <c r="S16" s="2648"/>
      <c r="T16" s="2648"/>
      <c r="U16" s="2648"/>
      <c r="V16" s="2648"/>
      <c r="W16" s="2648"/>
      <c r="X16" s="2648"/>
      <c r="Y16" s="2648"/>
      <c r="Z16" s="2648"/>
      <c r="AA16" s="2648"/>
      <c r="AB16" s="2648"/>
      <c r="AC16" s="2648"/>
      <c r="AD16" s="2648"/>
      <c r="AE16" s="2648"/>
      <c r="AF16" s="2648"/>
      <c r="AG16" s="2648"/>
      <c r="AH16" s="2648"/>
      <c r="AI16" s="2648"/>
      <c r="AJ16" s="2648"/>
      <c r="AK16" s="2648"/>
      <c r="AL16" s="2648"/>
      <c r="AM16" s="2648"/>
      <c r="AN16" s="2648"/>
      <c r="AO16" s="2648"/>
      <c r="AP16" s="2648"/>
      <c r="AQ16" s="2648"/>
      <c r="AR16" s="2648"/>
      <c r="AS16" s="2648"/>
      <c r="AT16" s="2648"/>
      <c r="AU16" s="2648"/>
      <c r="AV16" s="2648"/>
      <c r="AW16" s="2648"/>
      <c r="AX16" s="2648"/>
      <c r="AY16" s="2648"/>
      <c r="AZ16" s="2648"/>
      <c r="BA16" s="63">
        <v>4</v>
      </c>
      <c r="BB16" s="63" t="s">
        <v>383</v>
      </c>
      <c r="BC16" s="63"/>
      <c r="BD16" s="61"/>
    </row>
    <row r="17" spans="1:56" ht="28.5" customHeight="1">
      <c r="A17" s="2648" t="s">
        <v>257</v>
      </c>
      <c r="B17" s="2648"/>
      <c r="C17" s="2648"/>
      <c r="D17" s="2648"/>
      <c r="E17" s="2648"/>
      <c r="F17" s="2648"/>
      <c r="G17" s="2889" t="s">
        <v>2884</v>
      </c>
      <c r="H17" s="2889"/>
      <c r="I17" s="2889"/>
      <c r="J17" s="2889"/>
      <c r="K17" s="2889"/>
      <c r="L17" s="2639" t="s">
        <v>2883</v>
      </c>
      <c r="M17" s="2639"/>
      <c r="N17" s="2639"/>
      <c r="O17" s="2639"/>
      <c r="P17" s="2639"/>
      <c r="Q17" s="2639"/>
      <c r="R17" s="2639"/>
      <c r="S17" s="2639"/>
      <c r="T17" s="2639"/>
      <c r="U17" s="2639"/>
      <c r="V17" s="2639"/>
      <c r="W17" s="2639"/>
      <c r="X17" s="2639"/>
      <c r="Y17" s="2639"/>
      <c r="Z17" s="581" t="b">
        <v>0</v>
      </c>
      <c r="AA17" s="2648" t="s">
        <v>257</v>
      </c>
      <c r="AB17" s="2648"/>
      <c r="AC17" s="2648"/>
      <c r="AD17" s="2648"/>
      <c r="AE17" s="2648"/>
      <c r="AF17" s="2648"/>
      <c r="AG17" s="585" t="s">
        <v>2956</v>
      </c>
      <c r="AH17" s="2888" t="s">
        <v>288</v>
      </c>
      <c r="AI17" s="2888"/>
      <c r="AJ17" s="2888"/>
      <c r="AK17" s="512"/>
      <c r="AL17" s="2639" t="s">
        <v>289</v>
      </c>
      <c r="AM17" s="2639"/>
      <c r="AN17" s="2639"/>
      <c r="AO17" s="2639"/>
      <c r="AP17" s="2639"/>
      <c r="AQ17" s="2639"/>
      <c r="AR17" s="2639"/>
      <c r="AS17" s="2639"/>
      <c r="AT17" s="2639"/>
      <c r="AU17" s="2639"/>
      <c r="AV17" s="2639"/>
      <c r="AW17" s="2639"/>
      <c r="AX17" s="2639"/>
      <c r="AY17" s="2639"/>
      <c r="AZ17" s="512"/>
      <c r="BA17" s="63">
        <v>5</v>
      </c>
      <c r="BB17" s="63" t="s">
        <v>432</v>
      </c>
      <c r="BC17" s="63"/>
      <c r="BD17" s="61"/>
    </row>
    <row r="18" spans="1:56" ht="28.5" customHeight="1">
      <c r="A18" s="2648"/>
      <c r="B18" s="2648"/>
      <c r="C18" s="2648"/>
      <c r="D18" s="2648"/>
      <c r="E18" s="2648"/>
      <c r="F18" s="2648"/>
      <c r="G18" s="2889" t="s">
        <v>290</v>
      </c>
      <c r="H18" s="2889"/>
      <c r="I18" s="2889"/>
      <c r="J18" s="2889"/>
      <c r="K18" s="2889"/>
      <c r="L18" s="2639"/>
      <c r="M18" s="2639"/>
      <c r="N18" s="2639"/>
      <c r="O18" s="2639"/>
      <c r="P18" s="2639"/>
      <c r="Q18" s="2639"/>
      <c r="R18" s="2639"/>
      <c r="S18" s="2639"/>
      <c r="T18" s="2639"/>
      <c r="U18" s="2639"/>
      <c r="V18" s="2639"/>
      <c r="W18" s="2639"/>
      <c r="X18" s="2639"/>
      <c r="Y18" s="2639"/>
      <c r="Z18" s="581" t="b">
        <v>0</v>
      </c>
      <c r="AA18" s="2648"/>
      <c r="AB18" s="2648"/>
      <c r="AC18" s="2648"/>
      <c r="AD18" s="2648"/>
      <c r="AE18" s="2648"/>
      <c r="AF18" s="2648"/>
      <c r="AG18" s="512" t="s">
        <v>2957</v>
      </c>
      <c r="AH18" s="2648" t="s">
        <v>290</v>
      </c>
      <c r="AI18" s="2648"/>
      <c r="AJ18" s="2648"/>
      <c r="AK18" s="512"/>
      <c r="AL18" s="2639"/>
      <c r="AM18" s="2639"/>
      <c r="AN18" s="2639"/>
      <c r="AO18" s="2639"/>
      <c r="AP18" s="2639"/>
      <c r="AQ18" s="2639"/>
      <c r="AR18" s="2639"/>
      <c r="AS18" s="2639"/>
      <c r="AT18" s="2639"/>
      <c r="AU18" s="2639"/>
      <c r="AV18" s="2639"/>
      <c r="AW18" s="2639"/>
      <c r="AX18" s="2639"/>
      <c r="AY18" s="2639"/>
      <c r="AZ18" s="512"/>
      <c r="BA18" s="63">
        <v>6</v>
      </c>
      <c r="BB18" s="63" t="s">
        <v>496</v>
      </c>
      <c r="BC18" s="63"/>
      <c r="BD18" s="61"/>
    </row>
    <row r="19" spans="1:56" ht="14.25" customHeight="1">
      <c r="A19" s="525"/>
      <c r="B19" s="525"/>
      <c r="C19" s="525"/>
      <c r="D19" s="525"/>
      <c r="E19" s="525"/>
      <c r="F19" s="525"/>
      <c r="G19" s="512"/>
      <c r="H19" s="525"/>
      <c r="I19" s="525"/>
      <c r="J19" s="525"/>
      <c r="K19" s="512"/>
      <c r="L19" s="582"/>
      <c r="M19" s="582"/>
      <c r="N19" s="582"/>
      <c r="O19" s="582"/>
      <c r="P19" s="582"/>
      <c r="Q19" s="582"/>
      <c r="R19" s="582"/>
      <c r="S19" s="582"/>
      <c r="T19" s="582"/>
      <c r="U19" s="582"/>
      <c r="V19" s="582"/>
      <c r="W19" s="582"/>
      <c r="X19" s="582"/>
      <c r="Y19" s="582"/>
      <c r="Z19" s="512"/>
      <c r="AA19" s="525"/>
      <c r="AB19" s="525"/>
      <c r="AC19" s="525"/>
      <c r="AD19" s="525"/>
      <c r="AE19" s="525"/>
      <c r="AF19" s="525"/>
      <c r="AG19" s="512"/>
      <c r="AH19" s="525"/>
      <c r="AI19" s="525"/>
      <c r="AJ19" s="525"/>
      <c r="AK19" s="512"/>
      <c r="AL19" s="582"/>
      <c r="AM19" s="582"/>
      <c r="AN19" s="582"/>
      <c r="AO19" s="582"/>
      <c r="AP19" s="582"/>
      <c r="AQ19" s="582"/>
      <c r="AR19" s="582"/>
      <c r="AS19" s="582"/>
      <c r="AT19" s="582"/>
      <c r="AU19" s="582"/>
      <c r="AV19" s="582"/>
      <c r="AW19" s="582"/>
      <c r="AX19" s="582"/>
      <c r="AY19" s="582"/>
      <c r="AZ19" s="512"/>
      <c r="BA19" s="63">
        <v>7</v>
      </c>
      <c r="BB19" s="63" t="s">
        <v>492</v>
      </c>
      <c r="BC19" s="63"/>
      <c r="BD19" s="61"/>
    </row>
    <row r="20" spans="1:56" ht="14.25" customHeight="1">
      <c r="A20" s="2648" t="s">
        <v>158</v>
      </c>
      <c r="B20" s="2648"/>
      <c r="C20" s="2648"/>
      <c r="D20" s="2648"/>
      <c r="E20" s="2648"/>
      <c r="F20" s="2648"/>
      <c r="G20" s="2648"/>
      <c r="H20" s="2648"/>
      <c r="I20" s="2648"/>
      <c r="J20" s="2648"/>
      <c r="K20" s="2648"/>
      <c r="L20" s="2648"/>
      <c r="M20" s="2648"/>
      <c r="N20" s="2648"/>
      <c r="O20" s="2648"/>
      <c r="P20" s="2648"/>
      <c r="Q20" s="2648"/>
      <c r="R20" s="2648"/>
      <c r="S20" s="2648"/>
      <c r="T20" s="2648"/>
      <c r="U20" s="2648"/>
      <c r="V20" s="2648"/>
      <c r="W20" s="2648"/>
      <c r="X20" s="2648"/>
      <c r="Y20" s="2648"/>
      <c r="Z20" s="2648"/>
      <c r="AA20" s="2648" t="s">
        <v>158</v>
      </c>
      <c r="AB20" s="2648"/>
      <c r="AC20" s="2648"/>
      <c r="AD20" s="2648"/>
      <c r="AE20" s="2648"/>
      <c r="AF20" s="2648"/>
      <c r="AG20" s="2648"/>
      <c r="AH20" s="2648"/>
      <c r="AI20" s="2648"/>
      <c r="AJ20" s="2648"/>
      <c r="AK20" s="2648"/>
      <c r="AL20" s="2648"/>
      <c r="AM20" s="2648"/>
      <c r="AN20" s="2648"/>
      <c r="AO20" s="2648"/>
      <c r="AP20" s="2648"/>
      <c r="AQ20" s="2648"/>
      <c r="AR20" s="2648"/>
      <c r="AS20" s="2648"/>
      <c r="AT20" s="2648"/>
      <c r="AU20" s="2648"/>
      <c r="AV20" s="2648"/>
      <c r="AW20" s="2648"/>
      <c r="AX20" s="2648"/>
      <c r="AY20" s="2648"/>
      <c r="AZ20" s="2648"/>
      <c r="BA20" s="63">
        <v>8</v>
      </c>
      <c r="BB20" s="63"/>
      <c r="BC20" s="63"/>
      <c r="BD20" s="61"/>
    </row>
    <row r="21" spans="1:56" ht="14.25" customHeight="1">
      <c r="A21" s="525"/>
      <c r="B21" s="525"/>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5"/>
      <c r="AY21" s="525"/>
      <c r="AZ21" s="525"/>
      <c r="BA21" s="63">
        <v>9</v>
      </c>
      <c r="BB21" s="63"/>
      <c r="BC21" s="63"/>
      <c r="BD21" s="61"/>
    </row>
    <row r="22" spans="1:56" ht="28.5" customHeight="1">
      <c r="A22" s="2639" t="s">
        <v>291</v>
      </c>
      <c r="B22" s="2639"/>
      <c r="C22" s="2639"/>
      <c r="D22" s="2639"/>
      <c r="E22" s="2639"/>
      <c r="F22" s="2639"/>
      <c r="G22" s="2639"/>
      <c r="H22" s="2639"/>
      <c r="I22" s="2639"/>
      <c r="J22" s="2639"/>
      <c r="K22" s="2639"/>
      <c r="L22" s="2639"/>
      <c r="M22" s="2639"/>
      <c r="N22" s="2639"/>
      <c r="O22" s="2639"/>
      <c r="P22" s="2639"/>
      <c r="Q22" s="2639"/>
      <c r="R22" s="2639"/>
      <c r="S22" s="2639"/>
      <c r="T22" s="2639"/>
      <c r="U22" s="2639"/>
      <c r="V22" s="2639"/>
      <c r="W22" s="2639"/>
      <c r="X22" s="2639"/>
      <c r="Y22" s="2639"/>
      <c r="Z22" s="2639"/>
      <c r="AA22" s="2639" t="s">
        <v>291</v>
      </c>
      <c r="AB22" s="2639"/>
      <c r="AC22" s="2639"/>
      <c r="AD22" s="2639"/>
      <c r="AE22" s="2639"/>
      <c r="AF22" s="2639"/>
      <c r="AG22" s="2639"/>
      <c r="AH22" s="2639"/>
      <c r="AI22" s="2639"/>
      <c r="AJ22" s="2639"/>
      <c r="AK22" s="2639"/>
      <c r="AL22" s="2639"/>
      <c r="AM22" s="2639"/>
      <c r="AN22" s="2639"/>
      <c r="AO22" s="2639"/>
      <c r="AP22" s="2639"/>
      <c r="AQ22" s="2639"/>
      <c r="AR22" s="2639"/>
      <c r="AS22" s="2639"/>
      <c r="AT22" s="2639"/>
      <c r="AU22" s="2639"/>
      <c r="AV22" s="2639"/>
      <c r="AW22" s="2639"/>
      <c r="AX22" s="2639"/>
      <c r="AY22" s="2639"/>
      <c r="AZ22" s="2639"/>
      <c r="BA22" s="63">
        <v>10</v>
      </c>
      <c r="BB22" s="63"/>
      <c r="BC22" s="63"/>
      <c r="BD22" s="61"/>
    </row>
    <row r="23" spans="1:56" ht="28.5" customHeight="1">
      <c r="A23" s="2890"/>
      <c r="B23" s="2890"/>
      <c r="C23" s="2890"/>
      <c r="D23" s="2890"/>
      <c r="E23" s="525" t="s">
        <v>16</v>
      </c>
      <c r="F23" s="583"/>
      <c r="G23" s="525" t="s">
        <v>15</v>
      </c>
      <c r="H23" s="583"/>
      <c r="I23" s="525" t="s">
        <v>159</v>
      </c>
      <c r="J23" s="525" t="s">
        <v>42</v>
      </c>
      <c r="K23" s="583"/>
      <c r="L23" s="525" t="s">
        <v>54</v>
      </c>
      <c r="M23" s="525" t="s">
        <v>292</v>
      </c>
      <c r="N23" s="583"/>
      <c r="O23" s="525" t="s">
        <v>15</v>
      </c>
      <c r="P23" s="583"/>
      <c r="Q23" s="525" t="s">
        <v>159</v>
      </c>
      <c r="R23" s="525" t="s">
        <v>92</v>
      </c>
      <c r="S23" s="583"/>
      <c r="T23" s="525" t="s">
        <v>54</v>
      </c>
      <c r="U23" s="525"/>
      <c r="V23" s="525"/>
      <c r="W23" s="525"/>
      <c r="X23" s="525"/>
      <c r="Y23" s="2648"/>
      <c r="Z23" s="2648"/>
      <c r="AA23" s="2884" t="s">
        <v>3088</v>
      </c>
      <c r="AB23" s="2884"/>
      <c r="AC23" s="2884"/>
      <c r="AD23" s="2884"/>
      <c r="AE23" s="525" t="s">
        <v>16</v>
      </c>
      <c r="AF23" s="547" t="s">
        <v>286</v>
      </c>
      <c r="AG23" s="525" t="s">
        <v>15</v>
      </c>
      <c r="AH23" s="547" t="s">
        <v>2833</v>
      </c>
      <c r="AI23" s="525" t="s">
        <v>159</v>
      </c>
      <c r="AJ23" s="525" t="s">
        <v>293</v>
      </c>
      <c r="AK23" s="547" t="s">
        <v>2877</v>
      </c>
      <c r="AL23" s="525" t="s">
        <v>56</v>
      </c>
      <c r="AM23" s="525" t="s">
        <v>254</v>
      </c>
      <c r="AN23" s="547" t="s">
        <v>39</v>
      </c>
      <c r="AO23" s="525" t="s">
        <v>15</v>
      </c>
      <c r="AP23" s="547" t="s">
        <v>2881</v>
      </c>
      <c r="AQ23" s="525" t="s">
        <v>159</v>
      </c>
      <c r="AR23" s="525" t="s">
        <v>293</v>
      </c>
      <c r="AS23" s="547" t="s">
        <v>2878</v>
      </c>
      <c r="AT23" s="525" t="s">
        <v>56</v>
      </c>
      <c r="AU23" s="525"/>
      <c r="AV23" s="525"/>
      <c r="AW23" s="525"/>
      <c r="AX23" s="525"/>
      <c r="AY23" s="2648"/>
      <c r="AZ23" s="2648"/>
      <c r="BA23" s="63">
        <v>11</v>
      </c>
      <c r="BB23" s="63"/>
      <c r="BC23" s="63"/>
      <c r="BD23" s="61"/>
    </row>
    <row r="24" spans="1:56" ht="28.5" customHeight="1">
      <c r="A24" s="2639" t="s">
        <v>294</v>
      </c>
      <c r="B24" s="2639"/>
      <c r="C24" s="2639"/>
      <c r="D24" s="2639"/>
      <c r="E24" s="2639"/>
      <c r="F24" s="2639"/>
      <c r="G24" s="2639"/>
      <c r="H24" s="2639"/>
      <c r="I24" s="2639"/>
      <c r="J24" s="2639"/>
      <c r="K24" s="2639"/>
      <c r="L24" s="2639"/>
      <c r="M24" s="2639"/>
      <c r="N24" s="2639"/>
      <c r="O24" s="2639"/>
      <c r="P24" s="2639"/>
      <c r="Q24" s="2639"/>
      <c r="R24" s="2639"/>
      <c r="S24" s="2639"/>
      <c r="T24" s="2639"/>
      <c r="U24" s="2639"/>
      <c r="V24" s="2639"/>
      <c r="W24" s="2639"/>
      <c r="X24" s="2639"/>
      <c r="Y24" s="2639"/>
      <c r="Z24" s="2639"/>
      <c r="AA24" s="2639" t="s">
        <v>294</v>
      </c>
      <c r="AB24" s="2639"/>
      <c r="AC24" s="2639"/>
      <c r="AD24" s="2639"/>
      <c r="AE24" s="2639"/>
      <c r="AF24" s="2639"/>
      <c r="AG24" s="2639"/>
      <c r="AH24" s="2639"/>
      <c r="AI24" s="2639"/>
      <c r="AJ24" s="2639"/>
      <c r="AK24" s="2639"/>
      <c r="AL24" s="2639"/>
      <c r="AM24" s="2639"/>
      <c r="AN24" s="2639"/>
      <c r="AO24" s="2639"/>
      <c r="AP24" s="2639"/>
      <c r="AQ24" s="2639"/>
      <c r="AR24" s="2639"/>
      <c r="AS24" s="2639"/>
      <c r="AT24" s="2639"/>
      <c r="AU24" s="2639"/>
      <c r="AV24" s="2639"/>
      <c r="AW24" s="2639"/>
      <c r="AX24" s="2639"/>
      <c r="AY24" s="2639"/>
      <c r="AZ24" s="2639"/>
      <c r="BA24" s="63">
        <v>12</v>
      </c>
      <c r="BB24" s="63"/>
      <c r="BC24" s="63"/>
      <c r="BD24" s="61"/>
    </row>
    <row r="25" spans="1:56" ht="28.5" customHeight="1">
      <c r="A25" s="2890"/>
      <c r="B25" s="2890"/>
      <c r="C25" s="2890"/>
      <c r="D25" s="2890"/>
      <c r="E25" s="525" t="s">
        <v>16</v>
      </c>
      <c r="F25" s="583"/>
      <c r="G25" s="525" t="s">
        <v>15</v>
      </c>
      <c r="H25" s="583"/>
      <c r="I25" s="525" t="s">
        <v>159</v>
      </c>
      <c r="J25" s="525" t="s">
        <v>92</v>
      </c>
      <c r="K25" s="583"/>
      <c r="L25" s="525" t="s">
        <v>56</v>
      </c>
      <c r="M25" s="525" t="s">
        <v>292</v>
      </c>
      <c r="N25" s="583"/>
      <c r="O25" s="525" t="s">
        <v>15</v>
      </c>
      <c r="P25" s="583"/>
      <c r="Q25" s="525" t="s">
        <v>159</v>
      </c>
      <c r="R25" s="525" t="s">
        <v>293</v>
      </c>
      <c r="S25" s="583"/>
      <c r="T25" s="525" t="s">
        <v>41</v>
      </c>
      <c r="U25" s="525"/>
      <c r="V25" s="525"/>
      <c r="W25" s="525"/>
      <c r="X25" s="525"/>
      <c r="Y25" s="2648"/>
      <c r="Z25" s="2648"/>
      <c r="AA25" s="2884" t="s">
        <v>3088</v>
      </c>
      <c r="AB25" s="2884"/>
      <c r="AC25" s="2884"/>
      <c r="AD25" s="2884"/>
      <c r="AE25" s="525" t="s">
        <v>16</v>
      </c>
      <c r="AF25" s="547" t="s">
        <v>481</v>
      </c>
      <c r="AG25" s="525" t="s">
        <v>15</v>
      </c>
      <c r="AH25" s="547" t="s">
        <v>429</v>
      </c>
      <c r="AI25" s="525" t="s">
        <v>159</v>
      </c>
      <c r="AJ25" s="525" t="s">
        <v>42</v>
      </c>
      <c r="AK25" s="547" t="s">
        <v>484</v>
      </c>
      <c r="AL25" s="525" t="s">
        <v>295</v>
      </c>
      <c r="AM25" s="525" t="s">
        <v>141</v>
      </c>
      <c r="AN25" s="547" t="s">
        <v>481</v>
      </c>
      <c r="AO25" s="525" t="s">
        <v>15</v>
      </c>
      <c r="AP25" s="547" t="s">
        <v>430</v>
      </c>
      <c r="AQ25" s="525" t="s">
        <v>159</v>
      </c>
      <c r="AR25" s="525" t="s">
        <v>92</v>
      </c>
      <c r="AS25" s="547" t="s">
        <v>485</v>
      </c>
      <c r="AT25" s="525" t="s">
        <v>295</v>
      </c>
      <c r="AU25" s="525"/>
      <c r="AV25" s="525"/>
      <c r="AW25" s="525"/>
      <c r="AX25" s="525"/>
      <c r="AY25" s="2648"/>
      <c r="AZ25" s="2648"/>
      <c r="BA25" s="63">
        <v>13</v>
      </c>
      <c r="BB25" s="63"/>
      <c r="BC25" s="63"/>
    </row>
    <row r="26" spans="1:56" ht="28.5" customHeight="1">
      <c r="A26" s="2639" t="s">
        <v>296</v>
      </c>
      <c r="B26" s="2639"/>
      <c r="C26" s="2639"/>
      <c r="D26" s="2639"/>
      <c r="E26" s="2639"/>
      <c r="F26" s="2639"/>
      <c r="G26" s="2639"/>
      <c r="H26" s="2639"/>
      <c r="I26" s="2639"/>
      <c r="J26" s="2639"/>
      <c r="K26" s="2639"/>
      <c r="L26" s="2639"/>
      <c r="M26" s="2639"/>
      <c r="N26" s="2639"/>
      <c r="O26" s="2639"/>
      <c r="P26" s="2639"/>
      <c r="Q26" s="2639"/>
      <c r="R26" s="2639"/>
      <c r="S26" s="2639"/>
      <c r="T26" s="2639"/>
      <c r="U26" s="2639"/>
      <c r="V26" s="2639"/>
      <c r="W26" s="2639"/>
      <c r="X26" s="2639"/>
      <c r="Y26" s="2639"/>
      <c r="Z26" s="2639"/>
      <c r="AA26" s="2639" t="s">
        <v>296</v>
      </c>
      <c r="AB26" s="2639"/>
      <c r="AC26" s="2639"/>
      <c r="AD26" s="2639"/>
      <c r="AE26" s="2639"/>
      <c r="AF26" s="2639"/>
      <c r="AG26" s="2639"/>
      <c r="AH26" s="2639"/>
      <c r="AI26" s="2639"/>
      <c r="AJ26" s="2639"/>
      <c r="AK26" s="2639"/>
      <c r="AL26" s="2639"/>
      <c r="AM26" s="2639"/>
      <c r="AN26" s="2639"/>
      <c r="AO26" s="2639"/>
      <c r="AP26" s="2639"/>
      <c r="AQ26" s="2639"/>
      <c r="AR26" s="2639"/>
      <c r="AS26" s="2639"/>
      <c r="AT26" s="2639"/>
      <c r="AU26" s="2639"/>
      <c r="AV26" s="2639"/>
      <c r="AW26" s="2639"/>
      <c r="AX26" s="2639"/>
      <c r="AY26" s="2639"/>
      <c r="AZ26" s="2639"/>
      <c r="BA26" s="63">
        <v>14</v>
      </c>
      <c r="BB26" s="63"/>
      <c r="BC26" s="63"/>
    </row>
    <row r="27" spans="1:56" ht="28.5" customHeight="1">
      <c r="A27" s="2893"/>
      <c r="B27" s="2893"/>
      <c r="C27" s="2893"/>
      <c r="D27" s="2893"/>
      <c r="E27" s="525" t="s">
        <v>32</v>
      </c>
      <c r="F27" s="2648"/>
      <c r="G27" s="2648"/>
      <c r="H27" s="2648"/>
      <c r="I27" s="2648"/>
      <c r="J27" s="2648"/>
      <c r="K27" s="2648"/>
      <c r="L27" s="2648"/>
      <c r="M27" s="2648"/>
      <c r="N27" s="2648"/>
      <c r="O27" s="2648"/>
      <c r="P27" s="2648"/>
      <c r="Q27" s="2648"/>
      <c r="R27" s="2648"/>
      <c r="S27" s="2648"/>
      <c r="T27" s="2648"/>
      <c r="U27" s="2648"/>
      <c r="V27" s="2648"/>
      <c r="W27" s="2648"/>
      <c r="X27" s="2648"/>
      <c r="Y27" s="2648"/>
      <c r="Z27" s="2648"/>
      <c r="AA27" s="2884" t="s">
        <v>431</v>
      </c>
      <c r="AB27" s="2884"/>
      <c r="AC27" s="2884"/>
      <c r="AD27" s="2884"/>
      <c r="AE27" s="525" t="s">
        <v>32</v>
      </c>
      <c r="AF27" s="2648"/>
      <c r="AG27" s="2648"/>
      <c r="AH27" s="2648"/>
      <c r="AI27" s="2648"/>
      <c r="AJ27" s="2648"/>
      <c r="AK27" s="2648"/>
      <c r="AL27" s="2648"/>
      <c r="AM27" s="2648"/>
      <c r="AN27" s="2648"/>
      <c r="AO27" s="2648"/>
      <c r="AP27" s="2648"/>
      <c r="AQ27" s="2648"/>
      <c r="AR27" s="2648"/>
      <c r="AS27" s="2648"/>
      <c r="AT27" s="2648"/>
      <c r="AU27" s="2648"/>
      <c r="AV27" s="2648"/>
      <c r="AW27" s="2648"/>
      <c r="AX27" s="2648"/>
      <c r="AY27" s="2648"/>
      <c r="AZ27" s="2648"/>
      <c r="BA27" s="63">
        <v>15</v>
      </c>
      <c r="BB27" s="63"/>
      <c r="BC27" s="63"/>
    </row>
    <row r="28" spans="1:56" ht="28.5" customHeight="1">
      <c r="A28" s="2639" t="s">
        <v>297</v>
      </c>
      <c r="B28" s="2639"/>
      <c r="C28" s="2639"/>
      <c r="D28" s="2639"/>
      <c r="E28" s="2639"/>
      <c r="F28" s="2639"/>
      <c r="G28" s="2639"/>
      <c r="H28" s="2639"/>
      <c r="I28" s="2639"/>
      <c r="J28" s="2639"/>
      <c r="K28" s="2639"/>
      <c r="L28" s="2639"/>
      <c r="M28" s="2639"/>
      <c r="N28" s="2639"/>
      <c r="O28" s="2639"/>
      <c r="P28" s="2639"/>
      <c r="Q28" s="2639"/>
      <c r="R28" s="2639"/>
      <c r="S28" s="2639"/>
      <c r="T28" s="2639"/>
      <c r="U28" s="2639"/>
      <c r="V28" s="2639"/>
      <c r="W28" s="2639"/>
      <c r="X28" s="2639"/>
      <c r="Y28" s="2639"/>
      <c r="Z28" s="2639"/>
      <c r="AA28" s="2639" t="s">
        <v>297</v>
      </c>
      <c r="AB28" s="2639"/>
      <c r="AC28" s="2639"/>
      <c r="AD28" s="2639"/>
      <c r="AE28" s="2639"/>
      <c r="AF28" s="2639"/>
      <c r="AG28" s="2639"/>
      <c r="AH28" s="2639"/>
      <c r="AI28" s="2639"/>
      <c r="AJ28" s="2639"/>
      <c r="AK28" s="2639"/>
      <c r="AL28" s="2639"/>
      <c r="AM28" s="2639"/>
      <c r="AN28" s="2639"/>
      <c r="AO28" s="2639"/>
      <c r="AP28" s="2639"/>
      <c r="AQ28" s="2639"/>
      <c r="AR28" s="2639"/>
      <c r="AS28" s="2639"/>
      <c r="AT28" s="2639"/>
      <c r="AU28" s="2639"/>
      <c r="AV28" s="2639"/>
      <c r="AW28" s="2639"/>
      <c r="AX28" s="2639"/>
      <c r="AY28" s="2639"/>
      <c r="AZ28" s="2639"/>
      <c r="BA28" s="63">
        <v>16</v>
      </c>
      <c r="BB28" s="63"/>
      <c r="BC28" s="63"/>
    </row>
    <row r="29" spans="1:56" ht="159.94999999999999" customHeight="1">
      <c r="A29" s="2891"/>
      <c r="B29" s="2891"/>
      <c r="C29" s="2891"/>
      <c r="D29" s="2891"/>
      <c r="E29" s="2891"/>
      <c r="F29" s="2891"/>
      <c r="G29" s="2891"/>
      <c r="H29" s="2891"/>
      <c r="I29" s="2891"/>
      <c r="J29" s="2891"/>
      <c r="K29" s="2891"/>
      <c r="L29" s="2891"/>
      <c r="M29" s="2891"/>
      <c r="N29" s="2891"/>
      <c r="O29" s="2891"/>
      <c r="P29" s="2891"/>
      <c r="Q29" s="2891"/>
      <c r="R29" s="2891"/>
      <c r="S29" s="2891"/>
      <c r="T29" s="2891"/>
      <c r="U29" s="2891"/>
      <c r="V29" s="2891"/>
      <c r="W29" s="2891"/>
      <c r="X29" s="2891"/>
      <c r="Y29" s="2891"/>
      <c r="Z29" s="2891"/>
      <c r="AA29" s="2892" t="s">
        <v>298</v>
      </c>
      <c r="AB29" s="2892"/>
      <c r="AC29" s="2892"/>
      <c r="AD29" s="2892"/>
      <c r="AE29" s="2892"/>
      <c r="AF29" s="2892"/>
      <c r="AG29" s="2892"/>
      <c r="AH29" s="2892"/>
      <c r="AI29" s="2892"/>
      <c r="AJ29" s="2892"/>
      <c r="AK29" s="2892"/>
      <c r="AL29" s="2892"/>
      <c r="AM29" s="2892"/>
      <c r="AN29" s="2892"/>
      <c r="AO29" s="2892"/>
      <c r="AP29" s="2892"/>
      <c r="AQ29" s="2892"/>
      <c r="AR29" s="2892"/>
      <c r="AS29" s="2892"/>
      <c r="AT29" s="2892"/>
      <c r="AU29" s="2892"/>
      <c r="AV29" s="2892"/>
      <c r="AW29" s="2892"/>
      <c r="AX29" s="2892"/>
      <c r="AY29" s="2892"/>
      <c r="AZ29" s="2892"/>
      <c r="BA29" s="63">
        <v>17</v>
      </c>
      <c r="BB29" s="63"/>
      <c r="BC29" s="63"/>
    </row>
    <row r="30" spans="1:56" ht="14.25" customHeight="1">
      <c r="A30" s="38"/>
      <c r="B30" s="27"/>
      <c r="C30" s="27"/>
      <c r="D30" s="27"/>
      <c r="E30" s="27"/>
      <c r="F30" s="27"/>
      <c r="G30" s="27"/>
      <c r="H30" s="27"/>
      <c r="I30" s="27"/>
      <c r="J30" s="39"/>
      <c r="K30" s="39"/>
      <c r="L30" s="39"/>
      <c r="M30" s="39"/>
      <c r="N30" s="39"/>
      <c r="O30" s="39"/>
      <c r="P30" s="39"/>
      <c r="Q30" s="39"/>
      <c r="R30" s="39"/>
      <c r="S30" s="39"/>
      <c r="T30" s="39"/>
      <c r="U30" s="39"/>
      <c r="V30" s="39"/>
      <c r="W30" s="39"/>
      <c r="X30" s="39"/>
      <c r="Y30" s="39"/>
      <c r="Z30" s="39"/>
      <c r="AA30" s="38"/>
      <c r="AB30" s="27"/>
      <c r="AC30" s="27"/>
      <c r="AD30" s="27"/>
      <c r="AE30" s="27"/>
      <c r="AF30" s="27"/>
      <c r="AG30" s="27"/>
      <c r="AH30" s="27"/>
      <c r="AI30" s="27"/>
      <c r="AJ30" s="39"/>
      <c r="AK30" s="39"/>
      <c r="AL30" s="39"/>
      <c r="AM30" s="39"/>
      <c r="AN30" s="39"/>
      <c r="AO30" s="39"/>
      <c r="AP30" s="39"/>
      <c r="AQ30" s="39"/>
      <c r="AR30" s="39"/>
      <c r="AS30" s="39"/>
      <c r="AT30" s="39"/>
      <c r="AU30" s="39"/>
      <c r="AV30" s="39"/>
      <c r="AW30" s="39"/>
      <c r="AX30" s="39"/>
      <c r="AY30" s="39"/>
      <c r="AZ30" s="39"/>
      <c r="BA30" s="63">
        <v>18</v>
      </c>
      <c r="BB30" s="63"/>
      <c r="BC30" s="63"/>
    </row>
    <row r="31" spans="1:56" ht="14.25">
      <c r="A31" s="29"/>
      <c r="B31" s="29"/>
      <c r="C31" s="29"/>
      <c r="D31" s="29"/>
      <c r="E31" s="29"/>
      <c r="F31" s="29"/>
      <c r="G31" s="29"/>
      <c r="H31" s="29"/>
      <c r="I31" s="29"/>
      <c r="J31" s="30"/>
      <c r="K31" s="30"/>
      <c r="L31" s="30"/>
      <c r="M31" s="30"/>
      <c r="N31" s="30"/>
      <c r="O31" s="30"/>
      <c r="P31" s="30"/>
      <c r="Q31" s="30"/>
      <c r="R31" s="30"/>
      <c r="S31" s="30"/>
      <c r="T31" s="30"/>
      <c r="U31" s="30"/>
      <c r="V31" s="30"/>
      <c r="W31" s="30"/>
      <c r="X31" s="30"/>
      <c r="Y31" s="30"/>
      <c r="Z31" s="30"/>
      <c r="AA31" s="29"/>
      <c r="AB31" s="29"/>
      <c r="AC31" s="29"/>
      <c r="AD31" s="29"/>
      <c r="AE31" s="29"/>
      <c r="AF31" s="29"/>
      <c r="AG31" s="29"/>
      <c r="AH31" s="29"/>
      <c r="AI31" s="29"/>
      <c r="AJ31" s="30"/>
      <c r="AK31" s="30"/>
      <c r="AL31" s="30"/>
      <c r="AM31" s="30"/>
      <c r="AN31" s="30"/>
      <c r="AO31" s="30"/>
      <c r="AP31" s="30"/>
      <c r="AQ31" s="30"/>
      <c r="AR31" s="30"/>
      <c r="AS31" s="30"/>
      <c r="AT31" s="30"/>
      <c r="AU31" s="30"/>
      <c r="AV31" s="30"/>
      <c r="AW31" s="30"/>
      <c r="AX31" s="30"/>
      <c r="AY31" s="30"/>
      <c r="AZ31" s="30"/>
      <c r="BA31" s="63">
        <v>19</v>
      </c>
      <c r="BB31" s="63"/>
      <c r="BC31" s="63"/>
    </row>
    <row r="32" spans="1:56" ht="14.25">
      <c r="A32" s="29"/>
      <c r="B32" s="29"/>
      <c r="C32" s="29"/>
      <c r="D32" s="29"/>
      <c r="E32" s="29"/>
      <c r="F32" s="29"/>
      <c r="G32" s="29"/>
      <c r="H32" s="29"/>
      <c r="I32" s="29"/>
      <c r="J32" s="30"/>
      <c r="K32" s="30"/>
      <c r="L32" s="30"/>
      <c r="M32" s="30"/>
      <c r="N32" s="30"/>
      <c r="O32" s="30"/>
      <c r="P32" s="30"/>
      <c r="Q32" s="30"/>
      <c r="R32" s="30"/>
      <c r="S32" s="30"/>
      <c r="T32" s="30"/>
      <c r="U32" s="30"/>
      <c r="V32" s="30"/>
      <c r="W32" s="30"/>
      <c r="X32" s="30"/>
      <c r="Y32" s="30"/>
      <c r="Z32" s="30"/>
      <c r="AA32" s="29"/>
      <c r="AB32" s="29"/>
      <c r="AC32" s="29"/>
      <c r="AD32" s="29"/>
      <c r="AE32" s="29"/>
      <c r="AF32" s="29"/>
      <c r="AG32" s="29"/>
      <c r="AH32" s="29"/>
      <c r="AI32" s="29"/>
      <c r="AJ32" s="30"/>
      <c r="AK32" s="30"/>
      <c r="AL32" s="30"/>
      <c r="AM32" s="30"/>
      <c r="AN32" s="30"/>
      <c r="AO32" s="30"/>
      <c r="AP32" s="30"/>
      <c r="AQ32" s="30"/>
      <c r="AR32" s="30"/>
      <c r="AS32" s="30"/>
      <c r="AT32" s="30"/>
      <c r="AU32" s="30"/>
      <c r="AV32" s="30"/>
      <c r="AW32" s="30"/>
      <c r="AX32" s="30"/>
      <c r="AY32" s="30"/>
      <c r="AZ32" s="30"/>
      <c r="BA32" s="63">
        <v>20</v>
      </c>
      <c r="BB32" s="63"/>
      <c r="BC32" s="63"/>
    </row>
    <row r="33" spans="1:55" ht="14.25">
      <c r="A33" s="29"/>
      <c r="B33" s="29"/>
      <c r="C33" s="29"/>
      <c r="D33" s="29"/>
      <c r="E33" s="29"/>
      <c r="F33" s="29"/>
      <c r="G33" s="29"/>
      <c r="H33" s="29"/>
      <c r="I33" s="29"/>
      <c r="J33" s="30"/>
      <c r="K33" s="30"/>
      <c r="L33" s="30"/>
      <c r="M33" s="30"/>
      <c r="N33" s="30"/>
      <c r="O33" s="30"/>
      <c r="P33" s="30"/>
      <c r="Q33" s="30"/>
      <c r="R33" s="30"/>
      <c r="S33" s="30"/>
      <c r="T33" s="30"/>
      <c r="U33" s="30"/>
      <c r="V33" s="30"/>
      <c r="W33" s="30"/>
      <c r="X33" s="30"/>
      <c r="Y33" s="30"/>
      <c r="Z33" s="30"/>
      <c r="AA33" s="29"/>
      <c r="AB33" s="29"/>
      <c r="AC33" s="29"/>
      <c r="AD33" s="29"/>
      <c r="AE33" s="29"/>
      <c r="AF33" s="29"/>
      <c r="AG33" s="29"/>
      <c r="AH33" s="29"/>
      <c r="AI33" s="29"/>
      <c r="AJ33" s="30"/>
      <c r="AK33" s="30"/>
      <c r="AL33" s="30"/>
      <c r="AM33" s="30"/>
      <c r="AN33" s="30"/>
      <c r="AO33" s="30"/>
      <c r="AP33" s="30"/>
      <c r="AQ33" s="30"/>
      <c r="AR33" s="30"/>
      <c r="AS33" s="30"/>
      <c r="AT33" s="30"/>
      <c r="AU33" s="30"/>
      <c r="AV33" s="30"/>
      <c r="AW33" s="30"/>
      <c r="AX33" s="30"/>
      <c r="AY33" s="30"/>
      <c r="AZ33" s="30"/>
      <c r="BA33" s="63">
        <v>21</v>
      </c>
      <c r="BB33" s="63"/>
      <c r="BC33" s="63"/>
    </row>
    <row r="34" spans="1:55" ht="14.25">
      <c r="A34" s="29"/>
      <c r="B34" s="29"/>
      <c r="C34" s="29"/>
      <c r="D34" s="29"/>
      <c r="E34" s="29"/>
      <c r="F34" s="29"/>
      <c r="G34" s="29"/>
      <c r="H34" s="29"/>
      <c r="I34" s="29"/>
      <c r="J34" s="30"/>
      <c r="K34" s="30"/>
      <c r="L34" s="30"/>
      <c r="M34" s="30"/>
      <c r="N34" s="30"/>
      <c r="O34" s="30"/>
      <c r="P34" s="30"/>
      <c r="Q34" s="30"/>
      <c r="R34" s="30"/>
      <c r="S34" s="30"/>
      <c r="T34" s="30"/>
      <c r="U34" s="30"/>
      <c r="V34" s="30"/>
      <c r="W34" s="30"/>
      <c r="X34" s="30"/>
      <c r="Y34" s="30"/>
      <c r="Z34" s="30"/>
      <c r="AA34" s="29"/>
      <c r="AB34" s="29"/>
      <c r="AC34" s="29"/>
      <c r="AD34" s="29"/>
      <c r="AE34" s="29"/>
      <c r="AF34" s="29"/>
      <c r="AG34" s="29"/>
      <c r="AH34" s="29"/>
      <c r="AI34" s="29"/>
      <c r="AJ34" s="30"/>
      <c r="AK34" s="30"/>
      <c r="AL34" s="30"/>
      <c r="AM34" s="30"/>
      <c r="AN34" s="30"/>
      <c r="AO34" s="30"/>
      <c r="AP34" s="30"/>
      <c r="AQ34" s="30"/>
      <c r="AR34" s="30"/>
      <c r="AS34" s="30"/>
      <c r="AT34" s="30"/>
      <c r="AU34" s="30"/>
      <c r="AV34" s="30"/>
      <c r="AW34" s="30"/>
      <c r="AX34" s="30"/>
      <c r="AY34" s="30"/>
      <c r="AZ34" s="30"/>
      <c r="BA34" s="63">
        <v>22</v>
      </c>
      <c r="BB34" s="63"/>
      <c r="BC34" s="63"/>
    </row>
    <row r="35" spans="1:55" ht="14.25">
      <c r="A35" s="29"/>
      <c r="B35" s="29"/>
      <c r="C35" s="29"/>
      <c r="D35" s="29"/>
      <c r="E35" s="29"/>
      <c r="F35" s="29"/>
      <c r="G35" s="29"/>
      <c r="H35" s="29"/>
      <c r="I35" s="29"/>
      <c r="J35" s="30"/>
      <c r="K35" s="30"/>
      <c r="L35" s="30"/>
      <c r="M35" s="30"/>
      <c r="N35" s="30"/>
      <c r="O35" s="30"/>
      <c r="P35" s="30"/>
      <c r="Q35" s="30"/>
      <c r="R35" s="30"/>
      <c r="S35" s="30"/>
      <c r="T35" s="30"/>
      <c r="U35" s="30"/>
      <c r="V35" s="30"/>
      <c r="W35" s="30"/>
      <c r="X35" s="30"/>
      <c r="Y35" s="30"/>
      <c r="Z35" s="30"/>
      <c r="AA35" s="29"/>
      <c r="AB35" s="29"/>
      <c r="AC35" s="29"/>
      <c r="AD35" s="29"/>
      <c r="AE35" s="29"/>
      <c r="AF35" s="29"/>
      <c r="AG35" s="29"/>
      <c r="AH35" s="29"/>
      <c r="AI35" s="29"/>
      <c r="AJ35" s="30"/>
      <c r="AK35" s="30"/>
      <c r="AL35" s="30"/>
      <c r="AM35" s="30"/>
      <c r="AN35" s="30"/>
      <c r="AO35" s="30"/>
      <c r="AP35" s="30"/>
      <c r="AQ35" s="30"/>
      <c r="AR35" s="30"/>
      <c r="AS35" s="30"/>
      <c r="AT35" s="30"/>
      <c r="AU35" s="30"/>
      <c r="AV35" s="30"/>
      <c r="AW35" s="30"/>
      <c r="AX35" s="30"/>
      <c r="AY35" s="30"/>
      <c r="AZ35" s="30"/>
      <c r="BA35" s="63">
        <v>23</v>
      </c>
      <c r="BB35" s="63"/>
      <c r="BC35" s="63"/>
    </row>
    <row r="36" spans="1:55" ht="14.25">
      <c r="A36" s="29"/>
      <c r="B36" s="29"/>
      <c r="C36" s="29"/>
      <c r="D36" s="29"/>
      <c r="E36" s="29"/>
      <c r="F36" s="29"/>
      <c r="G36" s="29"/>
      <c r="H36" s="29"/>
      <c r="I36" s="29"/>
      <c r="J36" s="30"/>
      <c r="K36" s="30"/>
      <c r="L36" s="30"/>
      <c r="M36" s="30"/>
      <c r="N36" s="30"/>
      <c r="O36" s="30"/>
      <c r="P36" s="30"/>
      <c r="Q36" s="30"/>
      <c r="R36" s="30"/>
      <c r="S36" s="30"/>
      <c r="T36" s="30"/>
      <c r="U36" s="30"/>
      <c r="V36" s="30"/>
      <c r="W36" s="30"/>
      <c r="X36" s="30"/>
      <c r="Y36" s="30"/>
      <c r="Z36" s="30"/>
      <c r="AA36" s="29"/>
      <c r="AB36" s="29"/>
      <c r="AC36" s="29"/>
      <c r="AD36" s="29"/>
      <c r="AE36" s="29"/>
      <c r="AF36" s="29"/>
      <c r="AG36" s="29"/>
      <c r="AH36" s="29"/>
      <c r="AI36" s="29"/>
      <c r="AJ36" s="30"/>
      <c r="AK36" s="30"/>
      <c r="AL36" s="30"/>
      <c r="AM36" s="30"/>
      <c r="AN36" s="30"/>
      <c r="AO36" s="30"/>
      <c r="AP36" s="30"/>
      <c r="AQ36" s="30"/>
      <c r="AR36" s="30"/>
      <c r="AS36" s="30"/>
      <c r="AT36" s="30"/>
      <c r="AU36" s="30"/>
      <c r="AV36" s="30"/>
      <c r="AW36" s="30"/>
      <c r="AX36" s="30"/>
      <c r="AY36" s="30"/>
      <c r="AZ36" s="30"/>
      <c r="BA36" s="63">
        <v>24</v>
      </c>
      <c r="BB36" s="63"/>
      <c r="BC36" s="63"/>
    </row>
    <row r="37" spans="1:55" ht="14.25">
      <c r="A37" s="29"/>
      <c r="B37" s="29"/>
      <c r="C37" s="29"/>
      <c r="D37" s="29"/>
      <c r="E37" s="29"/>
      <c r="F37" s="29"/>
      <c r="G37" s="29"/>
      <c r="H37" s="29"/>
      <c r="I37" s="29"/>
      <c r="J37" s="30"/>
      <c r="K37" s="30"/>
      <c r="L37" s="30"/>
      <c r="M37" s="30"/>
      <c r="N37" s="30"/>
      <c r="O37" s="30"/>
      <c r="P37" s="30"/>
      <c r="Q37" s="30"/>
      <c r="R37" s="30"/>
      <c r="S37" s="30"/>
      <c r="T37" s="30"/>
      <c r="U37" s="30"/>
      <c r="V37" s="30"/>
      <c r="W37" s="30"/>
      <c r="X37" s="30"/>
      <c r="Y37" s="30"/>
      <c r="Z37" s="30"/>
      <c r="AA37" s="29"/>
      <c r="AB37" s="29"/>
      <c r="AC37" s="29"/>
      <c r="AD37" s="29"/>
      <c r="AE37" s="29"/>
      <c r="AF37" s="29"/>
      <c r="AG37" s="29"/>
      <c r="AH37" s="29"/>
      <c r="AI37" s="29"/>
      <c r="AJ37" s="30"/>
      <c r="AK37" s="30"/>
      <c r="AL37" s="30"/>
      <c r="AM37" s="30"/>
      <c r="AN37" s="30"/>
      <c r="AO37" s="30"/>
      <c r="AP37" s="30"/>
      <c r="AQ37" s="30"/>
      <c r="AR37" s="30"/>
      <c r="AS37" s="30"/>
      <c r="AT37" s="30"/>
      <c r="AU37" s="30"/>
      <c r="AV37" s="30"/>
      <c r="AW37" s="30"/>
      <c r="AX37" s="30"/>
      <c r="AY37" s="30"/>
      <c r="AZ37" s="30"/>
      <c r="BA37" s="63">
        <v>25</v>
      </c>
      <c r="BB37" s="63"/>
      <c r="BC37" s="63"/>
    </row>
    <row r="38" spans="1:55" ht="14.25">
      <c r="A38" s="29"/>
      <c r="B38" s="29"/>
      <c r="C38" s="29"/>
      <c r="D38" s="29"/>
      <c r="E38" s="29"/>
      <c r="F38" s="29"/>
      <c r="G38" s="29"/>
      <c r="H38" s="29"/>
      <c r="I38" s="29"/>
      <c r="J38" s="30"/>
      <c r="K38" s="30"/>
      <c r="L38" s="30"/>
      <c r="M38" s="30"/>
      <c r="N38" s="30"/>
      <c r="O38" s="30"/>
      <c r="P38" s="30"/>
      <c r="Q38" s="30"/>
      <c r="R38" s="30"/>
      <c r="S38" s="30"/>
      <c r="T38" s="30"/>
      <c r="U38" s="30"/>
      <c r="V38" s="30"/>
      <c r="W38" s="30"/>
      <c r="X38" s="30"/>
      <c r="Y38" s="30"/>
      <c r="Z38" s="30"/>
      <c r="AA38" s="29"/>
      <c r="AB38" s="29"/>
      <c r="AC38" s="29"/>
      <c r="AD38" s="29"/>
      <c r="AE38" s="29"/>
      <c r="AF38" s="29"/>
      <c r="AG38" s="29"/>
      <c r="AH38" s="29"/>
      <c r="AI38" s="29"/>
      <c r="AJ38" s="30"/>
      <c r="AK38" s="30"/>
      <c r="AL38" s="30"/>
      <c r="AM38" s="30"/>
      <c r="AN38" s="30"/>
      <c r="AO38" s="30"/>
      <c r="AP38" s="30"/>
      <c r="AQ38" s="30"/>
      <c r="AR38" s="30"/>
      <c r="AS38" s="30"/>
      <c r="AT38" s="30"/>
      <c r="AU38" s="30"/>
      <c r="AV38" s="30"/>
      <c r="AW38" s="30"/>
      <c r="AX38" s="30"/>
      <c r="AY38" s="30"/>
      <c r="AZ38" s="30"/>
      <c r="BA38" s="63">
        <v>26</v>
      </c>
      <c r="BB38" s="63"/>
      <c r="BC38" s="63"/>
    </row>
    <row r="39" spans="1:55" ht="14.2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63">
        <v>27</v>
      </c>
      <c r="BB39" s="63"/>
      <c r="BC39" s="63"/>
    </row>
    <row r="40" spans="1:55" ht="14.2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63">
        <v>28</v>
      </c>
      <c r="BB40" s="63"/>
      <c r="BC40" s="63"/>
    </row>
    <row r="41" spans="1:55" ht="14.2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63">
        <v>29</v>
      </c>
      <c r="BB41" s="63"/>
      <c r="BC41" s="63"/>
    </row>
    <row r="42" spans="1:55" ht="14.2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63">
        <v>30</v>
      </c>
      <c r="BB42" s="63"/>
      <c r="BC42" s="63"/>
    </row>
    <row r="43" spans="1:55" ht="14.2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63">
        <v>31</v>
      </c>
      <c r="BB43" s="63"/>
      <c r="BC43" s="63"/>
    </row>
    <row r="44" spans="1:55" ht="14.2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row>
    <row r="45" spans="1:55" ht="14.2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row>
    <row r="46" spans="1:55" ht="14.2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row>
    <row r="47" spans="1:55" ht="14.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row>
    <row r="48" spans="1:55" ht="14.2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row>
    <row r="49" spans="1:52" ht="14.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row>
  </sheetData>
  <sheetProtection algorithmName="SHA-512" hashValue="YXTXtnT4eHRRodB145GLJGB4tmmQlqDrIV+lJeE11xXYTIhPuKYHpsuHG5BJFssZfkqzbu4wo0EsjEQodnfxJA==" saltValue="xR77gxu0Bbf2Z9kIUXXkTw==" spinCount="100000" sheet="1" selectLockedCells="1"/>
  <mergeCells count="80">
    <mergeCell ref="A28:Z28"/>
    <mergeCell ref="AA28:AZ28"/>
    <mergeCell ref="A29:Z29"/>
    <mergeCell ref="AA29:AZ29"/>
    <mergeCell ref="A26:Z26"/>
    <mergeCell ref="AA26:AZ26"/>
    <mergeCell ref="A27:D27"/>
    <mergeCell ref="F27:Z27"/>
    <mergeCell ref="AA27:AD27"/>
    <mergeCell ref="AF27:AZ27"/>
    <mergeCell ref="A24:Z24"/>
    <mergeCell ref="AA24:AZ24"/>
    <mergeCell ref="Y25:Z25"/>
    <mergeCell ref="AY25:AZ25"/>
    <mergeCell ref="A25:D25"/>
    <mergeCell ref="AA25:AD25"/>
    <mergeCell ref="A20:Z20"/>
    <mergeCell ref="AA20:AZ20"/>
    <mergeCell ref="A22:Z22"/>
    <mergeCell ref="AA22:AZ22"/>
    <mergeCell ref="Y23:Z23"/>
    <mergeCell ref="AY23:AZ23"/>
    <mergeCell ref="A23:D23"/>
    <mergeCell ref="AA23:AD23"/>
    <mergeCell ref="A16:Z16"/>
    <mergeCell ref="AA16:AZ16"/>
    <mergeCell ref="A17:F18"/>
    <mergeCell ref="L17:Y18"/>
    <mergeCell ref="AA17:AF18"/>
    <mergeCell ref="AH17:AJ17"/>
    <mergeCell ref="AL17:AY18"/>
    <mergeCell ref="AH18:AJ18"/>
    <mergeCell ref="G17:K17"/>
    <mergeCell ref="G18:K18"/>
    <mergeCell ref="AM14:AO14"/>
    <mergeCell ref="A15:Z15"/>
    <mergeCell ref="AA15:AZ15"/>
    <mergeCell ref="A14:L14"/>
    <mergeCell ref="M14:O14"/>
    <mergeCell ref="AA14:AL14"/>
    <mergeCell ref="P14:Z14"/>
    <mergeCell ref="AP14:AZ14"/>
    <mergeCell ref="AP13:AZ13"/>
    <mergeCell ref="A12:L12"/>
    <mergeCell ref="M12:O12"/>
    <mergeCell ref="P12:X12"/>
    <mergeCell ref="AA12:AL12"/>
    <mergeCell ref="AM12:AO12"/>
    <mergeCell ref="AP12:AX12"/>
    <mergeCell ref="A13:L13"/>
    <mergeCell ref="M13:O13"/>
    <mergeCell ref="P13:Z13"/>
    <mergeCell ref="AA13:AL13"/>
    <mergeCell ref="AM13:AO13"/>
    <mergeCell ref="A10:Z10"/>
    <mergeCell ref="AA10:AZ10"/>
    <mergeCell ref="A11:L11"/>
    <mergeCell ref="M11:O11"/>
    <mergeCell ref="P11:Z11"/>
    <mergeCell ref="AA11:AL11"/>
    <mergeCell ref="AM11:AO11"/>
    <mergeCell ref="AP11:AZ11"/>
    <mergeCell ref="A7:Z7"/>
    <mergeCell ref="AA7:AZ7"/>
    <mergeCell ref="A8:Z8"/>
    <mergeCell ref="AA8:AZ8"/>
    <mergeCell ref="A9:Z9"/>
    <mergeCell ref="AA9:AZ9"/>
    <mergeCell ref="A5:Z5"/>
    <mergeCell ref="AA5:AZ5"/>
    <mergeCell ref="A6:Z6"/>
    <mergeCell ref="AA6:AZ6"/>
    <mergeCell ref="R4:T4"/>
    <mergeCell ref="AR4:AT4"/>
    <mergeCell ref="A1:Z1"/>
    <mergeCell ref="AA1:AZ1"/>
    <mergeCell ref="A2:Z2"/>
    <mergeCell ref="AA2:AZ2"/>
    <mergeCell ref="A3:Z3"/>
    <mergeCell ref="AA3:AZ3"/>
  </mergeCells>
  <phoneticPr fontId="8"/>
  <conditionalFormatting sqref="G17:K17">
    <cfRule type="expression" dxfId="1" priority="3">
      <formula>$Z$17=TRUE</formula>
    </cfRule>
  </conditionalFormatting>
  <conditionalFormatting sqref="G18:K18">
    <cfRule type="expression" dxfId="0" priority="2">
      <formula>$Z$18=TRUE</formula>
    </cfRule>
  </conditionalFormatting>
  <dataValidations count="6">
    <dataValidation type="list" allowBlank="1" showInputMessage="1" showErrorMessage="1" sqref="A23:D23 A25:D25" xr:uid="{00000000-0002-0000-0C00-000000000000}">
      <formula1>$BC$13:$BC$15</formula1>
    </dataValidation>
    <dataValidation type="list" allowBlank="1" showInputMessage="1" sqref="R4:T4" xr:uid="{00000000-0002-0000-0C00-000001000000}">
      <formula1>$BC$13:$BC$15</formula1>
    </dataValidation>
    <dataValidation type="list" allowBlank="1" showInputMessage="1" sqref="V4 F23 F25 N23 N25" xr:uid="{00000000-0002-0000-0C00-000002000000}">
      <formula1>$BA$13:$BA$24</formula1>
    </dataValidation>
    <dataValidation type="list" allowBlank="1" showInputMessage="1" sqref="X4" xr:uid="{00000000-0002-0000-0C00-000003000000}">
      <formula1>$BA$13:$BA$43</formula1>
    </dataValidation>
    <dataValidation type="list" allowBlank="1" showInputMessage="1" showErrorMessage="1" sqref="H23 H25 P23 P25" xr:uid="{00000000-0002-0000-0C00-000004000000}">
      <formula1>$BA$13:$BA$43</formula1>
    </dataValidation>
    <dataValidation type="list" allowBlank="1" showInputMessage="1" sqref="K23 K25 S23 S25" xr:uid="{00000000-0002-0000-0C00-000005000000}">
      <formula1>$BB$13:$BB$19</formula1>
    </dataValidation>
  </dataValidations>
  <printOptions horizontalCentered="1"/>
  <pageMargins left="0.39370078740157483" right="0.39370078740157483" top="0.39370078740157483" bottom="0.39370078740157483" header="0" footer="0"/>
  <pageSetup paperSize="9" scale="97" orientation="portrait" r:id="rId1"/>
  <headerFooter>
    <oddFooter>&amp;R&amp;D &amp;T</oddFooter>
  </headerFooter>
  <colBreaks count="1" manualBreakCount="1">
    <brk id="26"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44034" r:id="rId4" name="Check Box 2">
              <controlPr defaultSize="0" autoFill="0" autoLine="0" autoPict="0">
                <anchor moveWithCells="1">
                  <from>
                    <xdr:col>6</xdr:col>
                    <xdr:colOff>85725</xdr:colOff>
                    <xdr:row>16</xdr:row>
                    <xdr:rowOff>76200</xdr:rowOff>
                  </from>
                  <to>
                    <xdr:col>7</xdr:col>
                    <xdr:colOff>114300</xdr:colOff>
                    <xdr:row>16</xdr:row>
                    <xdr:rowOff>323850</xdr:rowOff>
                  </to>
                </anchor>
              </controlPr>
            </control>
          </mc:Choice>
        </mc:AlternateContent>
        <mc:AlternateContent xmlns:mc="http://schemas.openxmlformats.org/markup-compatibility/2006">
          <mc:Choice Requires="x14">
            <control shapeId="44035" r:id="rId5" name="Check Box 3">
              <controlPr defaultSize="0" autoFill="0" autoLine="0" autoPict="0">
                <anchor moveWithCells="1">
                  <from>
                    <xdr:col>6</xdr:col>
                    <xdr:colOff>76200</xdr:colOff>
                    <xdr:row>17</xdr:row>
                    <xdr:rowOff>38100</xdr:rowOff>
                  </from>
                  <to>
                    <xdr:col>7</xdr:col>
                    <xdr:colOff>104775</xdr:colOff>
                    <xdr:row>17</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BW822"/>
  <sheetViews>
    <sheetView view="pageBreakPreview" zoomScale="77" zoomScaleNormal="100" zoomScaleSheetLayoutView="77" workbookViewId="0">
      <selection activeCell="AG20" sqref="AG20:AN20"/>
    </sheetView>
  </sheetViews>
  <sheetFormatPr defaultRowHeight="13.5"/>
  <cols>
    <col min="1" max="17" width="3.625" style="3" customWidth="1"/>
    <col min="18" max="19" width="4.125" style="3" customWidth="1"/>
    <col min="20" max="52" width="3.625" style="3" customWidth="1"/>
    <col min="53" max="53" width="9" style="968"/>
    <col min="54" max="54" width="9.75" style="968" bestFit="1" customWidth="1"/>
    <col min="55" max="55" width="22.25" style="1000" customWidth="1"/>
    <col min="56" max="56" width="13" style="968" bestFit="1" customWidth="1"/>
    <col min="57" max="57" width="12.5" style="969" customWidth="1"/>
    <col min="58" max="60" width="9" style="968"/>
    <col min="61" max="61" width="27.5" style="968" bestFit="1" customWidth="1"/>
    <col min="62" max="62" width="42.375" style="968" customWidth="1"/>
    <col min="63" max="63" width="19.375" style="968" customWidth="1"/>
    <col min="64" max="64" width="41.75" style="968" bestFit="1" customWidth="1"/>
    <col min="65" max="65" width="9.75" style="976" bestFit="1" customWidth="1"/>
    <col min="66" max="66" width="14.125" style="978" bestFit="1" customWidth="1"/>
    <col min="67" max="67" width="14.125" style="968" bestFit="1" customWidth="1"/>
    <col min="68" max="68" width="9" style="968"/>
    <col min="69" max="69" width="23" style="922" bestFit="1" customWidth="1"/>
    <col min="70" max="70" width="40.875" style="922" bestFit="1" customWidth="1"/>
    <col min="71" max="75" width="9" style="922"/>
    <col min="76" max="16384" width="9" style="2"/>
  </cols>
  <sheetData>
    <row r="1" spans="1:70" ht="24.95" customHeight="1">
      <c r="A1" s="1276" t="s">
        <v>74</v>
      </c>
      <c r="B1" s="1276"/>
      <c r="C1" s="1276"/>
      <c r="D1" s="1276"/>
      <c r="E1" s="1276"/>
      <c r="F1" s="1276"/>
      <c r="G1" s="1276"/>
      <c r="H1" s="1276"/>
      <c r="I1" s="1276"/>
      <c r="J1" s="1276"/>
      <c r="K1" s="1276"/>
      <c r="L1" s="1276"/>
      <c r="M1" s="1276"/>
      <c r="N1" s="1276"/>
      <c r="O1" s="1276"/>
      <c r="P1" s="1276"/>
      <c r="Q1" s="1276"/>
      <c r="R1" s="1276"/>
      <c r="S1" s="1276"/>
      <c r="T1" s="1276"/>
      <c r="U1" s="1276"/>
      <c r="V1" s="1276"/>
      <c r="W1" s="1276"/>
      <c r="X1" s="1276"/>
      <c r="Y1" s="1276"/>
      <c r="Z1" s="1276"/>
      <c r="AA1" s="1274" t="s">
        <v>74</v>
      </c>
      <c r="AB1" s="1274"/>
      <c r="AC1" s="1274"/>
      <c r="AD1" s="1274"/>
      <c r="AE1" s="1274"/>
      <c r="AF1" s="1274"/>
      <c r="AG1" s="1274"/>
      <c r="AH1" s="1274"/>
      <c r="AI1" s="1274"/>
      <c r="AJ1" s="1274"/>
      <c r="AK1" s="1274"/>
      <c r="AL1" s="1274"/>
      <c r="AM1" s="1274"/>
      <c r="AN1" s="1274"/>
      <c r="AO1" s="1274"/>
      <c r="AP1" s="1274"/>
      <c r="AQ1" s="1274"/>
      <c r="AR1" s="1274"/>
      <c r="AS1" s="1274"/>
      <c r="AT1" s="1274"/>
      <c r="AU1" s="1274"/>
      <c r="AV1" s="1274"/>
      <c r="AW1" s="1274"/>
      <c r="AX1" s="1274"/>
      <c r="AY1" s="1274"/>
      <c r="AZ1" s="1274"/>
      <c r="BA1" s="968">
        <v>1</v>
      </c>
      <c r="BB1" s="969" t="s">
        <v>1356</v>
      </c>
      <c r="BC1" s="969" t="s">
        <v>1359</v>
      </c>
      <c r="BD1" s="969" t="s">
        <v>1357</v>
      </c>
      <c r="BE1" s="969" t="s">
        <v>1358</v>
      </c>
      <c r="BF1" s="970" t="s">
        <v>2986</v>
      </c>
      <c r="BG1" s="1180" t="s">
        <v>1406</v>
      </c>
      <c r="BH1" s="1180"/>
      <c r="BI1" s="1180"/>
      <c r="BJ1" s="1180"/>
      <c r="BK1" s="1180"/>
      <c r="BL1" s="1180"/>
      <c r="BM1" s="1180"/>
      <c r="BN1" s="1180"/>
      <c r="BO1" s="1180"/>
    </row>
    <row r="2" spans="1:70" ht="12.6" customHeight="1">
      <c r="A2" s="247"/>
      <c r="B2" s="247"/>
      <c r="C2" s="247"/>
      <c r="D2" s="247"/>
      <c r="E2" s="247"/>
      <c r="F2" s="247"/>
      <c r="G2" s="247"/>
      <c r="H2" s="247"/>
      <c r="I2" s="247"/>
      <c r="J2" s="247"/>
      <c r="K2" s="247"/>
      <c r="L2" s="247"/>
      <c r="M2" s="247"/>
      <c r="N2" s="247"/>
      <c r="O2" s="247"/>
      <c r="P2" s="248"/>
      <c r="Q2" s="248"/>
      <c r="R2" s="248"/>
      <c r="S2" s="248"/>
      <c r="T2" s="248"/>
      <c r="U2" s="248"/>
      <c r="V2" s="248"/>
      <c r="W2" s="248"/>
      <c r="X2" s="248"/>
      <c r="Y2" s="248"/>
      <c r="Z2" s="248"/>
      <c r="AA2" s="1274"/>
      <c r="AB2" s="1274"/>
      <c r="AC2" s="1274"/>
      <c r="AD2" s="1274"/>
      <c r="AE2" s="1274"/>
      <c r="AF2" s="1274"/>
      <c r="AG2" s="1274"/>
      <c r="AH2" s="1274"/>
      <c r="AI2" s="1274"/>
      <c r="AJ2" s="1274"/>
      <c r="AK2" s="1274"/>
      <c r="AL2" s="1274"/>
      <c r="AM2" s="1274"/>
      <c r="AN2" s="1274"/>
      <c r="AO2" s="1274"/>
      <c r="AP2" s="1274"/>
      <c r="AQ2" s="1274"/>
      <c r="AR2" s="1274"/>
      <c r="AS2" s="1274"/>
      <c r="AT2" s="1274"/>
      <c r="AU2" s="1274"/>
      <c r="AV2" s="1274"/>
      <c r="AW2" s="1274"/>
      <c r="AX2" s="1274"/>
      <c r="AY2" s="1274"/>
      <c r="AZ2" s="1274"/>
      <c r="BA2" s="968">
        <v>2</v>
      </c>
      <c r="BB2" s="971">
        <v>600000</v>
      </c>
      <c r="BC2" s="968" t="str">
        <f t="shared" ref="BC2:BC62" si="0">BD2&amp;BE2</f>
        <v>札幌市中央区</v>
      </c>
      <c r="BD2" s="968" t="s">
        <v>564</v>
      </c>
      <c r="BF2" s="969" t="s">
        <v>2987</v>
      </c>
      <c r="BG2" s="969" t="s">
        <v>1617</v>
      </c>
      <c r="BH2" s="969" t="s">
        <v>1602</v>
      </c>
      <c r="BI2" s="969" t="s">
        <v>1408</v>
      </c>
      <c r="BJ2" s="970" t="s">
        <v>1913</v>
      </c>
      <c r="BK2" s="970" t="s">
        <v>1914</v>
      </c>
      <c r="BL2" s="969" t="s">
        <v>1409</v>
      </c>
      <c r="BM2" s="972" t="s">
        <v>1410</v>
      </c>
      <c r="BN2" s="973" t="s">
        <v>1411</v>
      </c>
      <c r="BO2" s="970" t="s">
        <v>1412</v>
      </c>
    </row>
    <row r="3" spans="1:70" ht="12.6" customHeight="1">
      <c r="A3" s="1192" t="s">
        <v>1368</v>
      </c>
      <c r="B3" s="1213" t="s">
        <v>69</v>
      </c>
      <c r="C3" s="1213"/>
      <c r="D3" s="1214"/>
      <c r="E3" s="1214"/>
      <c r="F3" s="1214"/>
      <c r="G3" s="1214"/>
      <c r="H3" s="1214"/>
      <c r="I3" s="1214"/>
      <c r="J3" s="1214"/>
      <c r="K3" s="1214"/>
      <c r="L3" s="1214"/>
      <c r="M3" s="1214"/>
      <c r="N3" s="1214"/>
      <c r="O3" s="1214"/>
      <c r="P3" s="1214"/>
      <c r="Q3" s="1214"/>
      <c r="R3" s="1214"/>
      <c r="S3" s="1214"/>
      <c r="T3" s="1214"/>
      <c r="U3" s="1214"/>
      <c r="V3" s="1214"/>
      <c r="W3" s="1214"/>
      <c r="X3" s="1214"/>
      <c r="Y3" s="1214"/>
      <c r="Z3" s="1215"/>
      <c r="AA3" s="1192" t="s">
        <v>73</v>
      </c>
      <c r="AB3" s="1213" t="s">
        <v>65</v>
      </c>
      <c r="AC3" s="1213"/>
      <c r="AD3" s="1213" t="s">
        <v>72</v>
      </c>
      <c r="AE3" s="1213"/>
      <c r="AF3" s="1213"/>
      <c r="AG3" s="1213"/>
      <c r="AH3" s="1213"/>
      <c r="AI3" s="1213"/>
      <c r="AJ3" s="1213"/>
      <c r="AK3" s="1213"/>
      <c r="AL3" s="1213"/>
      <c r="AM3" s="1213"/>
      <c r="AN3" s="1213"/>
      <c r="AO3" s="1213"/>
      <c r="AP3" s="1213"/>
      <c r="AQ3" s="1213"/>
      <c r="AR3" s="1213"/>
      <c r="AS3" s="1213"/>
      <c r="AT3" s="1213"/>
      <c r="AU3" s="1213"/>
      <c r="AV3" s="1213"/>
      <c r="AW3" s="1213"/>
      <c r="AX3" s="1213"/>
      <c r="AY3" s="1213"/>
      <c r="AZ3" s="1277"/>
      <c r="BA3" s="968">
        <v>3</v>
      </c>
      <c r="BB3" s="971">
        <v>640941</v>
      </c>
      <c r="BC3" s="968" t="str">
        <f t="shared" si="0"/>
        <v>札幌市中央区旭ケ丘</v>
      </c>
      <c r="BD3" s="968" t="s">
        <v>564</v>
      </c>
      <c r="BE3" s="969" t="s">
        <v>574</v>
      </c>
      <c r="BF3" s="969" t="s">
        <v>1831</v>
      </c>
      <c r="BG3" s="1147" t="s">
        <v>1407</v>
      </c>
      <c r="BH3" s="974">
        <v>1</v>
      </c>
      <c r="BI3" s="968" t="s">
        <v>1413</v>
      </c>
      <c r="BJ3" s="975" t="s">
        <v>1915</v>
      </c>
      <c r="BK3" s="975" t="s">
        <v>1916</v>
      </c>
      <c r="BL3" s="968" t="s">
        <v>1414</v>
      </c>
      <c r="BM3" s="976">
        <v>600041</v>
      </c>
      <c r="BN3" s="977" t="s">
        <v>1415</v>
      </c>
      <c r="BO3" s="968" t="s">
        <v>2301</v>
      </c>
    </row>
    <row r="4" spans="1:70" ht="37.5" customHeight="1">
      <c r="A4" s="1275"/>
      <c r="B4" s="1278" t="s">
        <v>1367</v>
      </c>
      <c r="C4" s="1278"/>
      <c r="D4" s="1216"/>
      <c r="E4" s="1216"/>
      <c r="F4" s="1216"/>
      <c r="G4" s="1216"/>
      <c r="H4" s="1216"/>
      <c r="I4" s="1216"/>
      <c r="J4" s="1216"/>
      <c r="K4" s="1216"/>
      <c r="L4" s="1216"/>
      <c r="M4" s="1216"/>
      <c r="N4" s="1216"/>
      <c r="O4" s="1216"/>
      <c r="P4" s="1216"/>
      <c r="Q4" s="1216"/>
      <c r="R4" s="1216"/>
      <c r="S4" s="1216"/>
      <c r="T4" s="1216"/>
      <c r="U4" s="1216"/>
      <c r="V4" s="1216"/>
      <c r="W4" s="1216"/>
      <c r="X4" s="1216"/>
      <c r="Y4" s="1216"/>
      <c r="Z4" s="1217"/>
      <c r="AA4" s="1275"/>
      <c r="AB4" s="1278" t="s">
        <v>71</v>
      </c>
      <c r="AC4" s="1278"/>
      <c r="AD4" s="1279" t="s">
        <v>70</v>
      </c>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80"/>
      <c r="BA4" s="968">
        <v>4</v>
      </c>
      <c r="BB4" s="971">
        <v>600041</v>
      </c>
      <c r="BC4" s="968" t="str">
        <f t="shared" si="0"/>
        <v>札幌市中央区大通東</v>
      </c>
      <c r="BD4" s="968" t="s">
        <v>564</v>
      </c>
      <c r="BE4" s="969" t="s">
        <v>575</v>
      </c>
      <c r="BF4" s="969" t="s">
        <v>1832</v>
      </c>
      <c r="BG4" s="1147"/>
      <c r="BH4" s="969">
        <v>2</v>
      </c>
      <c r="BI4" s="968" t="s">
        <v>1416</v>
      </c>
      <c r="BJ4" s="968" t="s">
        <v>1917</v>
      </c>
      <c r="BK4" s="968" t="s">
        <v>1918</v>
      </c>
      <c r="BL4" s="968" t="s">
        <v>1417</v>
      </c>
      <c r="BM4" s="976">
        <v>640914</v>
      </c>
      <c r="BN4" s="978" t="s">
        <v>1418</v>
      </c>
      <c r="BO4" s="979" t="s">
        <v>2302</v>
      </c>
      <c r="BQ4" s="923"/>
      <c r="BR4" s="923"/>
    </row>
    <row r="5" spans="1:70" ht="12.6" customHeight="1">
      <c r="A5" s="1293" t="s">
        <v>68</v>
      </c>
      <c r="B5" s="1244" t="s">
        <v>69</v>
      </c>
      <c r="C5" s="1244"/>
      <c r="D5" s="1238"/>
      <c r="E5" s="1238"/>
      <c r="F5" s="1238"/>
      <c r="G5" s="1238"/>
      <c r="H5" s="1238"/>
      <c r="I5" s="1238"/>
      <c r="J5" s="1238"/>
      <c r="K5" s="1238"/>
      <c r="L5" s="1238"/>
      <c r="M5" s="1239"/>
      <c r="N5" s="1220" t="s">
        <v>1369</v>
      </c>
      <c r="O5" s="1221"/>
      <c r="P5" s="1222"/>
      <c r="Q5" s="1244" t="s">
        <v>69</v>
      </c>
      <c r="R5" s="1244"/>
      <c r="S5" s="1238"/>
      <c r="T5" s="1238"/>
      <c r="U5" s="1238"/>
      <c r="V5" s="1238"/>
      <c r="W5" s="1238"/>
      <c r="X5" s="1238"/>
      <c r="Y5" s="1238"/>
      <c r="Z5" s="1239"/>
      <c r="AA5" s="1270" t="s">
        <v>68</v>
      </c>
      <c r="AB5" s="1244" t="s">
        <v>65</v>
      </c>
      <c r="AC5" s="1244"/>
      <c r="AD5" s="1244" t="s">
        <v>67</v>
      </c>
      <c r="AE5" s="1244"/>
      <c r="AF5" s="1244"/>
      <c r="AG5" s="1244"/>
      <c r="AH5" s="1244"/>
      <c r="AI5" s="1244"/>
      <c r="AJ5" s="1244"/>
      <c r="AK5" s="1244"/>
      <c r="AL5" s="1244"/>
      <c r="AM5" s="1313"/>
      <c r="AN5" s="1220" t="s">
        <v>66</v>
      </c>
      <c r="AO5" s="1221"/>
      <c r="AP5" s="1222"/>
      <c r="AQ5" s="1244" t="s">
        <v>65</v>
      </c>
      <c r="AR5" s="1244"/>
      <c r="AS5" s="1244" t="s">
        <v>64</v>
      </c>
      <c r="AT5" s="1244"/>
      <c r="AU5" s="1244"/>
      <c r="AV5" s="1244"/>
      <c r="AW5" s="1244"/>
      <c r="AX5" s="1244"/>
      <c r="AY5" s="1244"/>
      <c r="AZ5" s="1313"/>
      <c r="BA5" s="968">
        <v>5</v>
      </c>
      <c r="BB5" s="971">
        <v>600042</v>
      </c>
      <c r="BC5" s="968" t="str">
        <f t="shared" si="0"/>
        <v>札幌市中央区大通西</v>
      </c>
      <c r="BD5" s="968" t="s">
        <v>564</v>
      </c>
      <c r="BE5" s="969" t="s">
        <v>1350</v>
      </c>
      <c r="BF5" s="969" t="s">
        <v>1833</v>
      </c>
      <c r="BG5" s="1147"/>
      <c r="BH5" s="969">
        <v>3</v>
      </c>
      <c r="BI5" s="968" t="s">
        <v>1419</v>
      </c>
      <c r="BJ5" s="975" t="s">
        <v>1919</v>
      </c>
      <c r="BK5" s="975" t="s">
        <v>1920</v>
      </c>
      <c r="BL5" s="975" t="s">
        <v>1420</v>
      </c>
      <c r="BM5" s="980">
        <v>640810</v>
      </c>
      <c r="BN5" s="977" t="s">
        <v>1421</v>
      </c>
      <c r="BO5" s="979" t="s">
        <v>2303</v>
      </c>
      <c r="BQ5" s="923"/>
      <c r="BR5" s="923"/>
    </row>
    <row r="6" spans="1:70" ht="24.95" customHeight="1">
      <c r="A6" s="1270"/>
      <c r="B6" s="1228" t="s">
        <v>62</v>
      </c>
      <c r="C6" s="1228"/>
      <c r="D6" s="1242"/>
      <c r="E6" s="1242"/>
      <c r="F6" s="1242"/>
      <c r="G6" s="1242"/>
      <c r="H6" s="1242"/>
      <c r="I6" s="1242"/>
      <c r="J6" s="1242"/>
      <c r="K6" s="1242"/>
      <c r="L6" s="1242"/>
      <c r="M6" s="1243"/>
      <c r="N6" s="1223"/>
      <c r="O6" s="1223"/>
      <c r="P6" s="1224"/>
      <c r="Q6" s="1219" t="s">
        <v>62</v>
      </c>
      <c r="R6" s="1219"/>
      <c r="S6" s="1240"/>
      <c r="T6" s="1240"/>
      <c r="U6" s="1240"/>
      <c r="V6" s="1240"/>
      <c r="W6" s="1240"/>
      <c r="X6" s="1240"/>
      <c r="Y6" s="1240"/>
      <c r="Z6" s="1241"/>
      <c r="AA6" s="1270"/>
      <c r="AB6" s="1228" t="s">
        <v>62</v>
      </c>
      <c r="AC6" s="1228"/>
      <c r="AD6" s="1314" t="s">
        <v>63</v>
      </c>
      <c r="AE6" s="1314"/>
      <c r="AF6" s="1314"/>
      <c r="AG6" s="1314"/>
      <c r="AH6" s="1314"/>
      <c r="AI6" s="1314"/>
      <c r="AJ6" s="1314"/>
      <c r="AK6" s="1314"/>
      <c r="AL6" s="1314"/>
      <c r="AM6" s="1315"/>
      <c r="AN6" s="1223"/>
      <c r="AO6" s="1223"/>
      <c r="AP6" s="1224"/>
      <c r="AQ6" s="1219" t="s">
        <v>62</v>
      </c>
      <c r="AR6" s="1219"/>
      <c r="AS6" s="1272" t="s">
        <v>61</v>
      </c>
      <c r="AT6" s="1272"/>
      <c r="AU6" s="1272"/>
      <c r="AV6" s="1272"/>
      <c r="AW6" s="1272"/>
      <c r="AX6" s="1272"/>
      <c r="AY6" s="1272"/>
      <c r="AZ6" s="1273"/>
      <c r="BA6" s="968">
        <v>6</v>
      </c>
      <c r="BB6" s="971">
        <v>640820</v>
      </c>
      <c r="BC6" s="968" t="str">
        <f t="shared" si="0"/>
        <v>札幌市中央区大通西</v>
      </c>
      <c r="BD6" s="968" t="s">
        <v>564</v>
      </c>
      <c r="BE6" s="969" t="s">
        <v>1349</v>
      </c>
      <c r="BF6" s="969" t="s">
        <v>1834</v>
      </c>
      <c r="BG6" s="1147"/>
      <c r="BH6" s="969">
        <v>4</v>
      </c>
      <c r="BI6" s="968" t="s">
        <v>1422</v>
      </c>
      <c r="BJ6" s="968" t="s">
        <v>1921</v>
      </c>
      <c r="BK6" s="968" t="s">
        <v>1922</v>
      </c>
      <c r="BL6" s="968" t="s">
        <v>1423</v>
      </c>
      <c r="BM6" s="976">
        <v>600008</v>
      </c>
      <c r="BN6" s="978" t="s">
        <v>1424</v>
      </c>
      <c r="BO6" s="968" t="s">
        <v>2304</v>
      </c>
      <c r="BQ6" s="924"/>
      <c r="BR6" s="923"/>
    </row>
    <row r="7" spans="1:70" ht="24.95" customHeight="1">
      <c r="A7" s="1270"/>
      <c r="B7" s="1229" t="s">
        <v>60</v>
      </c>
      <c r="C7" s="1229"/>
      <c r="D7" s="249" t="s">
        <v>59</v>
      </c>
      <c r="E7" s="1295"/>
      <c r="F7" s="1295"/>
      <c r="G7" s="1295"/>
      <c r="H7" s="1295"/>
      <c r="I7" s="1295"/>
      <c r="J7" s="1295"/>
      <c r="K7" s="1295"/>
      <c r="L7" s="1299"/>
      <c r="M7" s="1299"/>
      <c r="N7" s="1299"/>
      <c r="O7" s="1299"/>
      <c r="P7" s="1299"/>
      <c r="Q7" s="1299"/>
      <c r="R7" s="1299"/>
      <c r="S7" s="1299"/>
      <c r="T7" s="1299"/>
      <c r="U7" s="1299"/>
      <c r="V7" s="1299"/>
      <c r="W7" s="1299"/>
      <c r="X7" s="1299"/>
      <c r="Y7" s="1299"/>
      <c r="Z7" s="1300"/>
      <c r="AA7" s="1270"/>
      <c r="AB7" s="1229" t="s">
        <v>60</v>
      </c>
      <c r="AC7" s="1229"/>
      <c r="AD7" s="249" t="s">
        <v>59</v>
      </c>
      <c r="AE7" s="1318">
        <v>50862</v>
      </c>
      <c r="AF7" s="1318"/>
      <c r="AG7" s="1318"/>
      <c r="AH7" s="1318"/>
      <c r="AI7" s="1318"/>
      <c r="AJ7" s="1318"/>
      <c r="AK7" s="1318"/>
      <c r="AL7" s="1319" t="s">
        <v>1829</v>
      </c>
      <c r="AM7" s="1319"/>
      <c r="AN7" s="1319"/>
      <c r="AO7" s="1319"/>
      <c r="AP7" s="1319"/>
      <c r="AQ7" s="1319"/>
      <c r="AR7" s="1319"/>
      <c r="AS7" s="1319"/>
      <c r="AT7" s="1319"/>
      <c r="AU7" s="1319"/>
      <c r="AV7" s="1319"/>
      <c r="AW7" s="1319"/>
      <c r="AX7" s="1319"/>
      <c r="AY7" s="1319"/>
      <c r="AZ7" s="1320"/>
      <c r="BA7" s="968">
        <v>7</v>
      </c>
      <c r="BB7" s="971">
        <v>600031</v>
      </c>
      <c r="BC7" s="968" t="str">
        <f t="shared" si="0"/>
        <v>札幌市中央区北一条東</v>
      </c>
      <c r="BD7" s="968" t="s">
        <v>564</v>
      </c>
      <c r="BE7" s="969" t="s">
        <v>576</v>
      </c>
      <c r="BF7" s="969" t="s">
        <v>1835</v>
      </c>
      <c r="BG7" s="1147"/>
      <c r="BH7" s="969">
        <v>5</v>
      </c>
      <c r="BI7" s="968" t="s">
        <v>1427</v>
      </c>
      <c r="BJ7" s="975" t="s">
        <v>1923</v>
      </c>
      <c r="BK7" s="975" t="s">
        <v>1925</v>
      </c>
      <c r="BL7" s="975" t="s">
        <v>1425</v>
      </c>
      <c r="BM7" s="976">
        <v>640921</v>
      </c>
      <c r="BN7" s="977" t="s">
        <v>1426</v>
      </c>
      <c r="BO7" s="968" t="s">
        <v>2305</v>
      </c>
      <c r="BQ7" s="923"/>
      <c r="BR7" s="923"/>
    </row>
    <row r="8" spans="1:70" ht="24.95" customHeight="1">
      <c r="A8" s="1270"/>
      <c r="B8" s="1228"/>
      <c r="C8" s="1228"/>
      <c r="D8" s="250" t="s">
        <v>1360</v>
      </c>
      <c r="E8" s="1242" t="str">
        <f>IFERROR(VLOOKUP(E7,BB2:BC821,2,FALSE),"")</f>
        <v/>
      </c>
      <c r="F8" s="1242"/>
      <c r="G8" s="1242"/>
      <c r="H8" s="1242"/>
      <c r="I8" s="1242"/>
      <c r="J8" s="1242"/>
      <c r="K8" s="1242"/>
      <c r="L8" s="1242"/>
      <c r="M8" s="1242"/>
      <c r="N8" s="1242"/>
      <c r="O8" s="1242"/>
      <c r="P8" s="1301" t="s">
        <v>1361</v>
      </c>
      <c r="Q8" s="1302"/>
      <c r="R8" s="1242" t="str">
        <f>IFERROR(VLOOKUP(D4,BI3:BO204,3,FALSE),"")</f>
        <v/>
      </c>
      <c r="S8" s="1242"/>
      <c r="T8" s="1242"/>
      <c r="U8" s="1242"/>
      <c r="V8" s="1242"/>
      <c r="W8" s="1242"/>
      <c r="X8" s="1242"/>
      <c r="Y8" s="1242"/>
      <c r="Z8" s="1243"/>
      <c r="AA8" s="1270"/>
      <c r="AB8" s="1228"/>
      <c r="AC8" s="1228"/>
      <c r="AD8" s="250" t="s">
        <v>1360</v>
      </c>
      <c r="AE8" s="1314" t="s">
        <v>2830</v>
      </c>
      <c r="AF8" s="1314"/>
      <c r="AG8" s="1314"/>
      <c r="AH8" s="1314"/>
      <c r="AI8" s="1314"/>
      <c r="AJ8" s="1314"/>
      <c r="AK8" s="1314"/>
      <c r="AL8" s="1314"/>
      <c r="AM8" s="1314"/>
      <c r="AN8" s="1314"/>
      <c r="AO8" s="1314"/>
      <c r="AP8" s="1301" t="s">
        <v>1361</v>
      </c>
      <c r="AQ8" s="1302"/>
      <c r="AR8" s="1314">
        <v>247</v>
      </c>
      <c r="AS8" s="1314"/>
      <c r="AT8" s="1314"/>
      <c r="AU8" s="1314"/>
      <c r="AV8" s="1314"/>
      <c r="AW8" s="1314"/>
      <c r="AX8" s="1314"/>
      <c r="AY8" s="1314"/>
      <c r="AZ8" s="1315"/>
      <c r="BA8" s="968">
        <v>8</v>
      </c>
      <c r="BB8" s="971">
        <v>600001</v>
      </c>
      <c r="BC8" s="968" t="str">
        <f t="shared" si="0"/>
        <v>札幌市中央区北一条西</v>
      </c>
      <c r="BD8" s="968" t="s">
        <v>564</v>
      </c>
      <c r="BE8" s="969" t="s">
        <v>1348</v>
      </c>
      <c r="BF8" s="969" t="s">
        <v>1836</v>
      </c>
      <c r="BG8" s="1147"/>
      <c r="BH8" s="969">
        <v>6</v>
      </c>
      <c r="BI8" s="979" t="s">
        <v>1429</v>
      </c>
      <c r="BJ8" s="975" t="s">
        <v>1926</v>
      </c>
      <c r="BK8" s="975" t="s">
        <v>1927</v>
      </c>
      <c r="BL8" s="975" t="s">
        <v>1430</v>
      </c>
      <c r="BM8" s="976">
        <v>640821</v>
      </c>
      <c r="BN8" s="978" t="s">
        <v>1428</v>
      </c>
      <c r="BO8" s="968" t="s">
        <v>2306</v>
      </c>
      <c r="BQ8" s="923"/>
      <c r="BR8" s="924"/>
    </row>
    <row r="9" spans="1:70" ht="24.95" customHeight="1">
      <c r="A9" s="1270"/>
      <c r="B9" s="1227" t="s">
        <v>57</v>
      </c>
      <c r="C9" s="1227"/>
      <c r="D9" s="1146" t="str">
        <f>IFERROR(VLOOKUP(D4,BI3:BO204,6,FALSE),"")</f>
        <v/>
      </c>
      <c r="E9" s="1146"/>
      <c r="F9" s="1146"/>
      <c r="G9" s="1146"/>
      <c r="H9" s="1146"/>
      <c r="I9" s="1146"/>
      <c r="J9" s="1146"/>
      <c r="K9" s="1146"/>
      <c r="L9" s="1146"/>
      <c r="M9" s="1146"/>
      <c r="N9" s="1146"/>
      <c r="O9" s="1245"/>
      <c r="P9" s="1245"/>
      <c r="Q9" s="1294"/>
      <c r="R9" s="1294"/>
      <c r="S9" s="251"/>
      <c r="T9" s="252"/>
      <c r="U9" s="252"/>
      <c r="V9" s="252"/>
      <c r="W9" s="252"/>
      <c r="X9" s="253"/>
      <c r="Y9" s="252"/>
      <c r="Z9" s="252"/>
      <c r="AA9" s="1270"/>
      <c r="AB9" s="1227" t="s">
        <v>55</v>
      </c>
      <c r="AC9" s="1227"/>
      <c r="AD9" s="1321" t="s">
        <v>2831</v>
      </c>
      <c r="AE9" s="1321"/>
      <c r="AF9" s="1321"/>
      <c r="AG9" s="1321"/>
      <c r="AH9" s="1321"/>
      <c r="AI9" s="1321"/>
      <c r="AJ9" s="1321"/>
      <c r="AK9" s="1321"/>
      <c r="AL9" s="1321"/>
      <c r="AM9" s="1321"/>
      <c r="AN9" s="1321"/>
      <c r="AO9" s="1245"/>
      <c r="AP9" s="1245"/>
      <c r="AQ9" s="1294"/>
      <c r="AR9" s="1294"/>
      <c r="AS9" s="251"/>
      <c r="AT9" s="255" t="b">
        <v>0</v>
      </c>
      <c r="AU9" s="256" t="b">
        <v>0</v>
      </c>
      <c r="AV9" s="256" t="b">
        <v>0</v>
      </c>
      <c r="AW9" s="256" t="b">
        <v>0</v>
      </c>
      <c r="AX9" s="253"/>
      <c r="AY9" s="1316" t="b">
        <v>0</v>
      </c>
      <c r="AZ9" s="1317"/>
      <c r="BA9" s="968">
        <v>9</v>
      </c>
      <c r="BB9" s="971">
        <v>640821</v>
      </c>
      <c r="BC9" s="968" t="str">
        <f t="shared" si="0"/>
        <v>札幌市中央区北一条西</v>
      </c>
      <c r="BD9" s="968" t="s">
        <v>564</v>
      </c>
      <c r="BE9" s="969" t="s">
        <v>1347</v>
      </c>
      <c r="BF9" s="969" t="s">
        <v>378</v>
      </c>
      <c r="BG9" s="1147"/>
      <c r="BH9" s="969">
        <v>7</v>
      </c>
      <c r="BI9" s="979" t="s">
        <v>1432</v>
      </c>
      <c r="BJ9" s="975" t="s">
        <v>1928</v>
      </c>
      <c r="BK9" s="975" t="s">
        <v>1929</v>
      </c>
      <c r="BL9" s="975" t="s">
        <v>1433</v>
      </c>
      <c r="BM9" s="976">
        <v>600062</v>
      </c>
      <c r="BN9" s="978" t="s">
        <v>1431</v>
      </c>
      <c r="BO9" s="968" t="s">
        <v>2307</v>
      </c>
      <c r="BQ9" s="923"/>
      <c r="BR9" s="923"/>
    </row>
    <row r="10" spans="1:70" ht="24.95" customHeight="1">
      <c r="A10" s="1270"/>
      <c r="B10" s="1227" t="s">
        <v>53</v>
      </c>
      <c r="C10" s="1227"/>
      <c r="D10" s="1146" t="str">
        <f>IFERROR(VLOOKUP(D4,BI3:BO204,7,FALSE),"")</f>
        <v/>
      </c>
      <c r="E10" s="1146"/>
      <c r="F10" s="1146"/>
      <c r="G10" s="1146"/>
      <c r="H10" s="1146"/>
      <c r="I10" s="1146"/>
      <c r="J10" s="1146"/>
      <c r="K10" s="1146"/>
      <c r="L10" s="1146"/>
      <c r="M10" s="1146"/>
      <c r="N10" s="1146"/>
      <c r="O10" s="254"/>
      <c r="P10" s="254"/>
      <c r="Q10" s="254"/>
      <c r="R10" s="254"/>
      <c r="S10" s="254"/>
      <c r="T10" s="253"/>
      <c r="U10" s="251"/>
      <c r="V10" s="251"/>
      <c r="W10" s="251"/>
      <c r="X10" s="253"/>
      <c r="Y10" s="1153"/>
      <c r="Z10" s="1154"/>
      <c r="AA10" s="1270"/>
      <c r="AB10" s="1227" t="s">
        <v>53</v>
      </c>
      <c r="AC10" s="1227"/>
      <c r="AD10" s="1321" t="s">
        <v>2832</v>
      </c>
      <c r="AE10" s="1321"/>
      <c r="AF10" s="1321"/>
      <c r="AG10" s="1321"/>
      <c r="AH10" s="1321"/>
      <c r="AI10" s="1321"/>
      <c r="AJ10" s="1321"/>
      <c r="AK10" s="1321"/>
      <c r="AL10" s="1321"/>
      <c r="AM10" s="1321"/>
      <c r="AN10" s="1321"/>
      <c r="AO10" s="254"/>
      <c r="AP10" s="254"/>
      <c r="AQ10" s="254"/>
      <c r="AR10" s="254"/>
      <c r="AS10" s="254"/>
      <c r="AT10" s="253"/>
      <c r="AU10" s="251"/>
      <c r="AV10" s="251"/>
      <c r="AW10" s="251"/>
      <c r="AX10" s="253"/>
      <c r="AY10" s="1153"/>
      <c r="AZ10" s="1154"/>
      <c r="BA10" s="968">
        <v>10</v>
      </c>
      <c r="BB10" s="971">
        <v>600032</v>
      </c>
      <c r="BC10" s="968" t="str">
        <f t="shared" si="0"/>
        <v>札幌市中央区北二条東</v>
      </c>
      <c r="BD10" s="968" t="s">
        <v>564</v>
      </c>
      <c r="BE10" s="969" t="s">
        <v>577</v>
      </c>
      <c r="BG10" s="1147"/>
      <c r="BH10" s="969">
        <v>8</v>
      </c>
      <c r="BI10" s="981" t="s">
        <v>1435</v>
      </c>
      <c r="BJ10" s="975" t="s">
        <v>1930</v>
      </c>
      <c r="BK10" s="975" t="s">
        <v>1931</v>
      </c>
      <c r="BL10" s="975" t="s">
        <v>1436</v>
      </c>
      <c r="BM10" s="982">
        <v>600008</v>
      </c>
      <c r="BN10" s="978" t="s">
        <v>1434</v>
      </c>
      <c r="BO10" s="968" t="s">
        <v>2308</v>
      </c>
      <c r="BQ10" s="923"/>
      <c r="BR10" s="923"/>
    </row>
    <row r="11" spans="1:70" ht="24.95" customHeight="1">
      <c r="A11" s="1271"/>
      <c r="B11" s="1219" t="s">
        <v>52</v>
      </c>
      <c r="C11" s="1219"/>
      <c r="D11" s="1232"/>
      <c r="E11" s="1232"/>
      <c r="F11" s="1232"/>
      <c r="G11" s="1232"/>
      <c r="H11" s="1232"/>
      <c r="I11" s="1232"/>
      <c r="J11" s="1232"/>
      <c r="K11" s="1232"/>
      <c r="L11" s="1232"/>
      <c r="M11" s="1232"/>
      <c r="N11" s="1232"/>
      <c r="O11" s="1232"/>
      <c r="P11" s="1232"/>
      <c r="Q11" s="1232"/>
      <c r="R11" s="1232"/>
      <c r="S11" s="1232"/>
      <c r="T11" s="1232"/>
      <c r="U11" s="1232"/>
      <c r="V11" s="1232"/>
      <c r="W11" s="1232"/>
      <c r="X11" s="1232"/>
      <c r="Y11" s="1232"/>
      <c r="Z11" s="1233"/>
      <c r="AA11" s="1271"/>
      <c r="AB11" s="1219" t="s">
        <v>51</v>
      </c>
      <c r="AC11" s="1219"/>
      <c r="AD11" s="1327" t="s">
        <v>50</v>
      </c>
      <c r="AE11" s="1327"/>
      <c r="AF11" s="1327"/>
      <c r="AG11" s="1327"/>
      <c r="AH11" s="1327"/>
      <c r="AI11" s="1327"/>
      <c r="AJ11" s="1327"/>
      <c r="AK11" s="1327"/>
      <c r="AL11" s="1327"/>
      <c r="AM11" s="1327"/>
      <c r="AN11" s="1327"/>
      <c r="AO11" s="1327"/>
      <c r="AP11" s="1327"/>
      <c r="AQ11" s="1327"/>
      <c r="AR11" s="1327"/>
      <c r="AS11" s="1327"/>
      <c r="AT11" s="1327"/>
      <c r="AU11" s="1327"/>
      <c r="AV11" s="1327"/>
      <c r="AW11" s="1327"/>
      <c r="AX11" s="1327"/>
      <c r="AY11" s="1327"/>
      <c r="AZ11" s="1328"/>
      <c r="BA11" s="968">
        <v>11</v>
      </c>
      <c r="BB11" s="971">
        <v>600002</v>
      </c>
      <c r="BC11" s="968" t="str">
        <f t="shared" si="0"/>
        <v>札幌市中央区北二条西</v>
      </c>
      <c r="BD11" s="968" t="s">
        <v>564</v>
      </c>
      <c r="BE11" s="969" t="s">
        <v>1346</v>
      </c>
      <c r="BG11" s="1147"/>
      <c r="BH11" s="969">
        <v>9</v>
      </c>
      <c r="BI11" s="979" t="s">
        <v>1439</v>
      </c>
      <c r="BJ11" s="975" t="s">
        <v>1932</v>
      </c>
      <c r="BK11" s="975" t="s">
        <v>1933</v>
      </c>
      <c r="BL11" s="975" t="s">
        <v>1438</v>
      </c>
      <c r="BM11" s="976">
        <v>640810</v>
      </c>
      <c r="BN11" s="983" t="s">
        <v>1437</v>
      </c>
      <c r="BO11" s="968" t="s">
        <v>2309</v>
      </c>
      <c r="BQ11" s="923"/>
      <c r="BR11" s="923"/>
    </row>
    <row r="12" spans="1:70" ht="20.100000000000001" customHeight="1">
      <c r="A12" s="1211" t="s">
        <v>49</v>
      </c>
      <c r="B12" s="1303"/>
      <c r="C12" s="1304"/>
      <c r="D12" s="1304"/>
      <c r="E12" s="1304"/>
      <c r="F12" s="1304"/>
      <c r="G12" s="1304"/>
      <c r="H12" s="1234" t="s">
        <v>16</v>
      </c>
      <c r="I12" s="1234"/>
      <c r="J12" s="1234"/>
      <c r="K12" s="1235"/>
      <c r="L12" s="1160" t="s">
        <v>48</v>
      </c>
      <c r="M12" s="1236"/>
      <c r="N12" s="1236"/>
      <c r="O12" s="1236"/>
      <c r="P12" s="1236"/>
      <c r="Q12" s="1236"/>
      <c r="R12" s="1236"/>
      <c r="S12" s="1236"/>
      <c r="T12" s="1236"/>
      <c r="U12" s="1237"/>
      <c r="V12" s="1159" t="s">
        <v>47</v>
      </c>
      <c r="W12" s="1160"/>
      <c r="X12" s="1160"/>
      <c r="Y12" s="1160"/>
      <c r="Z12" s="1161"/>
      <c r="AA12" s="1192" t="s">
        <v>49</v>
      </c>
      <c r="AB12" s="1303" t="s">
        <v>2959</v>
      </c>
      <c r="AC12" s="1304"/>
      <c r="AD12" s="1304"/>
      <c r="AE12" s="1304"/>
      <c r="AF12" s="1304"/>
      <c r="AG12" s="1304"/>
      <c r="AH12" s="1335" t="s">
        <v>16</v>
      </c>
      <c r="AI12" s="1335"/>
      <c r="AJ12" s="1335"/>
      <c r="AK12" s="1336"/>
      <c r="AL12" s="1357" t="s">
        <v>48</v>
      </c>
      <c r="AM12" s="1358"/>
      <c r="AN12" s="1358"/>
      <c r="AO12" s="1358"/>
      <c r="AP12" s="1358"/>
      <c r="AQ12" s="1358"/>
      <c r="AR12" s="1358"/>
      <c r="AS12" s="1358"/>
      <c r="AT12" s="1358"/>
      <c r="AU12" s="1359"/>
      <c r="AV12" s="1360" t="s">
        <v>47</v>
      </c>
      <c r="AW12" s="1357"/>
      <c r="AX12" s="1357"/>
      <c r="AY12" s="1357"/>
      <c r="AZ12" s="1361"/>
      <c r="BA12" s="968">
        <v>12</v>
      </c>
      <c r="BB12" s="971">
        <v>640822</v>
      </c>
      <c r="BC12" s="968" t="str">
        <f t="shared" si="0"/>
        <v>札幌市中央区北二条西</v>
      </c>
      <c r="BD12" s="968" t="s">
        <v>564</v>
      </c>
      <c r="BE12" s="969" t="s">
        <v>1346</v>
      </c>
      <c r="BG12" s="1147"/>
      <c r="BH12" s="969">
        <v>10</v>
      </c>
      <c r="BI12" s="968" t="s">
        <v>1451</v>
      </c>
      <c r="BJ12" s="984" t="s">
        <v>1934</v>
      </c>
      <c r="BK12" s="984" t="s">
        <v>1935</v>
      </c>
      <c r="BL12" s="975" t="s">
        <v>1596</v>
      </c>
      <c r="BM12" s="985" t="s">
        <v>1591</v>
      </c>
      <c r="BN12" s="986" t="s">
        <v>2299</v>
      </c>
      <c r="BO12" s="968" t="s">
        <v>2300</v>
      </c>
      <c r="BQ12" s="923"/>
      <c r="BR12" s="923"/>
    </row>
    <row r="13" spans="1:70" ht="20.100000000000001" customHeight="1">
      <c r="A13" s="1212"/>
      <c r="B13" s="1305"/>
      <c r="C13" s="1306"/>
      <c r="D13" s="1306"/>
      <c r="E13" s="1306"/>
      <c r="F13" s="1306"/>
      <c r="G13" s="1306"/>
      <c r="H13" s="1182"/>
      <c r="I13" s="1182"/>
      <c r="J13" s="1182"/>
      <c r="K13" s="1184"/>
      <c r="L13" s="1194"/>
      <c r="M13" s="1195"/>
      <c r="N13" s="1195"/>
      <c r="O13" s="1182" t="s">
        <v>46</v>
      </c>
      <c r="P13" s="1182"/>
      <c r="Q13" s="1150" t="str">
        <f>IF(L13=1,2,"")</f>
        <v/>
      </c>
      <c r="R13" s="1150"/>
      <c r="S13" s="1182" t="s">
        <v>14</v>
      </c>
      <c r="T13" s="1182"/>
      <c r="U13" s="257"/>
      <c r="V13" s="1307"/>
      <c r="W13" s="1308"/>
      <c r="X13" s="1308"/>
      <c r="Y13" s="1151" t="s">
        <v>14</v>
      </c>
      <c r="Z13" s="1152"/>
      <c r="AA13" s="1193"/>
      <c r="AB13" s="1305"/>
      <c r="AC13" s="1306"/>
      <c r="AD13" s="1306"/>
      <c r="AE13" s="1306"/>
      <c r="AF13" s="1306"/>
      <c r="AG13" s="1306"/>
      <c r="AH13" s="1191"/>
      <c r="AI13" s="1191"/>
      <c r="AJ13" s="1191"/>
      <c r="AK13" s="1326"/>
      <c r="AL13" s="1348">
        <v>1</v>
      </c>
      <c r="AM13" s="1294"/>
      <c r="AN13" s="1294"/>
      <c r="AO13" s="1191" t="s">
        <v>46</v>
      </c>
      <c r="AP13" s="1191"/>
      <c r="AQ13" s="1177">
        <v>2</v>
      </c>
      <c r="AR13" s="1177"/>
      <c r="AS13" s="1191" t="s">
        <v>14</v>
      </c>
      <c r="AT13" s="1191"/>
      <c r="AU13" s="267"/>
      <c r="AV13" s="1329"/>
      <c r="AW13" s="1330"/>
      <c r="AX13" s="1330"/>
      <c r="AY13" s="1346" t="s">
        <v>14</v>
      </c>
      <c r="AZ13" s="1347"/>
      <c r="BA13" s="968">
        <v>13</v>
      </c>
      <c r="BB13" s="971">
        <v>600033</v>
      </c>
      <c r="BC13" s="968" t="str">
        <f t="shared" si="0"/>
        <v>札幌市中央区北三条東</v>
      </c>
      <c r="BD13" s="968" t="s">
        <v>564</v>
      </c>
      <c r="BE13" s="969" t="s">
        <v>578</v>
      </c>
      <c r="BG13" s="1147"/>
      <c r="BH13" s="969">
        <v>11</v>
      </c>
      <c r="BI13" s="968" t="s">
        <v>1476</v>
      </c>
      <c r="BJ13" s="984" t="s">
        <v>1936</v>
      </c>
      <c r="BK13" s="984" t="s">
        <v>1937</v>
      </c>
      <c r="BL13" s="975" t="s">
        <v>1597</v>
      </c>
      <c r="BM13" s="987" t="s">
        <v>1592</v>
      </c>
      <c r="BN13" s="978" t="s">
        <v>2311</v>
      </c>
      <c r="BO13" s="968" t="s">
        <v>2310</v>
      </c>
      <c r="BQ13" s="923"/>
      <c r="BR13" s="923"/>
    </row>
    <row r="14" spans="1:70" ht="20.100000000000001" customHeight="1">
      <c r="A14" s="1212"/>
      <c r="B14" s="1230" t="s">
        <v>45</v>
      </c>
      <c r="C14" s="1155"/>
      <c r="D14" s="1156"/>
      <c r="E14" s="1181" t="s">
        <v>15</v>
      </c>
      <c r="F14" s="1156"/>
      <c r="G14" s="1156"/>
      <c r="H14" s="1181" t="s">
        <v>14</v>
      </c>
      <c r="I14" s="1181" t="s">
        <v>380</v>
      </c>
      <c r="J14" s="1185"/>
      <c r="K14" s="1183" t="s">
        <v>37</v>
      </c>
      <c r="L14" s="1196" t="s">
        <v>3021</v>
      </c>
      <c r="M14" s="1197"/>
      <c r="N14" s="1197"/>
      <c r="O14" s="1197"/>
      <c r="P14" s="1205"/>
      <c r="Q14" s="1196" t="s">
        <v>3022</v>
      </c>
      <c r="R14" s="1197"/>
      <c r="S14" s="1197"/>
      <c r="T14" s="1197"/>
      <c r="U14" s="1205"/>
      <c r="V14" s="1196" t="s">
        <v>3023</v>
      </c>
      <c r="W14" s="1197"/>
      <c r="X14" s="1197"/>
      <c r="Y14" s="1197"/>
      <c r="Z14" s="1198"/>
      <c r="AA14" s="1193"/>
      <c r="AB14" s="1331" t="s">
        <v>45</v>
      </c>
      <c r="AC14" s="1188" t="s">
        <v>39</v>
      </c>
      <c r="AD14" s="1188"/>
      <c r="AE14" s="1190" t="s">
        <v>15</v>
      </c>
      <c r="AF14" s="1188" t="s">
        <v>2833</v>
      </c>
      <c r="AG14" s="1188"/>
      <c r="AH14" s="1190" t="s">
        <v>14</v>
      </c>
      <c r="AI14" s="1190" t="s">
        <v>44</v>
      </c>
      <c r="AJ14" s="1190" t="s">
        <v>2836</v>
      </c>
      <c r="AK14" s="1362" t="s">
        <v>43</v>
      </c>
      <c r="AL14" s="1363" t="s">
        <v>3021</v>
      </c>
      <c r="AM14" s="1364"/>
      <c r="AN14" s="1364"/>
      <c r="AO14" s="1364"/>
      <c r="AP14" s="1365"/>
      <c r="AQ14" s="1168" t="s">
        <v>3024</v>
      </c>
      <c r="AR14" s="1169"/>
      <c r="AS14" s="1169"/>
      <c r="AT14" s="1169"/>
      <c r="AU14" s="1170"/>
      <c r="AV14" s="1337" t="s">
        <v>3025</v>
      </c>
      <c r="AW14" s="1338"/>
      <c r="AX14" s="1338"/>
      <c r="AY14" s="1338"/>
      <c r="AZ14" s="1339"/>
      <c r="BA14" s="968">
        <v>14</v>
      </c>
      <c r="BB14" s="971">
        <v>600003</v>
      </c>
      <c r="BC14" s="968" t="str">
        <f t="shared" si="0"/>
        <v>札幌市中央区北三条西</v>
      </c>
      <c r="BD14" s="968" t="s">
        <v>564</v>
      </c>
      <c r="BE14" s="969" t="s">
        <v>1345</v>
      </c>
      <c r="BG14" s="1147"/>
      <c r="BH14" s="969">
        <v>12</v>
      </c>
      <c r="BI14" s="988" t="s">
        <v>1574</v>
      </c>
      <c r="BJ14" s="984" t="s">
        <v>1938</v>
      </c>
      <c r="BK14" s="984" t="s">
        <v>1939</v>
      </c>
      <c r="BL14" s="968" t="s">
        <v>1598</v>
      </c>
      <c r="BM14" s="987" t="s">
        <v>1592</v>
      </c>
      <c r="BN14" s="978" t="s">
        <v>2312</v>
      </c>
      <c r="BO14" s="968" t="s">
        <v>2313</v>
      </c>
      <c r="BQ14" s="923"/>
      <c r="BR14" s="923"/>
    </row>
    <row r="15" spans="1:70" ht="20.100000000000001" customHeight="1">
      <c r="A15" s="1212"/>
      <c r="B15" s="1231"/>
      <c r="C15" s="1157"/>
      <c r="D15" s="1158"/>
      <c r="E15" s="1182"/>
      <c r="F15" s="1158"/>
      <c r="G15" s="1158"/>
      <c r="H15" s="1182"/>
      <c r="I15" s="1182"/>
      <c r="J15" s="1186"/>
      <c r="K15" s="1184"/>
      <c r="L15" s="1199"/>
      <c r="M15" s="1200"/>
      <c r="N15" s="1200"/>
      <c r="O15" s="1200"/>
      <c r="P15" s="1206"/>
      <c r="Q15" s="1199"/>
      <c r="R15" s="1200"/>
      <c r="S15" s="1200"/>
      <c r="T15" s="1200"/>
      <c r="U15" s="1206"/>
      <c r="V15" s="1199"/>
      <c r="W15" s="1200"/>
      <c r="X15" s="1200"/>
      <c r="Y15" s="1200"/>
      <c r="Z15" s="1201"/>
      <c r="AA15" s="1193"/>
      <c r="AB15" s="1332"/>
      <c r="AC15" s="1189"/>
      <c r="AD15" s="1189"/>
      <c r="AE15" s="1191"/>
      <c r="AF15" s="1189"/>
      <c r="AG15" s="1189"/>
      <c r="AH15" s="1191"/>
      <c r="AI15" s="1191"/>
      <c r="AJ15" s="1191"/>
      <c r="AK15" s="1326"/>
      <c r="AL15" s="1366"/>
      <c r="AM15" s="1367"/>
      <c r="AN15" s="1367"/>
      <c r="AO15" s="1367"/>
      <c r="AP15" s="1368"/>
      <c r="AQ15" s="1171"/>
      <c r="AR15" s="1172"/>
      <c r="AS15" s="1172"/>
      <c r="AT15" s="1172"/>
      <c r="AU15" s="1173"/>
      <c r="AV15" s="1340"/>
      <c r="AW15" s="1341"/>
      <c r="AX15" s="1341"/>
      <c r="AY15" s="1341"/>
      <c r="AZ15" s="1342"/>
      <c r="BA15" s="968">
        <v>15</v>
      </c>
      <c r="BB15" s="971">
        <v>640823</v>
      </c>
      <c r="BC15" s="968" t="str">
        <f t="shared" si="0"/>
        <v>札幌市中央区北三条西</v>
      </c>
      <c r="BD15" s="968" t="s">
        <v>564</v>
      </c>
      <c r="BE15" s="969" t="s">
        <v>1344</v>
      </c>
      <c r="BG15" s="1147"/>
      <c r="BH15" s="969">
        <v>13</v>
      </c>
      <c r="BI15" s="968" t="s">
        <v>1551</v>
      </c>
      <c r="BJ15" s="984" t="s">
        <v>1940</v>
      </c>
      <c r="BK15" s="984" t="s">
        <v>1941</v>
      </c>
      <c r="BL15" s="989" t="s">
        <v>1599</v>
      </c>
      <c r="BM15" s="987" t="s">
        <v>1593</v>
      </c>
      <c r="BN15" s="978" t="s">
        <v>2314</v>
      </c>
      <c r="BO15" s="968" t="s">
        <v>2315</v>
      </c>
      <c r="BQ15" s="923"/>
      <c r="BR15" s="923"/>
    </row>
    <row r="16" spans="1:70" ht="20.100000000000001" customHeight="1">
      <c r="A16" s="1212"/>
      <c r="B16" s="1225" t="s">
        <v>40</v>
      </c>
      <c r="C16" s="1155"/>
      <c r="D16" s="1156"/>
      <c r="E16" s="1181" t="s">
        <v>15</v>
      </c>
      <c r="F16" s="1156"/>
      <c r="G16" s="1156"/>
      <c r="H16" s="1181" t="s">
        <v>14</v>
      </c>
      <c r="I16" s="1181" t="s">
        <v>380</v>
      </c>
      <c r="J16" s="1185"/>
      <c r="K16" s="1183" t="s">
        <v>37</v>
      </c>
      <c r="L16" s="1202"/>
      <c r="M16" s="1203"/>
      <c r="N16" s="1203"/>
      <c r="O16" s="1203"/>
      <c r="P16" s="1207"/>
      <c r="Q16" s="1202"/>
      <c r="R16" s="1203"/>
      <c r="S16" s="1203"/>
      <c r="T16" s="1203"/>
      <c r="U16" s="1207"/>
      <c r="V16" s="1202"/>
      <c r="W16" s="1203"/>
      <c r="X16" s="1203"/>
      <c r="Y16" s="1203"/>
      <c r="Z16" s="1204"/>
      <c r="AA16" s="1193"/>
      <c r="AB16" s="1350" t="s">
        <v>40</v>
      </c>
      <c r="AC16" s="1352" t="s">
        <v>39</v>
      </c>
      <c r="AD16" s="1352"/>
      <c r="AE16" s="1324" t="s">
        <v>15</v>
      </c>
      <c r="AF16" s="1352" t="s">
        <v>2835</v>
      </c>
      <c r="AG16" s="1352"/>
      <c r="AH16" s="1324" t="s">
        <v>14</v>
      </c>
      <c r="AI16" s="1324" t="s">
        <v>38</v>
      </c>
      <c r="AJ16" s="1324" t="s">
        <v>2837</v>
      </c>
      <c r="AK16" s="1325" t="s">
        <v>37</v>
      </c>
      <c r="AL16" s="1369"/>
      <c r="AM16" s="1370"/>
      <c r="AN16" s="1370"/>
      <c r="AO16" s="1370"/>
      <c r="AP16" s="1371"/>
      <c r="AQ16" s="1174"/>
      <c r="AR16" s="1175"/>
      <c r="AS16" s="1175"/>
      <c r="AT16" s="1175"/>
      <c r="AU16" s="1176"/>
      <c r="AV16" s="1343"/>
      <c r="AW16" s="1344"/>
      <c r="AX16" s="1344"/>
      <c r="AY16" s="1344"/>
      <c r="AZ16" s="1345"/>
      <c r="BA16" s="968">
        <v>16</v>
      </c>
      <c r="BB16" s="971">
        <v>600034</v>
      </c>
      <c r="BC16" s="968" t="str">
        <f t="shared" si="0"/>
        <v>札幌市中央区北四条東</v>
      </c>
      <c r="BD16" s="968" t="s">
        <v>564</v>
      </c>
      <c r="BE16" s="969" t="s">
        <v>1318</v>
      </c>
      <c r="BG16" s="1147"/>
      <c r="BH16" s="969">
        <v>14</v>
      </c>
      <c r="BI16" s="968" t="s">
        <v>1583</v>
      </c>
      <c r="BJ16" s="984" t="s">
        <v>1942</v>
      </c>
      <c r="BK16" s="984" t="s">
        <v>1943</v>
      </c>
      <c r="BL16" s="989" t="s">
        <v>1600</v>
      </c>
      <c r="BM16" s="987" t="s">
        <v>1594</v>
      </c>
      <c r="BN16" s="978" t="s">
        <v>2316</v>
      </c>
      <c r="BO16" s="968" t="s">
        <v>2317</v>
      </c>
      <c r="BQ16" s="923"/>
      <c r="BR16" s="923"/>
    </row>
    <row r="17" spans="1:75" s="4" customFormat="1" ht="20.100000000000001" customHeight="1">
      <c r="A17" s="1212"/>
      <c r="B17" s="1226"/>
      <c r="C17" s="1157"/>
      <c r="D17" s="1158"/>
      <c r="E17" s="1182"/>
      <c r="F17" s="1158"/>
      <c r="G17" s="1158"/>
      <c r="H17" s="1182"/>
      <c r="I17" s="1182"/>
      <c r="J17" s="1186"/>
      <c r="K17" s="1184"/>
      <c r="L17" s="1208" t="s">
        <v>1896</v>
      </c>
      <c r="M17" s="1209"/>
      <c r="N17" s="1209"/>
      <c r="O17" s="1209"/>
      <c r="P17" s="1209"/>
      <c r="Q17" s="1209"/>
      <c r="R17" s="1209"/>
      <c r="S17" s="1209"/>
      <c r="T17" s="1187"/>
      <c r="U17" s="1187"/>
      <c r="V17" s="258" t="s">
        <v>34</v>
      </c>
      <c r="W17" s="258" t="s">
        <v>35</v>
      </c>
      <c r="X17" s="1187"/>
      <c r="Y17" s="1187"/>
      <c r="Z17" s="259" t="s">
        <v>34</v>
      </c>
      <c r="AA17" s="1193"/>
      <c r="AB17" s="1351"/>
      <c r="AC17" s="1189"/>
      <c r="AD17" s="1189"/>
      <c r="AE17" s="1191"/>
      <c r="AF17" s="1189"/>
      <c r="AG17" s="1189"/>
      <c r="AH17" s="1191"/>
      <c r="AI17" s="1191"/>
      <c r="AJ17" s="1191"/>
      <c r="AK17" s="1326"/>
      <c r="AL17" s="268"/>
      <c r="AM17" s="1349" t="s">
        <v>36</v>
      </c>
      <c r="AN17" s="1349"/>
      <c r="AO17" s="1349"/>
      <c r="AP17" s="1349"/>
      <c r="AQ17" s="1349"/>
      <c r="AR17" s="1349"/>
      <c r="AS17" s="1349"/>
      <c r="AT17" s="1349"/>
      <c r="AU17" s="1349"/>
      <c r="AV17" s="269" t="s">
        <v>34</v>
      </c>
      <c r="AW17" s="269" t="s">
        <v>35</v>
      </c>
      <c r="AX17" s="1349"/>
      <c r="AY17" s="1349"/>
      <c r="AZ17" s="270" t="s">
        <v>34</v>
      </c>
      <c r="BA17" s="968">
        <v>17</v>
      </c>
      <c r="BB17" s="971">
        <v>600004</v>
      </c>
      <c r="BC17" s="968" t="str">
        <f t="shared" si="0"/>
        <v>札幌市中央区北四条西</v>
      </c>
      <c r="BD17" s="968" t="s">
        <v>564</v>
      </c>
      <c r="BE17" s="969" t="s">
        <v>1343</v>
      </c>
      <c r="BF17" s="990"/>
      <c r="BG17" s="1147"/>
      <c r="BH17" s="969">
        <v>15</v>
      </c>
      <c r="BI17" s="968" t="s">
        <v>1478</v>
      </c>
      <c r="BJ17" s="984" t="s">
        <v>1944</v>
      </c>
      <c r="BK17" s="984" t="s">
        <v>1945</v>
      </c>
      <c r="BL17" s="989" t="s">
        <v>1601</v>
      </c>
      <c r="BM17" s="987" t="s">
        <v>1595</v>
      </c>
      <c r="BN17" s="991" t="s">
        <v>2318</v>
      </c>
      <c r="BO17" s="979" t="s">
        <v>2319</v>
      </c>
      <c r="BP17" s="990"/>
      <c r="BQ17" s="923"/>
      <c r="BR17" s="923"/>
      <c r="BS17" s="925"/>
      <c r="BT17" s="925"/>
      <c r="BU17" s="925"/>
      <c r="BV17" s="925"/>
      <c r="BW17" s="925"/>
    </row>
    <row r="18" spans="1:75" s="4" customFormat="1" ht="20.100000000000001" customHeight="1">
      <c r="A18" s="1270" t="s">
        <v>33</v>
      </c>
      <c r="B18" s="1284"/>
      <c r="C18" s="1284"/>
      <c r="D18" s="1284"/>
      <c r="E18" s="1289" t="s">
        <v>32</v>
      </c>
      <c r="F18" s="1290"/>
      <c r="G18" s="1296"/>
      <c r="H18" s="1296"/>
      <c r="I18" s="1296"/>
      <c r="J18" s="1296"/>
      <c r="K18" s="1287"/>
      <c r="L18" s="1287"/>
      <c r="M18" s="1287"/>
      <c r="N18" s="1286"/>
      <c r="O18" s="1286"/>
      <c r="P18" s="260"/>
      <c r="Q18" s="1281" t="s">
        <v>31</v>
      </c>
      <c r="R18" s="1282"/>
      <c r="S18" s="1282"/>
      <c r="T18" s="1282"/>
      <c r="U18" s="1282"/>
      <c r="V18" s="1282"/>
      <c r="W18" s="1311" t="s">
        <v>1898</v>
      </c>
      <c r="X18" s="1311"/>
      <c r="Y18" s="1311"/>
      <c r="Z18" s="1312"/>
      <c r="AA18" s="1270" t="s">
        <v>33</v>
      </c>
      <c r="AB18" s="1333">
        <v>111</v>
      </c>
      <c r="AC18" s="1333"/>
      <c r="AD18" s="1333"/>
      <c r="AE18" s="1289" t="s">
        <v>32</v>
      </c>
      <c r="AF18" s="1290"/>
      <c r="AG18" s="1296"/>
      <c r="AH18" s="1296"/>
      <c r="AI18" s="1296"/>
      <c r="AJ18" s="1296"/>
      <c r="AK18" s="1287"/>
      <c r="AL18" s="1287"/>
      <c r="AM18" s="1287"/>
      <c r="AN18" s="1286"/>
      <c r="AO18" s="1286"/>
      <c r="AP18" s="260"/>
      <c r="AQ18" s="1281" t="s">
        <v>31</v>
      </c>
      <c r="AR18" s="1282"/>
      <c r="AS18" s="1282"/>
      <c r="AT18" s="1282"/>
      <c r="AU18" s="1282"/>
      <c r="AV18" s="1282"/>
      <c r="AW18" s="271"/>
      <c r="AX18" s="1248" t="s">
        <v>30</v>
      </c>
      <c r="AY18" s="1248"/>
      <c r="AZ18" s="1373"/>
      <c r="BA18" s="968">
        <v>18</v>
      </c>
      <c r="BB18" s="971">
        <v>640825</v>
      </c>
      <c r="BC18" s="968" t="str">
        <f t="shared" si="0"/>
        <v>札幌市中央区北五条西</v>
      </c>
      <c r="BD18" s="968" t="s">
        <v>564</v>
      </c>
      <c r="BE18" s="969" t="s">
        <v>1342</v>
      </c>
      <c r="BF18" s="990"/>
      <c r="BG18" s="1147"/>
      <c r="BH18" s="969">
        <v>19</v>
      </c>
      <c r="BI18" s="968" t="s">
        <v>1582</v>
      </c>
      <c r="BJ18" s="968" t="s">
        <v>1947</v>
      </c>
      <c r="BK18" s="968" t="s">
        <v>1948</v>
      </c>
      <c r="BL18" s="989" t="s">
        <v>1603</v>
      </c>
      <c r="BM18" s="976">
        <v>630001</v>
      </c>
      <c r="BN18" s="992" t="s">
        <v>2380</v>
      </c>
      <c r="BO18" s="992" t="s">
        <v>2381</v>
      </c>
      <c r="BP18" s="990"/>
      <c r="BQ18" s="925"/>
      <c r="BR18" s="925"/>
      <c r="BS18" s="925"/>
      <c r="BT18" s="925"/>
      <c r="BU18" s="925"/>
      <c r="BV18" s="925"/>
      <c r="BW18" s="925"/>
    </row>
    <row r="19" spans="1:75" s="4" customFormat="1" ht="20.100000000000001" customHeight="1">
      <c r="A19" s="1271"/>
      <c r="B19" s="1285"/>
      <c r="C19" s="1285"/>
      <c r="D19" s="1285"/>
      <c r="E19" s="1291"/>
      <c r="F19" s="1292"/>
      <c r="G19" s="1149"/>
      <c r="H19" s="1149"/>
      <c r="I19" s="1149"/>
      <c r="J19" s="1149"/>
      <c r="K19" s="1288"/>
      <c r="L19" s="1288"/>
      <c r="M19" s="1288"/>
      <c r="N19" s="1162"/>
      <c r="O19" s="1162"/>
      <c r="P19" s="261"/>
      <c r="Q19" s="1283"/>
      <c r="R19" s="1149"/>
      <c r="S19" s="1149"/>
      <c r="T19" s="1149"/>
      <c r="U19" s="1149"/>
      <c r="V19" s="1149"/>
      <c r="W19" s="1309" t="s">
        <v>1897</v>
      </c>
      <c r="X19" s="1309"/>
      <c r="Y19" s="1309"/>
      <c r="Z19" s="1310"/>
      <c r="AA19" s="1271"/>
      <c r="AB19" s="1334"/>
      <c r="AC19" s="1334"/>
      <c r="AD19" s="1334"/>
      <c r="AE19" s="1291"/>
      <c r="AF19" s="1292"/>
      <c r="AG19" s="1149"/>
      <c r="AH19" s="1149"/>
      <c r="AI19" s="1149"/>
      <c r="AJ19" s="1149"/>
      <c r="AK19" s="1288"/>
      <c r="AL19" s="1288"/>
      <c r="AM19" s="1288"/>
      <c r="AN19" s="1162"/>
      <c r="AO19" s="1162"/>
      <c r="AP19" s="261"/>
      <c r="AQ19" s="1283"/>
      <c r="AR19" s="1149"/>
      <c r="AS19" s="1149"/>
      <c r="AT19" s="1149"/>
      <c r="AU19" s="1149"/>
      <c r="AV19" s="1149"/>
      <c r="AW19" s="272"/>
      <c r="AX19" s="1266" t="s">
        <v>29</v>
      </c>
      <c r="AY19" s="1266"/>
      <c r="AZ19" s="1372"/>
      <c r="BA19" s="968">
        <v>19</v>
      </c>
      <c r="BB19" s="971">
        <v>600006</v>
      </c>
      <c r="BC19" s="968" t="str">
        <f t="shared" si="0"/>
        <v>札幌市中央区北六条西</v>
      </c>
      <c r="BD19" s="968" t="s">
        <v>564</v>
      </c>
      <c r="BE19" s="969" t="s">
        <v>1341</v>
      </c>
      <c r="BF19" s="990"/>
      <c r="BG19" s="1147"/>
      <c r="BH19" s="969">
        <v>20</v>
      </c>
      <c r="BI19" s="968" t="s">
        <v>1581</v>
      </c>
      <c r="BJ19" s="968" t="s">
        <v>1949</v>
      </c>
      <c r="BK19" s="968" t="s">
        <v>1950</v>
      </c>
      <c r="BL19" s="989" t="s">
        <v>1604</v>
      </c>
      <c r="BM19" s="976">
        <v>630005</v>
      </c>
      <c r="BN19" s="992" t="s">
        <v>2356</v>
      </c>
      <c r="BO19" s="992" t="s">
        <v>2357</v>
      </c>
      <c r="BP19" s="990"/>
      <c r="BQ19" s="925"/>
      <c r="BR19" s="925"/>
      <c r="BS19" s="925"/>
      <c r="BT19" s="925"/>
      <c r="BU19" s="925"/>
      <c r="BV19" s="925"/>
      <c r="BW19" s="925"/>
    </row>
    <row r="20" spans="1:75" s="4" customFormat="1" ht="21" customHeight="1">
      <c r="A20" s="1246" t="s">
        <v>28</v>
      </c>
      <c r="B20" s="262"/>
      <c r="C20" s="1265" t="s">
        <v>27</v>
      </c>
      <c r="D20" s="1265"/>
      <c r="E20" s="1265"/>
      <c r="F20" s="1265"/>
      <c r="G20" s="1297"/>
      <c r="H20" s="1297"/>
      <c r="I20" s="1297"/>
      <c r="J20" s="1297"/>
      <c r="K20" s="1297"/>
      <c r="L20" s="1297"/>
      <c r="M20" s="1297"/>
      <c r="N20" s="1298"/>
      <c r="O20" s="1250" t="s">
        <v>3047</v>
      </c>
      <c r="P20" s="1251"/>
      <c r="Q20" s="1251"/>
      <c r="R20" s="1251"/>
      <c r="S20" s="1251"/>
      <c r="T20" s="1251"/>
      <c r="U20" s="1251"/>
      <c r="V20" s="1251"/>
      <c r="W20" s="1251"/>
      <c r="X20" s="1251"/>
      <c r="Y20" s="1251"/>
      <c r="Z20" s="1252"/>
      <c r="AA20" s="1246" t="s">
        <v>28</v>
      </c>
      <c r="AB20" s="273"/>
      <c r="AC20" s="1265" t="s">
        <v>27</v>
      </c>
      <c r="AD20" s="1265"/>
      <c r="AE20" s="1265"/>
      <c r="AF20" s="1265"/>
      <c r="AG20" s="1322"/>
      <c r="AH20" s="1322"/>
      <c r="AI20" s="1322"/>
      <c r="AJ20" s="1322"/>
      <c r="AK20" s="1322"/>
      <c r="AL20" s="1322"/>
      <c r="AM20" s="1322"/>
      <c r="AN20" s="1323" t="b">
        <v>1</v>
      </c>
      <c r="AO20" s="1374" t="s">
        <v>3017</v>
      </c>
      <c r="AP20" s="1375"/>
      <c r="AQ20" s="1375"/>
      <c r="AR20" s="1375"/>
      <c r="AS20" s="1375"/>
      <c r="AT20" s="1375"/>
      <c r="AU20" s="1375"/>
      <c r="AV20" s="1375"/>
      <c r="AW20" s="1375"/>
      <c r="AX20" s="1375"/>
      <c r="AY20" s="1375"/>
      <c r="AZ20" s="1376"/>
      <c r="BA20" s="968">
        <v>20</v>
      </c>
      <c r="BB20" s="971">
        <v>640826</v>
      </c>
      <c r="BC20" s="968" t="str">
        <f t="shared" si="0"/>
        <v>札幌市中央区北六条西</v>
      </c>
      <c r="BD20" s="968" t="s">
        <v>564</v>
      </c>
      <c r="BE20" s="969" t="s">
        <v>1341</v>
      </c>
      <c r="BF20" s="990"/>
      <c r="BG20" s="1147"/>
      <c r="BH20" s="969">
        <v>21</v>
      </c>
      <c r="BI20" s="968" t="s">
        <v>1589</v>
      </c>
      <c r="BJ20" s="968" t="s">
        <v>1951</v>
      </c>
      <c r="BK20" s="968" t="s">
        <v>1952</v>
      </c>
      <c r="BL20" s="989" t="s">
        <v>1605</v>
      </c>
      <c r="BM20" s="976">
        <v>630005</v>
      </c>
      <c r="BN20" s="993"/>
      <c r="BO20" s="990"/>
      <c r="BP20" s="990"/>
      <c r="BQ20" s="925"/>
      <c r="BR20" s="925"/>
      <c r="BS20" s="925"/>
      <c r="BT20" s="925"/>
      <c r="BU20" s="925"/>
      <c r="BV20" s="925"/>
      <c r="BW20" s="925"/>
    </row>
    <row r="21" spans="1:75" s="4" customFormat="1" ht="21" customHeight="1">
      <c r="A21" s="1246"/>
      <c r="B21" s="263"/>
      <c r="C21" s="1248" t="s">
        <v>26</v>
      </c>
      <c r="D21" s="1248"/>
      <c r="E21" s="1248"/>
      <c r="F21" s="1248"/>
      <c r="G21" s="1248"/>
      <c r="H21" s="1248"/>
      <c r="I21" s="1248"/>
      <c r="J21" s="1248"/>
      <c r="K21" s="1248"/>
      <c r="L21" s="1248"/>
      <c r="M21" s="1248"/>
      <c r="N21" s="1249"/>
      <c r="O21" s="1253"/>
      <c r="P21" s="1254"/>
      <c r="Q21" s="1254"/>
      <c r="R21" s="1254"/>
      <c r="S21" s="1254"/>
      <c r="T21" s="1254"/>
      <c r="U21" s="1254"/>
      <c r="V21" s="1254"/>
      <c r="W21" s="1254"/>
      <c r="X21" s="1254"/>
      <c r="Y21" s="1254"/>
      <c r="Z21" s="1255"/>
      <c r="AA21" s="1246"/>
      <c r="AB21" s="274"/>
      <c r="AC21" s="1248" t="s">
        <v>26</v>
      </c>
      <c r="AD21" s="1248"/>
      <c r="AE21" s="1248"/>
      <c r="AF21" s="1248"/>
      <c r="AG21" s="1248"/>
      <c r="AH21" s="1248"/>
      <c r="AI21" s="1248"/>
      <c r="AJ21" s="1248"/>
      <c r="AK21" s="1248"/>
      <c r="AL21" s="1248"/>
      <c r="AM21" s="1248"/>
      <c r="AN21" s="1249"/>
      <c r="AO21" s="1377"/>
      <c r="AP21" s="1378"/>
      <c r="AQ21" s="1378"/>
      <c r="AR21" s="1378"/>
      <c r="AS21" s="1378"/>
      <c r="AT21" s="1378"/>
      <c r="AU21" s="1378"/>
      <c r="AV21" s="1378"/>
      <c r="AW21" s="1378"/>
      <c r="AX21" s="1378"/>
      <c r="AY21" s="1378"/>
      <c r="AZ21" s="1379"/>
      <c r="BA21" s="968">
        <v>21</v>
      </c>
      <c r="BB21" s="971">
        <v>600007</v>
      </c>
      <c r="BC21" s="968" t="str">
        <f t="shared" si="0"/>
        <v>札幌市中央区北七条西</v>
      </c>
      <c r="BD21" s="968" t="s">
        <v>564</v>
      </c>
      <c r="BE21" s="969" t="s">
        <v>579</v>
      </c>
      <c r="BF21" s="990"/>
      <c r="BG21" s="1147"/>
      <c r="BH21" s="969">
        <v>22</v>
      </c>
      <c r="BI21" s="968" t="s">
        <v>1492</v>
      </c>
      <c r="BJ21" s="968" t="s">
        <v>1953</v>
      </c>
      <c r="BK21" s="968" t="s">
        <v>1954</v>
      </c>
      <c r="BL21" s="989" t="s">
        <v>1606</v>
      </c>
      <c r="BM21" s="976">
        <v>630031</v>
      </c>
      <c r="BN21" s="992" t="s">
        <v>2382</v>
      </c>
      <c r="BO21" s="992" t="s">
        <v>2383</v>
      </c>
      <c r="BP21" s="990"/>
      <c r="BQ21" s="925"/>
      <c r="BR21" s="925"/>
      <c r="BS21" s="925"/>
      <c r="BT21" s="925"/>
      <c r="BU21" s="925"/>
      <c r="BV21" s="925"/>
      <c r="BW21" s="925"/>
    </row>
    <row r="22" spans="1:75" s="4" customFormat="1" ht="21" customHeight="1">
      <c r="A22" s="1246"/>
      <c r="B22" s="263"/>
      <c r="C22" s="1248" t="s">
        <v>25</v>
      </c>
      <c r="D22" s="1248"/>
      <c r="E22" s="1248"/>
      <c r="F22" s="1248"/>
      <c r="G22" s="1248"/>
      <c r="H22" s="1248"/>
      <c r="I22" s="1248"/>
      <c r="J22" s="1248"/>
      <c r="K22" s="1248"/>
      <c r="L22" s="1248"/>
      <c r="M22" s="1248"/>
      <c r="N22" s="1249"/>
      <c r="O22" s="1253"/>
      <c r="P22" s="1254"/>
      <c r="Q22" s="1254"/>
      <c r="R22" s="1254"/>
      <c r="S22" s="1254"/>
      <c r="T22" s="1254"/>
      <c r="U22" s="1254"/>
      <c r="V22" s="1254"/>
      <c r="W22" s="1254"/>
      <c r="X22" s="1254"/>
      <c r="Y22" s="1254"/>
      <c r="Z22" s="1255"/>
      <c r="AA22" s="1246"/>
      <c r="AB22" s="274"/>
      <c r="AC22" s="1248" t="s">
        <v>25</v>
      </c>
      <c r="AD22" s="1248"/>
      <c r="AE22" s="1248"/>
      <c r="AF22" s="1248"/>
      <c r="AG22" s="1248"/>
      <c r="AH22" s="1248"/>
      <c r="AI22" s="1248"/>
      <c r="AJ22" s="1248"/>
      <c r="AK22" s="1248"/>
      <c r="AL22" s="1248"/>
      <c r="AM22" s="1248"/>
      <c r="AN22" s="1249"/>
      <c r="AO22" s="1377"/>
      <c r="AP22" s="1378"/>
      <c r="AQ22" s="1378"/>
      <c r="AR22" s="1378"/>
      <c r="AS22" s="1378"/>
      <c r="AT22" s="1378"/>
      <c r="AU22" s="1378"/>
      <c r="AV22" s="1378"/>
      <c r="AW22" s="1378"/>
      <c r="AX22" s="1378"/>
      <c r="AY22" s="1378"/>
      <c r="AZ22" s="1379"/>
      <c r="BA22" s="968">
        <v>22</v>
      </c>
      <c r="BB22" s="971">
        <v>600008</v>
      </c>
      <c r="BC22" s="968" t="str">
        <f t="shared" si="0"/>
        <v>札幌市中央区北八条西</v>
      </c>
      <c r="BD22" s="968" t="s">
        <v>564</v>
      </c>
      <c r="BE22" s="969" t="s">
        <v>580</v>
      </c>
      <c r="BF22" s="990"/>
      <c r="BG22" s="1147"/>
      <c r="BH22" s="969">
        <v>23</v>
      </c>
      <c r="BI22" s="988" t="s">
        <v>1500</v>
      </c>
      <c r="BJ22" s="968" t="s">
        <v>1955</v>
      </c>
      <c r="BK22" s="968" t="s">
        <v>1956</v>
      </c>
      <c r="BL22" s="989" t="s">
        <v>1607</v>
      </c>
      <c r="BM22" s="976">
        <v>630034</v>
      </c>
      <c r="BN22" s="992" t="s">
        <v>2358</v>
      </c>
      <c r="BO22" s="992" t="s">
        <v>2359</v>
      </c>
      <c r="BP22" s="990"/>
      <c r="BQ22" s="925"/>
      <c r="BR22" s="925"/>
      <c r="BS22" s="925"/>
      <c r="BT22" s="925"/>
      <c r="BU22" s="925"/>
      <c r="BV22" s="925"/>
      <c r="BW22" s="925"/>
    </row>
    <row r="23" spans="1:75" s="4" customFormat="1" ht="21" customHeight="1">
      <c r="A23" s="1246"/>
      <c r="B23" s="262"/>
      <c r="C23" s="1248" t="s">
        <v>3046</v>
      </c>
      <c r="D23" s="1248"/>
      <c r="E23" s="1248"/>
      <c r="F23" s="1248"/>
      <c r="G23" s="1248"/>
      <c r="H23" s="1248"/>
      <c r="I23" s="1248"/>
      <c r="J23" s="1248"/>
      <c r="K23" s="1248"/>
      <c r="L23" s="1248"/>
      <c r="M23" s="1248"/>
      <c r="N23" s="1249"/>
      <c r="O23" s="1253"/>
      <c r="P23" s="1254"/>
      <c r="Q23" s="1254"/>
      <c r="R23" s="1254"/>
      <c r="S23" s="1254"/>
      <c r="T23" s="1254"/>
      <c r="U23" s="1254"/>
      <c r="V23" s="1254"/>
      <c r="W23" s="1254"/>
      <c r="X23" s="1254"/>
      <c r="Y23" s="1254"/>
      <c r="Z23" s="1255"/>
      <c r="AA23" s="1246"/>
      <c r="AB23" s="273"/>
      <c r="AC23" s="1248" t="s">
        <v>24</v>
      </c>
      <c r="AD23" s="1248"/>
      <c r="AE23" s="1248"/>
      <c r="AF23" s="1248"/>
      <c r="AG23" s="1248"/>
      <c r="AH23" s="1248"/>
      <c r="AI23" s="1248"/>
      <c r="AJ23" s="1248"/>
      <c r="AK23" s="1248"/>
      <c r="AL23" s="1248"/>
      <c r="AM23" s="1248"/>
      <c r="AN23" s="1249"/>
      <c r="AO23" s="1377"/>
      <c r="AP23" s="1378"/>
      <c r="AQ23" s="1378"/>
      <c r="AR23" s="1378"/>
      <c r="AS23" s="1378"/>
      <c r="AT23" s="1378"/>
      <c r="AU23" s="1378"/>
      <c r="AV23" s="1378"/>
      <c r="AW23" s="1378"/>
      <c r="AX23" s="1378"/>
      <c r="AY23" s="1378"/>
      <c r="AZ23" s="1379"/>
      <c r="BA23" s="968">
        <v>23</v>
      </c>
      <c r="BB23" s="971">
        <v>600009</v>
      </c>
      <c r="BC23" s="968" t="str">
        <f t="shared" si="0"/>
        <v>札幌市中央区北九条西</v>
      </c>
      <c r="BD23" s="968" t="s">
        <v>564</v>
      </c>
      <c r="BE23" s="969" t="s">
        <v>581</v>
      </c>
      <c r="BF23" s="990"/>
      <c r="BG23" s="1147"/>
      <c r="BH23" s="969">
        <v>24</v>
      </c>
      <c r="BI23" s="968" t="s">
        <v>1519</v>
      </c>
      <c r="BJ23" s="968" t="s">
        <v>1957</v>
      </c>
      <c r="BK23" s="968" t="s">
        <v>1958</v>
      </c>
      <c r="BL23" s="989" t="s">
        <v>1608</v>
      </c>
      <c r="BM23" s="976">
        <v>630038</v>
      </c>
      <c r="BN23" s="992" t="s">
        <v>2370</v>
      </c>
      <c r="BO23" s="992" t="s">
        <v>2371</v>
      </c>
      <c r="BP23" s="990"/>
      <c r="BQ23" s="925"/>
      <c r="BR23" s="925"/>
      <c r="BS23" s="925"/>
      <c r="BT23" s="925"/>
      <c r="BU23" s="925"/>
      <c r="BV23" s="925"/>
      <c r="BW23" s="925"/>
    </row>
    <row r="24" spans="1:75" s="4" customFormat="1" ht="21" customHeight="1">
      <c r="A24" s="1246"/>
      <c r="B24" s="264"/>
      <c r="C24" s="1248" t="s">
        <v>23</v>
      </c>
      <c r="D24" s="1248"/>
      <c r="E24" s="1248"/>
      <c r="F24" s="1248"/>
      <c r="G24" s="1248"/>
      <c r="H24" s="1248"/>
      <c r="I24" s="1248"/>
      <c r="J24" s="1248"/>
      <c r="K24" s="1248"/>
      <c r="L24" s="1248"/>
      <c r="M24" s="1248"/>
      <c r="N24" s="1249"/>
      <c r="O24" s="1253"/>
      <c r="P24" s="1254"/>
      <c r="Q24" s="1254"/>
      <c r="R24" s="1254"/>
      <c r="S24" s="1254"/>
      <c r="T24" s="1254"/>
      <c r="U24" s="1254"/>
      <c r="V24" s="1254"/>
      <c r="W24" s="1254"/>
      <c r="X24" s="1254"/>
      <c r="Y24" s="1254"/>
      <c r="Z24" s="1255"/>
      <c r="AA24" s="1246"/>
      <c r="AB24" s="275"/>
      <c r="AC24" s="1248" t="s">
        <v>23</v>
      </c>
      <c r="AD24" s="1248"/>
      <c r="AE24" s="1248"/>
      <c r="AF24" s="1248"/>
      <c r="AG24" s="1248"/>
      <c r="AH24" s="1248"/>
      <c r="AI24" s="1248"/>
      <c r="AJ24" s="1248"/>
      <c r="AK24" s="1248"/>
      <c r="AL24" s="1248"/>
      <c r="AM24" s="1248"/>
      <c r="AN24" s="1249"/>
      <c r="AO24" s="1377"/>
      <c r="AP24" s="1378"/>
      <c r="AQ24" s="1378"/>
      <c r="AR24" s="1378"/>
      <c r="AS24" s="1378"/>
      <c r="AT24" s="1378"/>
      <c r="AU24" s="1378"/>
      <c r="AV24" s="1378"/>
      <c r="AW24" s="1378"/>
      <c r="AX24" s="1378"/>
      <c r="AY24" s="1378"/>
      <c r="AZ24" s="1379"/>
      <c r="BA24" s="968">
        <v>24</v>
      </c>
      <c r="BB24" s="971">
        <v>600010</v>
      </c>
      <c r="BC24" s="968" t="str">
        <f t="shared" si="0"/>
        <v>札幌市中央区北十条西</v>
      </c>
      <c r="BD24" s="968" t="s">
        <v>564</v>
      </c>
      <c r="BE24" s="969" t="s">
        <v>582</v>
      </c>
      <c r="BF24" s="990"/>
      <c r="BG24" s="1147"/>
      <c r="BH24" s="969">
        <v>25</v>
      </c>
      <c r="BI24" s="968" t="s">
        <v>1520</v>
      </c>
      <c r="BJ24" s="968" t="s">
        <v>1957</v>
      </c>
      <c r="BK24" s="968" t="s">
        <v>1959</v>
      </c>
      <c r="BL24" s="989" t="s">
        <v>1609</v>
      </c>
      <c r="BM24" s="976">
        <v>630038</v>
      </c>
      <c r="BN24" s="992" t="s">
        <v>2374</v>
      </c>
      <c r="BO24" s="992" t="s">
        <v>2375</v>
      </c>
      <c r="BP24" s="990"/>
      <c r="BQ24" s="925"/>
      <c r="BR24" s="925"/>
      <c r="BS24" s="925"/>
      <c r="BT24" s="925"/>
      <c r="BU24" s="925"/>
      <c r="BV24" s="925"/>
      <c r="BW24" s="925"/>
    </row>
    <row r="25" spans="1:75" s="4" customFormat="1" ht="21" customHeight="1">
      <c r="A25" s="1246"/>
      <c r="B25" s="264"/>
      <c r="C25" s="1248" t="s">
        <v>22</v>
      </c>
      <c r="D25" s="1248"/>
      <c r="E25" s="1248"/>
      <c r="F25" s="1248"/>
      <c r="G25" s="1248"/>
      <c r="H25" s="1248"/>
      <c r="I25" s="1248"/>
      <c r="J25" s="1248"/>
      <c r="K25" s="1248"/>
      <c r="L25" s="1248"/>
      <c r="M25" s="1248"/>
      <c r="N25" s="1249"/>
      <c r="O25" s="1253"/>
      <c r="P25" s="1254"/>
      <c r="Q25" s="1254"/>
      <c r="R25" s="1254"/>
      <c r="S25" s="1254"/>
      <c r="T25" s="1254"/>
      <c r="U25" s="1254"/>
      <c r="V25" s="1254"/>
      <c r="W25" s="1254"/>
      <c r="X25" s="1254"/>
      <c r="Y25" s="1254"/>
      <c r="Z25" s="1255"/>
      <c r="AA25" s="1246"/>
      <c r="AB25" s="275"/>
      <c r="AC25" s="1248" t="s">
        <v>22</v>
      </c>
      <c r="AD25" s="1248"/>
      <c r="AE25" s="1248"/>
      <c r="AF25" s="1248"/>
      <c r="AG25" s="1248"/>
      <c r="AH25" s="1248"/>
      <c r="AI25" s="1248"/>
      <c r="AJ25" s="1248"/>
      <c r="AK25" s="1248"/>
      <c r="AL25" s="1248"/>
      <c r="AM25" s="1248"/>
      <c r="AN25" s="1249"/>
      <c r="AO25" s="1377"/>
      <c r="AP25" s="1378"/>
      <c r="AQ25" s="1378"/>
      <c r="AR25" s="1378"/>
      <c r="AS25" s="1378"/>
      <c r="AT25" s="1378"/>
      <c r="AU25" s="1378"/>
      <c r="AV25" s="1378"/>
      <c r="AW25" s="1378"/>
      <c r="AX25" s="1378"/>
      <c r="AY25" s="1378"/>
      <c r="AZ25" s="1379"/>
      <c r="BA25" s="968">
        <v>25</v>
      </c>
      <c r="BB25" s="971">
        <v>600011</v>
      </c>
      <c r="BC25" s="968" t="str">
        <f t="shared" si="0"/>
        <v>札幌市中央区北十一条西</v>
      </c>
      <c r="BD25" s="968" t="s">
        <v>564</v>
      </c>
      <c r="BE25" s="969" t="s">
        <v>583</v>
      </c>
      <c r="BF25" s="990"/>
      <c r="BG25" s="1147"/>
      <c r="BH25" s="969">
        <v>26</v>
      </c>
      <c r="BI25" s="968" t="s">
        <v>1521</v>
      </c>
      <c r="BJ25" s="968" t="s">
        <v>1960</v>
      </c>
      <c r="BK25" s="968" t="s">
        <v>1961</v>
      </c>
      <c r="BL25" s="989" t="s">
        <v>1610</v>
      </c>
      <c r="BM25" s="976">
        <v>630802</v>
      </c>
      <c r="BN25" s="992" t="s">
        <v>2364</v>
      </c>
      <c r="BO25" s="992" t="s">
        <v>2365</v>
      </c>
      <c r="BP25" s="990"/>
      <c r="BQ25" s="925"/>
      <c r="BR25" s="925"/>
      <c r="BS25" s="925"/>
      <c r="BT25" s="925"/>
      <c r="BU25" s="925"/>
      <c r="BV25" s="925"/>
      <c r="BW25" s="925"/>
    </row>
    <row r="26" spans="1:75" s="4" customFormat="1" ht="21" customHeight="1">
      <c r="A26" s="1246"/>
      <c r="B26" s="264"/>
      <c r="C26" s="1248" t="s">
        <v>21</v>
      </c>
      <c r="D26" s="1248"/>
      <c r="E26" s="1248"/>
      <c r="F26" s="1248"/>
      <c r="G26" s="1248"/>
      <c r="H26" s="1248"/>
      <c r="I26" s="1248"/>
      <c r="J26" s="1248"/>
      <c r="K26" s="1248"/>
      <c r="L26" s="1248"/>
      <c r="M26" s="1248"/>
      <c r="N26" s="1249"/>
      <c r="O26" s="1253"/>
      <c r="P26" s="1254"/>
      <c r="Q26" s="1254"/>
      <c r="R26" s="1254"/>
      <c r="S26" s="1254"/>
      <c r="T26" s="1254"/>
      <c r="U26" s="1254"/>
      <c r="V26" s="1254"/>
      <c r="W26" s="1254"/>
      <c r="X26" s="1254"/>
      <c r="Y26" s="1254"/>
      <c r="Z26" s="1255"/>
      <c r="AA26" s="1246"/>
      <c r="AB26" s="275"/>
      <c r="AC26" s="1248" t="s">
        <v>21</v>
      </c>
      <c r="AD26" s="1248"/>
      <c r="AE26" s="1248"/>
      <c r="AF26" s="1248"/>
      <c r="AG26" s="1248"/>
      <c r="AH26" s="1248"/>
      <c r="AI26" s="1248"/>
      <c r="AJ26" s="1248"/>
      <c r="AK26" s="1248"/>
      <c r="AL26" s="1248"/>
      <c r="AM26" s="1248"/>
      <c r="AN26" s="1249"/>
      <c r="AO26" s="1377"/>
      <c r="AP26" s="1378"/>
      <c r="AQ26" s="1378"/>
      <c r="AR26" s="1378"/>
      <c r="AS26" s="1378"/>
      <c r="AT26" s="1378"/>
      <c r="AU26" s="1378"/>
      <c r="AV26" s="1378"/>
      <c r="AW26" s="1378"/>
      <c r="AX26" s="1378"/>
      <c r="AY26" s="1378"/>
      <c r="AZ26" s="1379"/>
      <c r="BA26" s="968">
        <v>26</v>
      </c>
      <c r="BB26" s="971">
        <v>600012</v>
      </c>
      <c r="BC26" s="968" t="str">
        <f t="shared" si="0"/>
        <v>札幌市中央区北十二条西</v>
      </c>
      <c r="BD26" s="968" t="s">
        <v>564</v>
      </c>
      <c r="BE26" s="969" t="s">
        <v>584</v>
      </c>
      <c r="BF26" s="990"/>
      <c r="BG26" s="1147"/>
      <c r="BH26" s="969">
        <v>27</v>
      </c>
      <c r="BI26" s="968" t="s">
        <v>1524</v>
      </c>
      <c r="BJ26" s="968" t="s">
        <v>1962</v>
      </c>
      <c r="BK26" s="968" t="s">
        <v>1963</v>
      </c>
      <c r="BL26" s="989" t="s">
        <v>1611</v>
      </c>
      <c r="BM26" s="976">
        <v>630843</v>
      </c>
      <c r="BN26" s="992" t="s">
        <v>2376</v>
      </c>
      <c r="BO26" s="992" t="s">
        <v>2377</v>
      </c>
      <c r="BP26" s="990"/>
      <c r="BQ26" s="925"/>
      <c r="BR26" s="925"/>
      <c r="BS26" s="925"/>
      <c r="BT26" s="925"/>
      <c r="BU26" s="925"/>
      <c r="BV26" s="925"/>
      <c r="BW26" s="925"/>
    </row>
    <row r="27" spans="1:75" s="4" customFormat="1" ht="21" customHeight="1">
      <c r="A27" s="1246"/>
      <c r="B27" s="264"/>
      <c r="C27" s="1248" t="s">
        <v>3068</v>
      </c>
      <c r="D27" s="1248"/>
      <c r="E27" s="1248"/>
      <c r="F27" s="1248"/>
      <c r="G27" s="1248"/>
      <c r="H27" s="1248"/>
      <c r="I27" s="1248"/>
      <c r="J27" s="1248"/>
      <c r="K27" s="1248"/>
      <c r="L27" s="1248"/>
      <c r="M27" s="1248"/>
      <c r="N27" s="1249"/>
      <c r="O27" s="1253"/>
      <c r="P27" s="1254"/>
      <c r="Q27" s="1254"/>
      <c r="R27" s="1254"/>
      <c r="S27" s="1254"/>
      <c r="T27" s="1254"/>
      <c r="U27" s="1254"/>
      <c r="V27" s="1254"/>
      <c r="W27" s="1254"/>
      <c r="X27" s="1254"/>
      <c r="Y27" s="1254"/>
      <c r="Z27" s="1255"/>
      <c r="AA27" s="1246"/>
      <c r="AB27" s="275"/>
      <c r="AC27" s="1248" t="s">
        <v>3068</v>
      </c>
      <c r="AD27" s="1248"/>
      <c r="AE27" s="1248"/>
      <c r="AF27" s="1248"/>
      <c r="AG27" s="1248"/>
      <c r="AH27" s="1248"/>
      <c r="AI27" s="1248"/>
      <c r="AJ27" s="1248"/>
      <c r="AK27" s="1248"/>
      <c r="AL27" s="1248"/>
      <c r="AM27" s="1248"/>
      <c r="AN27" s="1249"/>
      <c r="AO27" s="1377"/>
      <c r="AP27" s="1378"/>
      <c r="AQ27" s="1378"/>
      <c r="AR27" s="1378"/>
      <c r="AS27" s="1378"/>
      <c r="AT27" s="1378"/>
      <c r="AU27" s="1378"/>
      <c r="AV27" s="1378"/>
      <c r="AW27" s="1378"/>
      <c r="AX27" s="1378"/>
      <c r="AY27" s="1378"/>
      <c r="AZ27" s="1379"/>
      <c r="BA27" s="968">
        <v>27</v>
      </c>
      <c r="BB27" s="971">
        <v>600013</v>
      </c>
      <c r="BC27" s="968" t="str">
        <f t="shared" si="0"/>
        <v>札幌市中央区北十三条西</v>
      </c>
      <c r="BD27" s="968" t="s">
        <v>564</v>
      </c>
      <c r="BE27" s="969" t="s">
        <v>585</v>
      </c>
      <c r="BF27" s="990"/>
      <c r="BG27" s="1147"/>
      <c r="BH27" s="969">
        <v>28</v>
      </c>
      <c r="BI27" s="968" t="s">
        <v>1522</v>
      </c>
      <c r="BJ27" s="968" t="s">
        <v>1964</v>
      </c>
      <c r="BK27" s="968" t="s">
        <v>1965</v>
      </c>
      <c r="BL27" s="989" t="s">
        <v>1612</v>
      </c>
      <c r="BM27" s="976">
        <v>630844</v>
      </c>
      <c r="BN27" s="992" t="s">
        <v>2362</v>
      </c>
      <c r="BO27" s="992" t="s">
        <v>2363</v>
      </c>
      <c r="BP27" s="990"/>
      <c r="BQ27" s="925"/>
      <c r="BR27" s="925"/>
      <c r="BS27" s="925"/>
      <c r="BT27" s="925"/>
      <c r="BU27" s="925"/>
      <c r="BV27" s="925"/>
      <c r="BW27" s="925"/>
    </row>
    <row r="28" spans="1:75" s="4" customFormat="1" ht="21" customHeight="1">
      <c r="A28" s="1246"/>
      <c r="B28" s="264"/>
      <c r="C28" s="1248" t="s">
        <v>20</v>
      </c>
      <c r="D28" s="1248"/>
      <c r="E28" s="1248"/>
      <c r="F28" s="1248"/>
      <c r="G28" s="1248"/>
      <c r="H28" s="1248"/>
      <c r="I28" s="1248"/>
      <c r="J28" s="1248"/>
      <c r="K28" s="1248"/>
      <c r="L28" s="1248"/>
      <c r="M28" s="1248"/>
      <c r="N28" s="1249"/>
      <c r="O28" s="1253"/>
      <c r="P28" s="1254"/>
      <c r="Q28" s="1254"/>
      <c r="R28" s="1254"/>
      <c r="S28" s="1254"/>
      <c r="T28" s="1254"/>
      <c r="U28" s="1254"/>
      <c r="V28" s="1254"/>
      <c r="W28" s="1254"/>
      <c r="X28" s="1254"/>
      <c r="Y28" s="1254"/>
      <c r="Z28" s="1255"/>
      <c r="AA28" s="1246"/>
      <c r="AB28" s="275"/>
      <c r="AC28" s="1248" t="s">
        <v>20</v>
      </c>
      <c r="AD28" s="1248"/>
      <c r="AE28" s="1248"/>
      <c r="AF28" s="1248"/>
      <c r="AG28" s="1248"/>
      <c r="AH28" s="1248"/>
      <c r="AI28" s="1248"/>
      <c r="AJ28" s="1248"/>
      <c r="AK28" s="1248"/>
      <c r="AL28" s="1248"/>
      <c r="AM28" s="1248"/>
      <c r="AN28" s="1249"/>
      <c r="AO28" s="1377"/>
      <c r="AP28" s="1378"/>
      <c r="AQ28" s="1378"/>
      <c r="AR28" s="1378"/>
      <c r="AS28" s="1378"/>
      <c r="AT28" s="1378"/>
      <c r="AU28" s="1378"/>
      <c r="AV28" s="1378"/>
      <c r="AW28" s="1378"/>
      <c r="AX28" s="1378"/>
      <c r="AY28" s="1378"/>
      <c r="AZ28" s="1379"/>
      <c r="BA28" s="968">
        <v>28</v>
      </c>
      <c r="BB28" s="971">
        <v>600014</v>
      </c>
      <c r="BC28" s="968" t="str">
        <f t="shared" si="0"/>
        <v>札幌市中央区北十四条西</v>
      </c>
      <c r="BD28" s="968" t="s">
        <v>564</v>
      </c>
      <c r="BE28" s="969" t="s">
        <v>586</v>
      </c>
      <c r="BF28" s="990"/>
      <c r="BG28" s="1147"/>
      <c r="BH28" s="969">
        <v>29</v>
      </c>
      <c r="BI28" s="968" t="s">
        <v>1471</v>
      </c>
      <c r="BJ28" s="968" t="s">
        <v>1966</v>
      </c>
      <c r="BK28" s="968" t="s">
        <v>1967</v>
      </c>
      <c r="BL28" s="989" t="s">
        <v>1613</v>
      </c>
      <c r="BM28" s="976">
        <v>630867</v>
      </c>
      <c r="BN28" s="992" t="s">
        <v>2352</v>
      </c>
      <c r="BO28" s="992" t="s">
        <v>2353</v>
      </c>
      <c r="BP28" s="990"/>
      <c r="BQ28" s="925"/>
      <c r="BR28" s="925"/>
      <c r="BS28" s="925"/>
      <c r="BT28" s="925"/>
      <c r="BU28" s="925"/>
      <c r="BV28" s="925"/>
      <c r="BW28" s="925"/>
    </row>
    <row r="29" spans="1:75" s="4" customFormat="1" ht="21" customHeight="1">
      <c r="A29" s="1246"/>
      <c r="B29" s="264"/>
      <c r="C29" s="1268" t="s">
        <v>3224</v>
      </c>
      <c r="D29" s="1268"/>
      <c r="E29" s="1268"/>
      <c r="F29" s="1268"/>
      <c r="G29" s="1268"/>
      <c r="H29" s="1268"/>
      <c r="I29" s="1268"/>
      <c r="J29" s="1268"/>
      <c r="K29" s="1268"/>
      <c r="L29" s="1268"/>
      <c r="M29" s="1268"/>
      <c r="N29" s="1269"/>
      <c r="O29" s="1253"/>
      <c r="P29" s="1254"/>
      <c r="Q29" s="1254"/>
      <c r="R29" s="1254"/>
      <c r="S29" s="1254"/>
      <c r="T29" s="1254"/>
      <c r="U29" s="1254"/>
      <c r="V29" s="1254"/>
      <c r="W29" s="1254"/>
      <c r="X29" s="1254"/>
      <c r="Y29" s="1254"/>
      <c r="Z29" s="1255"/>
      <c r="AA29" s="1246"/>
      <c r="AB29" s="275"/>
      <c r="AC29" s="1248"/>
      <c r="AD29" s="1248"/>
      <c r="AE29" s="1248"/>
      <c r="AF29" s="1248"/>
      <c r="AG29" s="1248"/>
      <c r="AH29" s="1248"/>
      <c r="AI29" s="1248"/>
      <c r="AJ29" s="1248"/>
      <c r="AK29" s="1248"/>
      <c r="AL29" s="1248"/>
      <c r="AM29" s="1248"/>
      <c r="AN29" s="1249"/>
      <c r="AO29" s="1377"/>
      <c r="AP29" s="1378"/>
      <c r="AQ29" s="1378"/>
      <c r="AR29" s="1378"/>
      <c r="AS29" s="1378"/>
      <c r="AT29" s="1378"/>
      <c r="AU29" s="1378"/>
      <c r="AV29" s="1378"/>
      <c r="AW29" s="1378"/>
      <c r="AX29" s="1378"/>
      <c r="AY29" s="1378"/>
      <c r="AZ29" s="1379"/>
      <c r="BA29" s="968">
        <v>29</v>
      </c>
      <c r="BB29" s="971">
        <v>600015</v>
      </c>
      <c r="BC29" s="968" t="str">
        <f t="shared" si="0"/>
        <v>札幌市中央区北十五条西</v>
      </c>
      <c r="BD29" s="968" t="s">
        <v>564</v>
      </c>
      <c r="BE29" s="969" t="s">
        <v>587</v>
      </c>
      <c r="BF29" s="990"/>
      <c r="BG29" s="1147"/>
      <c r="BH29" s="969">
        <v>30</v>
      </c>
      <c r="BI29" s="968" t="s">
        <v>1523</v>
      </c>
      <c r="BJ29" s="968" t="s">
        <v>1968</v>
      </c>
      <c r="BK29" s="968" t="s">
        <v>1939</v>
      </c>
      <c r="BL29" s="989" t="s">
        <v>1614</v>
      </c>
      <c r="BM29" s="976">
        <v>630848</v>
      </c>
      <c r="BN29" s="992" t="s">
        <v>2384</v>
      </c>
      <c r="BO29" s="992" t="s">
        <v>2385</v>
      </c>
      <c r="BP29" s="990"/>
      <c r="BQ29" s="925"/>
      <c r="BR29" s="925"/>
      <c r="BS29" s="925"/>
      <c r="BT29" s="925"/>
      <c r="BU29" s="925"/>
      <c r="BV29" s="925"/>
      <c r="BW29" s="925"/>
    </row>
    <row r="30" spans="1:75" s="4" customFormat="1" ht="21" customHeight="1">
      <c r="A30" s="1247"/>
      <c r="B30" s="789"/>
      <c r="C30" s="1266" t="s">
        <v>19</v>
      </c>
      <c r="D30" s="1266"/>
      <c r="E30" s="1266"/>
      <c r="F30" s="1267"/>
      <c r="G30" s="1267"/>
      <c r="H30" s="1267"/>
      <c r="I30" s="1267"/>
      <c r="J30" s="1267"/>
      <c r="K30" s="1267"/>
      <c r="L30" s="1267"/>
      <c r="M30" s="1267"/>
      <c r="N30" s="265" t="s">
        <v>18</v>
      </c>
      <c r="O30" s="1256"/>
      <c r="P30" s="1257"/>
      <c r="Q30" s="1257"/>
      <c r="R30" s="1257"/>
      <c r="S30" s="1257"/>
      <c r="T30" s="1257"/>
      <c r="U30" s="1257"/>
      <c r="V30" s="1257"/>
      <c r="W30" s="1257"/>
      <c r="X30" s="1257"/>
      <c r="Y30" s="1257"/>
      <c r="Z30" s="1258"/>
      <c r="AA30" s="1247"/>
      <c r="AB30" s="276"/>
      <c r="AC30" s="1266" t="s">
        <v>19</v>
      </c>
      <c r="AD30" s="1266"/>
      <c r="AE30" s="1266"/>
      <c r="AF30" s="1149"/>
      <c r="AG30" s="1149"/>
      <c r="AH30" s="1149"/>
      <c r="AI30" s="1149"/>
      <c r="AJ30" s="1149"/>
      <c r="AK30" s="1149"/>
      <c r="AL30" s="1149"/>
      <c r="AM30" s="1149"/>
      <c r="AN30" s="265" t="s">
        <v>18</v>
      </c>
      <c r="AO30" s="1380"/>
      <c r="AP30" s="1381"/>
      <c r="AQ30" s="1381"/>
      <c r="AR30" s="1381"/>
      <c r="AS30" s="1381"/>
      <c r="AT30" s="1381"/>
      <c r="AU30" s="1381"/>
      <c r="AV30" s="1381"/>
      <c r="AW30" s="1381"/>
      <c r="AX30" s="1381"/>
      <c r="AY30" s="1381"/>
      <c r="AZ30" s="1382"/>
      <c r="BA30" s="968">
        <v>30</v>
      </c>
      <c r="BB30" s="971">
        <v>600016</v>
      </c>
      <c r="BC30" s="968" t="str">
        <f t="shared" si="0"/>
        <v>札幌市中央区北十六条西</v>
      </c>
      <c r="BD30" s="968" t="s">
        <v>564</v>
      </c>
      <c r="BE30" s="969" t="s">
        <v>588</v>
      </c>
      <c r="BF30" s="990"/>
      <c r="BG30" s="1147"/>
      <c r="BH30" s="969">
        <v>31</v>
      </c>
      <c r="BI30" s="968" t="s">
        <v>1525</v>
      </c>
      <c r="BJ30" s="968" t="s">
        <v>1969</v>
      </c>
      <c r="BK30" s="968" t="s">
        <v>1970</v>
      </c>
      <c r="BL30" s="989" t="s">
        <v>1615</v>
      </c>
      <c r="BM30" s="976">
        <v>630830</v>
      </c>
      <c r="BN30" s="992" t="s">
        <v>2354</v>
      </c>
      <c r="BO30" s="992" t="s">
        <v>2355</v>
      </c>
      <c r="BP30" s="990"/>
      <c r="BQ30" s="925"/>
      <c r="BR30" s="925"/>
      <c r="BS30" s="925"/>
      <c r="BT30" s="925"/>
      <c r="BU30" s="925"/>
      <c r="BV30" s="925"/>
      <c r="BW30" s="925"/>
    </row>
    <row r="31" spans="1:75" s="4" customFormat="1" ht="24.95" customHeight="1">
      <c r="A31" s="1148" t="s">
        <v>17</v>
      </c>
      <c r="B31" s="1148"/>
      <c r="C31" s="1148"/>
      <c r="D31" s="1148"/>
      <c r="E31" s="1148"/>
      <c r="F31" s="1148"/>
      <c r="G31" s="1148"/>
      <c r="H31" s="1148"/>
      <c r="I31" s="1148"/>
      <c r="J31" s="1148"/>
      <c r="K31" s="1148"/>
      <c r="L31" s="1148"/>
      <c r="M31" s="1148"/>
      <c r="N31" s="1148"/>
      <c r="O31" s="1148"/>
      <c r="P31" s="1148"/>
      <c r="Q31" s="1148"/>
      <c r="R31" s="1148"/>
      <c r="S31" s="1148"/>
      <c r="T31" s="1148"/>
      <c r="U31" s="1148"/>
      <c r="V31" s="1148"/>
      <c r="W31" s="1148"/>
      <c r="X31" s="1148"/>
      <c r="Y31" s="1148"/>
      <c r="Z31" s="1148"/>
      <c r="AA31" s="1148" t="s">
        <v>17</v>
      </c>
      <c r="AB31" s="1148"/>
      <c r="AC31" s="1148"/>
      <c r="AD31" s="1148"/>
      <c r="AE31" s="1148"/>
      <c r="AF31" s="1148"/>
      <c r="AG31" s="1148"/>
      <c r="AH31" s="1148"/>
      <c r="AI31" s="1148"/>
      <c r="AJ31" s="1148"/>
      <c r="AK31" s="1148"/>
      <c r="AL31" s="1148"/>
      <c r="AM31" s="1148"/>
      <c r="AN31" s="1148"/>
      <c r="AO31" s="1148"/>
      <c r="AP31" s="1148"/>
      <c r="AQ31" s="1148"/>
      <c r="AR31" s="1148"/>
      <c r="AS31" s="1148"/>
      <c r="AT31" s="1148"/>
      <c r="AU31" s="1148"/>
      <c r="AV31" s="1148"/>
      <c r="AW31" s="1148"/>
      <c r="AX31" s="1148"/>
      <c r="AY31" s="1148"/>
      <c r="AZ31" s="1148"/>
      <c r="BA31" s="968">
        <v>31</v>
      </c>
      <c r="BB31" s="971">
        <v>600017</v>
      </c>
      <c r="BC31" s="968" t="str">
        <f t="shared" si="0"/>
        <v>札幌市中央区北十七条西</v>
      </c>
      <c r="BD31" s="968" t="s">
        <v>564</v>
      </c>
      <c r="BE31" s="969" t="s">
        <v>589</v>
      </c>
      <c r="BF31" s="990"/>
      <c r="BG31" s="1147"/>
      <c r="BH31" s="969">
        <v>32</v>
      </c>
      <c r="BI31" s="968" t="s">
        <v>1588</v>
      </c>
      <c r="BJ31" s="968" t="s">
        <v>1971</v>
      </c>
      <c r="BK31" s="968" t="s">
        <v>1972</v>
      </c>
      <c r="BL31" s="989" t="s">
        <v>1616</v>
      </c>
      <c r="BM31" s="976">
        <v>630831</v>
      </c>
      <c r="BN31" s="993"/>
      <c r="BO31" s="990"/>
      <c r="BP31" s="990"/>
      <c r="BQ31" s="925"/>
      <c r="BR31" s="925"/>
      <c r="BS31" s="925"/>
      <c r="BT31" s="925"/>
      <c r="BU31" s="925"/>
      <c r="BV31" s="925"/>
      <c r="BW31" s="925"/>
    </row>
    <row r="32" spans="1:75" s="4" customFormat="1" ht="24.95" customHeight="1">
      <c r="A32" s="1148"/>
      <c r="B32" s="1148"/>
      <c r="C32" s="1148"/>
      <c r="D32" s="1148"/>
      <c r="E32" s="1148"/>
      <c r="F32" s="1148"/>
      <c r="G32" s="1148"/>
      <c r="H32" s="1148"/>
      <c r="I32" s="1148"/>
      <c r="J32" s="1148"/>
      <c r="K32" s="1148"/>
      <c r="L32" s="1148"/>
      <c r="M32" s="1148"/>
      <c r="N32" s="1148"/>
      <c r="O32" s="1148"/>
      <c r="P32" s="1148"/>
      <c r="Q32" s="1148"/>
      <c r="R32" s="932" t="s">
        <v>3085</v>
      </c>
      <c r="S32" s="878"/>
      <c r="T32" s="933" t="s">
        <v>16</v>
      </c>
      <c r="U32" s="1210"/>
      <c r="V32" s="1210"/>
      <c r="W32" s="933" t="s">
        <v>15</v>
      </c>
      <c r="X32" s="1210"/>
      <c r="Y32" s="1210"/>
      <c r="Z32" s="933" t="s">
        <v>14</v>
      </c>
      <c r="AA32" s="1148"/>
      <c r="AB32" s="1148"/>
      <c r="AC32" s="1148"/>
      <c r="AD32" s="1148"/>
      <c r="AE32" s="1148"/>
      <c r="AF32" s="1148"/>
      <c r="AG32" s="1148"/>
      <c r="AH32" s="1148"/>
      <c r="AI32" s="1148"/>
      <c r="AJ32" s="1148"/>
      <c r="AK32" s="1148"/>
      <c r="AL32" s="1148"/>
      <c r="AM32" s="1148"/>
      <c r="AN32" s="1148"/>
      <c r="AO32" s="1148"/>
      <c r="AP32" s="1148"/>
      <c r="AQ32" s="1148"/>
      <c r="AR32" s="1383" t="s">
        <v>2959</v>
      </c>
      <c r="AS32" s="1383"/>
      <c r="AT32" s="266" t="s">
        <v>16</v>
      </c>
      <c r="AU32" s="1384">
        <v>9</v>
      </c>
      <c r="AV32" s="1384"/>
      <c r="AW32" s="266" t="s">
        <v>15</v>
      </c>
      <c r="AX32" s="1384">
        <v>8</v>
      </c>
      <c r="AY32" s="1384"/>
      <c r="AZ32" s="266" t="s">
        <v>14</v>
      </c>
      <c r="BA32" s="990"/>
      <c r="BB32" s="971">
        <v>600018</v>
      </c>
      <c r="BC32" s="968" t="str">
        <f t="shared" si="0"/>
        <v>札幌市中央区北十八条西</v>
      </c>
      <c r="BD32" s="968" t="s">
        <v>564</v>
      </c>
      <c r="BE32" s="969" t="s">
        <v>590</v>
      </c>
      <c r="BF32" s="990"/>
      <c r="BG32" s="1147"/>
      <c r="BH32" s="969">
        <v>33</v>
      </c>
      <c r="BI32" s="968" t="s">
        <v>1527</v>
      </c>
      <c r="BJ32" s="968" t="s">
        <v>1973</v>
      </c>
      <c r="BK32" s="968" t="s">
        <v>1974</v>
      </c>
      <c r="BL32" s="989" t="s">
        <v>1618</v>
      </c>
      <c r="BM32" s="976">
        <v>630835</v>
      </c>
      <c r="BN32" s="992" t="s">
        <v>2372</v>
      </c>
      <c r="BO32" s="992" t="s">
        <v>2373</v>
      </c>
      <c r="BP32" s="990"/>
      <c r="BQ32" s="925"/>
      <c r="BR32" s="925"/>
      <c r="BS32" s="925"/>
      <c r="BT32" s="925"/>
      <c r="BU32" s="925"/>
      <c r="BV32" s="925"/>
      <c r="BW32" s="925"/>
    </row>
    <row r="33" spans="1:75" s="4" customFormat="1" ht="24.95" customHeight="1">
      <c r="A33" s="1166" t="s">
        <v>12</v>
      </c>
      <c r="B33" s="1166"/>
      <c r="C33" s="1179" t="s">
        <v>13</v>
      </c>
      <c r="D33" s="1179"/>
      <c r="E33" s="1179"/>
      <c r="F33" s="1179"/>
      <c r="G33" s="1179"/>
      <c r="H33" s="1179"/>
      <c r="I33" s="1179"/>
      <c r="J33" s="1179"/>
      <c r="K33" s="1179"/>
      <c r="L33" s="1179"/>
      <c r="M33" s="1179"/>
      <c r="N33" s="1179"/>
      <c r="O33" s="1179"/>
      <c r="P33" s="1179"/>
      <c r="Q33" s="1179"/>
      <c r="R33" s="1148"/>
      <c r="S33" s="1148"/>
      <c r="T33" s="1148"/>
      <c r="U33" s="1148"/>
      <c r="V33" s="1148"/>
      <c r="W33" s="1148"/>
      <c r="X33" s="1148"/>
      <c r="Y33" s="1148"/>
      <c r="Z33" s="1148"/>
      <c r="AA33" s="1166" t="s">
        <v>12</v>
      </c>
      <c r="AB33" s="1166"/>
      <c r="AC33" s="1179" t="s">
        <v>11</v>
      </c>
      <c r="AD33" s="1179"/>
      <c r="AE33" s="1179"/>
      <c r="AF33" s="1179"/>
      <c r="AG33" s="1179"/>
      <c r="AH33" s="1179"/>
      <c r="AI33" s="1179"/>
      <c r="AJ33" s="1179"/>
      <c r="AK33" s="1179"/>
      <c r="AL33" s="1179"/>
      <c r="AM33" s="1179"/>
      <c r="AN33" s="1179"/>
      <c r="AO33" s="1179"/>
      <c r="AP33" s="1179"/>
      <c r="AQ33" s="1179"/>
      <c r="AR33" s="1148"/>
      <c r="AS33" s="1148"/>
      <c r="AT33" s="1148"/>
      <c r="AU33" s="1148"/>
      <c r="AV33" s="1148"/>
      <c r="AW33" s="1148"/>
      <c r="AX33" s="1148"/>
      <c r="AY33" s="1148"/>
      <c r="AZ33" s="1148"/>
      <c r="BA33" s="990"/>
      <c r="BB33" s="971">
        <v>600020</v>
      </c>
      <c r="BC33" s="968" t="str">
        <f t="shared" si="0"/>
        <v>札幌市中央区北二十条西</v>
      </c>
      <c r="BD33" s="968" t="s">
        <v>564</v>
      </c>
      <c r="BE33" s="969" t="s">
        <v>591</v>
      </c>
      <c r="BF33" s="990"/>
      <c r="BG33" s="1147"/>
      <c r="BH33" s="969">
        <v>34</v>
      </c>
      <c r="BI33" s="968" t="s">
        <v>1528</v>
      </c>
      <c r="BJ33" s="968" t="s">
        <v>1975</v>
      </c>
      <c r="BK33" s="968" t="s">
        <v>1976</v>
      </c>
      <c r="BL33" s="989" t="s">
        <v>1619</v>
      </c>
      <c r="BM33" s="976">
        <v>630822</v>
      </c>
      <c r="BN33" s="992" t="s">
        <v>2366</v>
      </c>
      <c r="BO33" s="992" t="s">
        <v>2367</v>
      </c>
      <c r="BP33" s="990"/>
      <c r="BQ33" s="925"/>
      <c r="BR33" s="925"/>
      <c r="BS33" s="925"/>
      <c r="BT33" s="925"/>
      <c r="BU33" s="925"/>
      <c r="BV33" s="925"/>
      <c r="BW33" s="925"/>
    </row>
    <row r="34" spans="1:75" s="4" customFormat="1" ht="24.95" customHeight="1">
      <c r="A34" s="1166"/>
      <c r="B34" s="1166"/>
      <c r="C34" s="1179" t="s">
        <v>10</v>
      </c>
      <c r="D34" s="1179"/>
      <c r="E34" s="1179"/>
      <c r="F34" s="1179"/>
      <c r="G34" s="1179"/>
      <c r="H34" s="1179"/>
      <c r="I34" s="1179"/>
      <c r="J34" s="1179"/>
      <c r="K34" s="1179"/>
      <c r="L34" s="1179"/>
      <c r="M34" s="1179"/>
      <c r="N34" s="1179"/>
      <c r="O34" s="1179"/>
      <c r="P34" s="1179"/>
      <c r="Q34" s="1179"/>
      <c r="R34" s="1167"/>
      <c r="S34" s="1167"/>
      <c r="T34" s="1167"/>
      <c r="U34" s="1167"/>
      <c r="V34" s="1167"/>
      <c r="W34" s="1167"/>
      <c r="X34" s="1163" t="s">
        <v>3084</v>
      </c>
      <c r="Y34" s="1164"/>
      <c r="Z34" s="1165"/>
      <c r="AA34" s="1166"/>
      <c r="AB34" s="1166"/>
      <c r="AC34" s="1179" t="s">
        <v>10</v>
      </c>
      <c r="AD34" s="1179"/>
      <c r="AE34" s="1179"/>
      <c r="AF34" s="1179"/>
      <c r="AG34" s="1179"/>
      <c r="AH34" s="1179"/>
      <c r="AI34" s="1179"/>
      <c r="AJ34" s="1179"/>
      <c r="AK34" s="1179"/>
      <c r="AL34" s="1179"/>
      <c r="AM34" s="1179"/>
      <c r="AN34" s="1179"/>
      <c r="AO34" s="1179"/>
      <c r="AP34" s="1179"/>
      <c r="AQ34" s="1179"/>
      <c r="AR34" s="1167"/>
      <c r="AS34" s="1167"/>
      <c r="AT34" s="1167"/>
      <c r="AU34" s="1167"/>
      <c r="AV34" s="1167"/>
      <c r="AW34" s="1167"/>
      <c r="AX34" s="1163" t="s">
        <v>3084</v>
      </c>
      <c r="AY34" s="1164"/>
      <c r="AZ34" s="1165"/>
      <c r="BA34" s="990"/>
      <c r="BB34" s="971">
        <v>600021</v>
      </c>
      <c r="BC34" s="968" t="str">
        <f t="shared" si="0"/>
        <v>札幌市中央区北二十一条西</v>
      </c>
      <c r="BD34" s="968" t="s">
        <v>564</v>
      </c>
      <c r="BE34" s="969" t="s">
        <v>592</v>
      </c>
      <c r="BF34" s="990"/>
      <c r="BG34" s="1147"/>
      <c r="BH34" s="969">
        <v>35</v>
      </c>
      <c r="BI34" s="968" t="s">
        <v>1526</v>
      </c>
      <c r="BJ34" s="968" t="s">
        <v>1977</v>
      </c>
      <c r="BK34" s="968" t="s">
        <v>1978</v>
      </c>
      <c r="BL34" s="989" t="s">
        <v>1620</v>
      </c>
      <c r="BM34" s="976">
        <v>630825</v>
      </c>
      <c r="BN34" s="992" t="s">
        <v>2360</v>
      </c>
      <c r="BO34" s="992" t="s">
        <v>2361</v>
      </c>
      <c r="BP34" s="990"/>
      <c r="BQ34" s="925"/>
      <c r="BR34" s="925"/>
      <c r="BS34" s="925"/>
      <c r="BT34" s="925"/>
      <c r="BU34" s="925"/>
      <c r="BV34" s="925"/>
      <c r="BW34" s="925"/>
    </row>
    <row r="35" spans="1:75" s="4" customFormat="1" ht="24.95" customHeight="1">
      <c r="A35" s="1166"/>
      <c r="B35" s="1166"/>
      <c r="C35" s="1166"/>
      <c r="D35" s="1166"/>
      <c r="E35" s="1166"/>
      <c r="F35" s="1166"/>
      <c r="G35" s="1166"/>
      <c r="H35" s="1166"/>
      <c r="I35" s="1166"/>
      <c r="J35" s="1166"/>
      <c r="K35" s="1166"/>
      <c r="L35" s="1166"/>
      <c r="M35" s="1166"/>
      <c r="N35" s="1166"/>
      <c r="O35" s="1166"/>
      <c r="P35" s="1166"/>
      <c r="Q35" s="1166"/>
      <c r="R35" s="1178"/>
      <c r="S35" s="1178"/>
      <c r="T35" s="1178"/>
      <c r="U35" s="1178"/>
      <c r="V35" s="1178"/>
      <c r="W35" s="1178"/>
      <c r="X35" s="1259"/>
      <c r="Y35" s="1260"/>
      <c r="Z35" s="1261"/>
      <c r="AA35" s="1166"/>
      <c r="AB35" s="1166"/>
      <c r="AC35" s="1166"/>
      <c r="AD35" s="1166"/>
      <c r="AE35" s="1166"/>
      <c r="AF35" s="1166"/>
      <c r="AG35" s="1166"/>
      <c r="AH35" s="1166"/>
      <c r="AI35" s="1166"/>
      <c r="AJ35" s="1166"/>
      <c r="AK35" s="1166"/>
      <c r="AL35" s="1166"/>
      <c r="AM35" s="1166"/>
      <c r="AN35" s="1166"/>
      <c r="AO35" s="1166"/>
      <c r="AP35" s="1166"/>
      <c r="AQ35" s="1166"/>
      <c r="AR35" s="1178"/>
      <c r="AS35" s="1178"/>
      <c r="AT35" s="1178"/>
      <c r="AU35" s="1178"/>
      <c r="AV35" s="1178"/>
      <c r="AW35" s="1178"/>
      <c r="AX35" s="1259"/>
      <c r="AY35" s="1260"/>
      <c r="AZ35" s="1261"/>
      <c r="BA35" s="990"/>
      <c r="BB35" s="971">
        <v>600022</v>
      </c>
      <c r="BC35" s="968" t="str">
        <f t="shared" si="0"/>
        <v>札幌市中央区北二十二条西</v>
      </c>
      <c r="BD35" s="968" t="s">
        <v>564</v>
      </c>
      <c r="BE35" s="969" t="s">
        <v>593</v>
      </c>
      <c r="BF35" s="990"/>
      <c r="BG35" s="1147"/>
      <c r="BH35" s="969">
        <v>36</v>
      </c>
      <c r="BI35" s="968" t="s">
        <v>1514</v>
      </c>
      <c r="BJ35" s="968" t="s">
        <v>1979</v>
      </c>
      <c r="BK35" s="968" t="s">
        <v>1980</v>
      </c>
      <c r="BL35" s="989" t="s">
        <v>1621</v>
      </c>
      <c r="BM35" s="976">
        <v>630827</v>
      </c>
      <c r="BN35" s="992" t="s">
        <v>2368</v>
      </c>
      <c r="BO35" s="992" t="s">
        <v>2369</v>
      </c>
      <c r="BP35" s="990"/>
      <c r="BQ35" s="925"/>
      <c r="BR35" s="925"/>
      <c r="BS35" s="925"/>
      <c r="BT35" s="925"/>
      <c r="BU35" s="925"/>
      <c r="BV35" s="925"/>
      <c r="BW35" s="925"/>
    </row>
    <row r="36" spans="1:75" s="4" customFormat="1" ht="24.95" customHeight="1">
      <c r="A36" s="1166"/>
      <c r="B36" s="1166"/>
      <c r="C36" s="1166"/>
      <c r="D36" s="1166"/>
      <c r="E36" s="1166"/>
      <c r="F36" s="1166"/>
      <c r="G36" s="1166"/>
      <c r="H36" s="1166"/>
      <c r="I36" s="1166"/>
      <c r="J36" s="1166"/>
      <c r="K36" s="1166"/>
      <c r="L36" s="1166"/>
      <c r="M36" s="1166"/>
      <c r="N36" s="1166"/>
      <c r="O36" s="1166"/>
      <c r="P36" s="1166"/>
      <c r="Q36" s="1166"/>
      <c r="R36" s="1178"/>
      <c r="S36" s="1178"/>
      <c r="T36" s="1178"/>
      <c r="U36" s="1178"/>
      <c r="V36" s="1178"/>
      <c r="W36" s="1178"/>
      <c r="X36" s="1262"/>
      <c r="Y36" s="1263"/>
      <c r="Z36" s="1264"/>
      <c r="AA36" s="1166"/>
      <c r="AB36" s="1166"/>
      <c r="AC36" s="1166"/>
      <c r="AD36" s="1166"/>
      <c r="AE36" s="1166"/>
      <c r="AF36" s="1166"/>
      <c r="AG36" s="1166"/>
      <c r="AH36" s="1166"/>
      <c r="AI36" s="1166"/>
      <c r="AJ36" s="1166"/>
      <c r="AK36" s="1166"/>
      <c r="AL36" s="1166"/>
      <c r="AM36" s="1166"/>
      <c r="AN36" s="1166"/>
      <c r="AO36" s="1166"/>
      <c r="AP36" s="1166"/>
      <c r="AQ36" s="1166"/>
      <c r="AR36" s="1178"/>
      <c r="AS36" s="1178"/>
      <c r="AT36" s="1178"/>
      <c r="AU36" s="1178"/>
      <c r="AV36" s="1178"/>
      <c r="AW36" s="1178"/>
      <c r="AX36" s="1262"/>
      <c r="AY36" s="1263"/>
      <c r="AZ36" s="1264"/>
      <c r="BA36" s="990"/>
      <c r="BB36" s="971">
        <v>640943</v>
      </c>
      <c r="BC36" s="968" t="str">
        <f t="shared" si="0"/>
        <v>札幌市中央区界川</v>
      </c>
      <c r="BD36" s="968" t="s">
        <v>564</v>
      </c>
      <c r="BE36" s="969" t="s">
        <v>594</v>
      </c>
      <c r="BF36" s="990"/>
      <c r="BG36" s="1147"/>
      <c r="BH36" s="969">
        <v>37</v>
      </c>
      <c r="BI36" s="968" t="s">
        <v>1544</v>
      </c>
      <c r="BJ36" s="968" t="s">
        <v>1981</v>
      </c>
      <c r="BK36" s="968" t="s">
        <v>1982</v>
      </c>
      <c r="BL36" s="989" t="s">
        <v>1622</v>
      </c>
      <c r="BM36" s="976">
        <v>630012</v>
      </c>
      <c r="BN36" s="992" t="s">
        <v>2378</v>
      </c>
      <c r="BO36" s="992" t="s">
        <v>2379</v>
      </c>
      <c r="BP36" s="990"/>
      <c r="BQ36" s="925"/>
      <c r="BR36" s="925"/>
      <c r="BS36" s="925"/>
      <c r="BT36" s="925"/>
      <c r="BU36" s="925"/>
      <c r="BV36" s="925"/>
      <c r="BW36" s="925"/>
    </row>
    <row r="37" spans="1:75" ht="13.5" customHeight="1">
      <c r="BB37" s="971">
        <v>640931</v>
      </c>
      <c r="BC37" s="968" t="str">
        <f t="shared" si="0"/>
        <v>札幌市中央区中島公園</v>
      </c>
      <c r="BD37" s="968" t="s">
        <v>564</v>
      </c>
      <c r="BE37" s="969" t="s">
        <v>595</v>
      </c>
      <c r="BG37" s="1147"/>
      <c r="BH37" s="969">
        <v>38</v>
      </c>
      <c r="BI37" s="968" t="s">
        <v>1552</v>
      </c>
      <c r="BJ37" s="968" t="s">
        <v>1983</v>
      </c>
      <c r="BK37" s="968" t="s">
        <v>1984</v>
      </c>
      <c r="BL37" s="968" t="s">
        <v>1623</v>
      </c>
      <c r="BM37" s="976">
        <v>630023</v>
      </c>
      <c r="BN37" s="992" t="s">
        <v>2386</v>
      </c>
      <c r="BO37" s="992" t="s">
        <v>2387</v>
      </c>
    </row>
    <row r="38" spans="1:75" ht="13.5" customHeight="1">
      <c r="A38" s="1001" t="s">
        <v>2959</v>
      </c>
      <c r="R38" s="197"/>
      <c r="S38" s="197"/>
      <c r="T38" s="197"/>
      <c r="U38" s="197"/>
      <c r="V38" s="197"/>
      <c r="W38" s="197"/>
      <c r="X38" s="1218" t="b">
        <v>0</v>
      </c>
      <c r="Y38" s="1218"/>
      <c r="Z38" s="197"/>
      <c r="BB38" s="971">
        <v>640945</v>
      </c>
      <c r="BC38" s="968" t="str">
        <f t="shared" si="0"/>
        <v>札幌市中央区盤渓</v>
      </c>
      <c r="BD38" s="968" t="s">
        <v>564</v>
      </c>
      <c r="BE38" s="969" t="s">
        <v>596</v>
      </c>
      <c r="BG38" s="1147" t="s">
        <v>1624</v>
      </c>
      <c r="BH38" s="970">
        <v>39</v>
      </c>
      <c r="BI38" s="968" t="s">
        <v>1465</v>
      </c>
      <c r="BJ38" s="984" t="s">
        <v>1985</v>
      </c>
      <c r="BK38" s="984" t="s">
        <v>1986</v>
      </c>
      <c r="BL38" s="968" t="s">
        <v>1625</v>
      </c>
      <c r="BM38" s="994">
        <v>40841</v>
      </c>
      <c r="BN38" s="992" t="s">
        <v>2434</v>
      </c>
      <c r="BO38" s="992" t="s">
        <v>2435</v>
      </c>
      <c r="BQ38" s="927"/>
      <c r="BR38" s="926"/>
      <c r="BU38" s="926"/>
      <c r="BV38" s="926"/>
    </row>
    <row r="39" spans="1:75" ht="13.5" customHeight="1">
      <c r="A39" s="1001" t="s">
        <v>2958</v>
      </c>
      <c r="Q39" s="192"/>
      <c r="R39" s="198"/>
      <c r="S39" s="198"/>
      <c r="T39" s="198"/>
      <c r="U39" s="198"/>
      <c r="V39" s="198"/>
      <c r="W39" s="197"/>
      <c r="X39" s="197"/>
      <c r="Y39" s="197"/>
      <c r="Z39" s="197"/>
      <c r="BB39" s="971">
        <v>640942</v>
      </c>
      <c r="BC39" s="968" t="str">
        <f t="shared" si="0"/>
        <v>札幌市中央区伏見</v>
      </c>
      <c r="BD39" s="968" t="s">
        <v>564</v>
      </c>
      <c r="BE39" s="969" t="s">
        <v>597</v>
      </c>
      <c r="BG39" s="1147"/>
      <c r="BH39" s="970">
        <v>40</v>
      </c>
      <c r="BI39" s="968" t="s">
        <v>1467</v>
      </c>
      <c r="BJ39" s="968" t="s">
        <v>1989</v>
      </c>
      <c r="BK39" s="968" t="s">
        <v>1990</v>
      </c>
      <c r="BL39" s="968" t="s">
        <v>1626</v>
      </c>
      <c r="BM39" s="995">
        <v>40845</v>
      </c>
      <c r="BN39" s="992" t="s">
        <v>2442</v>
      </c>
      <c r="BO39" s="992" t="s">
        <v>2443</v>
      </c>
      <c r="BQ39" s="927"/>
      <c r="BR39" s="926"/>
      <c r="BU39" s="926"/>
      <c r="BV39" s="926"/>
    </row>
    <row r="40" spans="1:75" ht="13.5" customHeight="1">
      <c r="Q40" s="192"/>
      <c r="R40" s="199" t="b">
        <v>0</v>
      </c>
      <c r="S40" s="200" t="b">
        <v>0</v>
      </c>
      <c r="T40" s="200" t="b">
        <v>0</v>
      </c>
      <c r="U40" s="200" t="b">
        <v>0</v>
      </c>
      <c r="V40" s="198"/>
      <c r="W40" s="197"/>
      <c r="X40" s="197"/>
      <c r="Y40" s="197"/>
      <c r="Z40" s="197"/>
      <c r="BB40" s="971">
        <v>640946</v>
      </c>
      <c r="BC40" s="968" t="str">
        <f t="shared" si="0"/>
        <v>札幌市中央区双子山</v>
      </c>
      <c r="BD40" s="968" t="s">
        <v>564</v>
      </c>
      <c r="BE40" s="969" t="s">
        <v>598</v>
      </c>
      <c r="BG40" s="1147"/>
      <c r="BH40" s="970">
        <v>41</v>
      </c>
      <c r="BI40" s="968" t="s">
        <v>1466</v>
      </c>
      <c r="BJ40" s="968" t="s">
        <v>1991</v>
      </c>
      <c r="BK40" s="968" t="s">
        <v>1992</v>
      </c>
      <c r="BL40" s="968" t="s">
        <v>1627</v>
      </c>
      <c r="BM40" s="995">
        <v>40847</v>
      </c>
      <c r="BN40" s="992" t="s">
        <v>2448</v>
      </c>
      <c r="BO40" s="992" t="s">
        <v>2449</v>
      </c>
      <c r="BQ40" s="927"/>
      <c r="BR40" s="926"/>
      <c r="BU40" s="926"/>
      <c r="BV40" s="926"/>
    </row>
    <row r="41" spans="1:75" ht="13.5" customHeight="1">
      <c r="Q41" s="192"/>
      <c r="R41" s="198"/>
      <c r="S41" s="198"/>
      <c r="T41" s="198"/>
      <c r="U41" s="198"/>
      <c r="V41" s="198"/>
      <c r="W41" s="197"/>
      <c r="X41" s="197"/>
      <c r="Y41" s="197"/>
      <c r="Z41" s="197"/>
      <c r="BB41" s="971">
        <v>640944</v>
      </c>
      <c r="BC41" s="968" t="str">
        <f t="shared" si="0"/>
        <v>札幌市中央区円山西町</v>
      </c>
      <c r="BD41" s="968" t="s">
        <v>564</v>
      </c>
      <c r="BE41" s="969" t="s">
        <v>599</v>
      </c>
      <c r="BG41" s="1147"/>
      <c r="BH41" s="970">
        <v>42</v>
      </c>
      <c r="BI41" s="988" t="s">
        <v>1483</v>
      </c>
      <c r="BJ41" s="968" t="s">
        <v>1993</v>
      </c>
      <c r="BK41" s="968" t="s">
        <v>1994</v>
      </c>
      <c r="BL41" s="968" t="s">
        <v>1628</v>
      </c>
      <c r="BM41" s="995">
        <v>40811</v>
      </c>
      <c r="BN41" s="992" t="s">
        <v>2452</v>
      </c>
      <c r="BO41" s="992" t="s">
        <v>2453</v>
      </c>
      <c r="BQ41" s="927"/>
      <c r="BR41" s="926"/>
      <c r="BU41" s="926"/>
      <c r="BV41" s="926"/>
    </row>
    <row r="42" spans="1:75" ht="13.5" customHeight="1">
      <c r="R42" s="197"/>
      <c r="S42" s="197"/>
      <c r="T42" s="197"/>
      <c r="U42" s="197"/>
      <c r="V42" s="197"/>
      <c r="W42" s="197"/>
      <c r="X42" s="197"/>
      <c r="Y42" s="197"/>
      <c r="Z42" s="197"/>
      <c r="BB42" s="971">
        <v>600051</v>
      </c>
      <c r="BC42" s="968" t="str">
        <f t="shared" si="0"/>
        <v>札幌市中央区南一条東</v>
      </c>
      <c r="BD42" s="968" t="s">
        <v>564</v>
      </c>
      <c r="BE42" s="969" t="s">
        <v>600</v>
      </c>
      <c r="BG42" s="1147"/>
      <c r="BH42" s="970">
        <v>43</v>
      </c>
      <c r="BI42" s="968" t="s">
        <v>1450</v>
      </c>
      <c r="BJ42" s="968" t="s">
        <v>1995</v>
      </c>
      <c r="BK42" s="968" t="s">
        <v>1996</v>
      </c>
      <c r="BL42" s="968" t="s">
        <v>1629</v>
      </c>
      <c r="BM42" s="995">
        <v>40812</v>
      </c>
      <c r="BN42" s="992" t="s">
        <v>2458</v>
      </c>
      <c r="BO42" s="992" t="s">
        <v>2459</v>
      </c>
      <c r="BQ42" s="927"/>
      <c r="BR42" s="926"/>
      <c r="BU42" s="926"/>
      <c r="BV42" s="926"/>
    </row>
    <row r="43" spans="1:75" ht="13.5" customHeight="1">
      <c r="BB43" s="971">
        <v>600061</v>
      </c>
      <c r="BC43" s="968" t="str">
        <f t="shared" si="0"/>
        <v>札幌市中央区南一条西</v>
      </c>
      <c r="BD43" s="968" t="s">
        <v>564</v>
      </c>
      <c r="BE43" s="969" t="s">
        <v>1340</v>
      </c>
      <c r="BG43" s="1147"/>
      <c r="BH43" s="970">
        <v>44</v>
      </c>
      <c r="BI43" s="988" t="s">
        <v>1630</v>
      </c>
      <c r="BJ43" s="968" t="s">
        <v>1997</v>
      </c>
      <c r="BK43" s="968" t="s">
        <v>1998</v>
      </c>
      <c r="BL43" s="968" t="s">
        <v>1631</v>
      </c>
      <c r="BM43" s="995">
        <v>40814</v>
      </c>
      <c r="BN43" s="992" t="s">
        <v>2462</v>
      </c>
      <c r="BO43" s="992" t="s">
        <v>2463</v>
      </c>
      <c r="BQ43" s="927"/>
      <c r="BR43" s="926"/>
      <c r="BU43" s="926"/>
      <c r="BV43" s="926"/>
    </row>
    <row r="44" spans="1:75" ht="13.5" customHeight="1">
      <c r="BB44" s="971">
        <v>640801</v>
      </c>
      <c r="BC44" s="968" t="str">
        <f t="shared" si="0"/>
        <v>札幌市中央区南一条西</v>
      </c>
      <c r="BD44" s="968" t="s">
        <v>564</v>
      </c>
      <c r="BE44" s="969" t="s">
        <v>1340</v>
      </c>
      <c r="BG44" s="1147"/>
      <c r="BH44" s="970">
        <v>45</v>
      </c>
      <c r="BI44" s="968" t="s">
        <v>1539</v>
      </c>
      <c r="BJ44" s="968" t="s">
        <v>1999</v>
      </c>
      <c r="BK44" s="968" t="s">
        <v>2000</v>
      </c>
      <c r="BL44" s="968" t="s">
        <v>1632</v>
      </c>
      <c r="BM44" s="995">
        <v>40872</v>
      </c>
      <c r="BN44" s="992" t="s">
        <v>2454</v>
      </c>
      <c r="BO44" s="992" t="s">
        <v>2455</v>
      </c>
      <c r="BQ44" s="927"/>
      <c r="BR44" s="926"/>
      <c r="BU44" s="926"/>
      <c r="BV44" s="926"/>
    </row>
    <row r="45" spans="1:75" ht="13.5" customHeight="1">
      <c r="BB45" s="971">
        <v>600052</v>
      </c>
      <c r="BC45" s="968" t="str">
        <f t="shared" si="0"/>
        <v>札幌市中央区南二条東</v>
      </c>
      <c r="BD45" s="968" t="s">
        <v>564</v>
      </c>
      <c r="BE45" s="969" t="s">
        <v>601</v>
      </c>
      <c r="BG45" s="1147"/>
      <c r="BH45" s="970">
        <v>46</v>
      </c>
      <c r="BI45" s="968" t="s">
        <v>1538</v>
      </c>
      <c r="BJ45" s="968" t="s">
        <v>2001</v>
      </c>
      <c r="BK45" s="968" t="s">
        <v>2002</v>
      </c>
      <c r="BL45" s="968" t="s">
        <v>1633</v>
      </c>
      <c r="BM45" s="995">
        <v>40875</v>
      </c>
      <c r="BN45" s="992" t="s">
        <v>2456</v>
      </c>
      <c r="BO45" s="992" t="s">
        <v>2457</v>
      </c>
      <c r="BQ45" s="927"/>
      <c r="BR45" s="926"/>
      <c r="BU45" s="926"/>
      <c r="BV45" s="926"/>
    </row>
    <row r="46" spans="1:75" ht="13.5" customHeight="1">
      <c r="BB46" s="971">
        <v>600062</v>
      </c>
      <c r="BC46" s="968" t="str">
        <f t="shared" si="0"/>
        <v>札幌市中央区南二条西</v>
      </c>
      <c r="BD46" s="968" t="s">
        <v>564</v>
      </c>
      <c r="BE46" s="969" t="s">
        <v>1339</v>
      </c>
      <c r="BG46" s="1147"/>
      <c r="BH46" s="970">
        <v>47</v>
      </c>
      <c r="BI46" s="988" t="s">
        <v>1536</v>
      </c>
      <c r="BJ46" s="968" t="s">
        <v>2003</v>
      </c>
      <c r="BK46" s="968" t="s">
        <v>2004</v>
      </c>
      <c r="BL46" s="968" t="s">
        <v>1634</v>
      </c>
      <c r="BM46" s="995">
        <v>40879</v>
      </c>
      <c r="BN46" s="992" t="s">
        <v>2450</v>
      </c>
      <c r="BO46" s="992" t="s">
        <v>2451</v>
      </c>
      <c r="BQ46" s="927"/>
      <c r="BR46" s="926"/>
      <c r="BU46" s="926"/>
      <c r="BV46" s="926"/>
    </row>
    <row r="47" spans="1:75" ht="13.5" customHeight="1">
      <c r="BB47" s="971">
        <v>640802</v>
      </c>
      <c r="BC47" s="968" t="str">
        <f t="shared" si="0"/>
        <v>札幌市中央区南二条西</v>
      </c>
      <c r="BD47" s="968" t="s">
        <v>564</v>
      </c>
      <c r="BE47" s="969" t="s">
        <v>1339</v>
      </c>
      <c r="BG47" s="1147"/>
      <c r="BH47" s="970">
        <v>48</v>
      </c>
      <c r="BI47" s="968" t="s">
        <v>1537</v>
      </c>
      <c r="BJ47" s="968" t="s">
        <v>2005</v>
      </c>
      <c r="BK47" s="968" t="s">
        <v>2006</v>
      </c>
      <c r="BL47" s="968" t="s">
        <v>1635</v>
      </c>
      <c r="BM47" s="995">
        <v>40882</v>
      </c>
      <c r="BN47" s="992" t="s">
        <v>2460</v>
      </c>
      <c r="BO47" s="992" t="s">
        <v>2461</v>
      </c>
      <c r="BQ47" s="927"/>
      <c r="BR47" s="926"/>
      <c r="BU47" s="926"/>
      <c r="BV47" s="926"/>
    </row>
    <row r="48" spans="1:75" ht="13.5" customHeight="1">
      <c r="BB48" s="971">
        <v>600053</v>
      </c>
      <c r="BC48" s="968" t="str">
        <f t="shared" si="0"/>
        <v>札幌市中央区南三条東</v>
      </c>
      <c r="BD48" s="968" t="s">
        <v>564</v>
      </c>
      <c r="BE48" s="969" t="s">
        <v>602</v>
      </c>
      <c r="BG48" s="1147"/>
      <c r="BH48" s="970">
        <v>49</v>
      </c>
      <c r="BI48" s="968" t="s">
        <v>1464</v>
      </c>
      <c r="BJ48" s="968" t="s">
        <v>2007</v>
      </c>
      <c r="BK48" s="968" t="s">
        <v>1956</v>
      </c>
      <c r="BL48" s="968" t="s">
        <v>1636</v>
      </c>
      <c r="BM48" s="995">
        <v>40862</v>
      </c>
      <c r="BN48" s="992" t="s">
        <v>2446</v>
      </c>
      <c r="BO48" s="992" t="s">
        <v>2447</v>
      </c>
      <c r="BQ48" s="927"/>
      <c r="BR48" s="926"/>
      <c r="BU48" s="926"/>
      <c r="BV48" s="926"/>
    </row>
    <row r="49" spans="54:74" ht="13.5" customHeight="1">
      <c r="BB49" s="971">
        <v>600063</v>
      </c>
      <c r="BC49" s="968" t="str">
        <f t="shared" si="0"/>
        <v>札幌市中央区南三条西</v>
      </c>
      <c r="BD49" s="968" t="s">
        <v>564</v>
      </c>
      <c r="BE49" s="969" t="s">
        <v>1338</v>
      </c>
      <c r="BG49" s="1147"/>
      <c r="BH49" s="970">
        <v>50</v>
      </c>
      <c r="BI49" s="988" t="s">
        <v>1462</v>
      </c>
      <c r="BJ49" s="968" t="s">
        <v>2179</v>
      </c>
      <c r="BK49" s="968" t="s">
        <v>2180</v>
      </c>
      <c r="BL49" s="968" t="s">
        <v>1637</v>
      </c>
      <c r="BM49" s="995">
        <v>40863</v>
      </c>
      <c r="BN49" s="992" t="s">
        <v>2440</v>
      </c>
      <c r="BO49" s="992" t="s">
        <v>2441</v>
      </c>
      <c r="BQ49" s="927"/>
      <c r="BR49" s="926"/>
      <c r="BU49" s="926"/>
      <c r="BV49" s="926"/>
    </row>
    <row r="50" spans="54:74" ht="13.5" customHeight="1">
      <c r="BB50" s="971">
        <v>640803</v>
      </c>
      <c r="BC50" s="968" t="str">
        <f t="shared" si="0"/>
        <v>札幌市中央区南三条西</v>
      </c>
      <c r="BD50" s="968" t="s">
        <v>564</v>
      </c>
      <c r="BE50" s="969" t="s">
        <v>1338</v>
      </c>
      <c r="BG50" s="1147"/>
      <c r="BH50" s="970">
        <v>51</v>
      </c>
      <c r="BI50" s="968" t="s">
        <v>1463</v>
      </c>
      <c r="BJ50" s="968" t="s">
        <v>2181</v>
      </c>
      <c r="BK50" s="968" t="s">
        <v>2182</v>
      </c>
      <c r="BL50" s="968" t="s">
        <v>1638</v>
      </c>
      <c r="BM50" s="995">
        <v>40864</v>
      </c>
      <c r="BN50" s="992" t="s">
        <v>2444</v>
      </c>
      <c r="BO50" s="992" t="s">
        <v>2445</v>
      </c>
      <c r="BQ50" s="927"/>
      <c r="BR50" s="926"/>
      <c r="BU50" s="926"/>
      <c r="BV50" s="926"/>
    </row>
    <row r="51" spans="54:74" ht="13.5" customHeight="1">
      <c r="BB51" s="971">
        <v>600054</v>
      </c>
      <c r="BC51" s="968" t="str">
        <f t="shared" si="0"/>
        <v>札幌市中央区南四条東</v>
      </c>
      <c r="BD51" s="968" t="s">
        <v>564</v>
      </c>
      <c r="BE51" s="969" t="s">
        <v>603</v>
      </c>
      <c r="BG51" s="1147"/>
      <c r="BH51" s="970">
        <v>52</v>
      </c>
      <c r="BI51" s="968" t="s">
        <v>1446</v>
      </c>
      <c r="BJ51" s="968" t="s">
        <v>2183</v>
      </c>
      <c r="BK51" s="968" t="s">
        <v>2184</v>
      </c>
      <c r="BL51" s="968" t="s">
        <v>1639</v>
      </c>
      <c r="BM51" s="995">
        <v>40821</v>
      </c>
      <c r="BN51" s="992" t="s">
        <v>2436</v>
      </c>
      <c r="BO51" s="992" t="s">
        <v>2437</v>
      </c>
      <c r="BQ51" s="927"/>
      <c r="BR51" s="926"/>
      <c r="BU51" s="926"/>
      <c r="BV51" s="926"/>
    </row>
    <row r="52" spans="54:74" ht="13.5" customHeight="1">
      <c r="BB52" s="971">
        <v>640804</v>
      </c>
      <c r="BC52" s="968" t="str">
        <f t="shared" si="0"/>
        <v>札幌市中央区南四条西</v>
      </c>
      <c r="BD52" s="968" t="s">
        <v>564</v>
      </c>
      <c r="BE52" s="969" t="s">
        <v>604</v>
      </c>
      <c r="BG52" s="1147"/>
      <c r="BH52" s="970">
        <v>53</v>
      </c>
      <c r="BI52" s="968" t="s">
        <v>1477</v>
      </c>
      <c r="BJ52" s="968" t="s">
        <v>2185</v>
      </c>
      <c r="BK52" s="968" t="s">
        <v>2186</v>
      </c>
      <c r="BL52" s="968" t="s">
        <v>1640</v>
      </c>
      <c r="BM52" s="995">
        <v>40802</v>
      </c>
      <c r="BN52" s="992" t="s">
        <v>2438</v>
      </c>
      <c r="BO52" s="992" t="s">
        <v>2439</v>
      </c>
      <c r="BQ52" s="927"/>
      <c r="BR52" s="926"/>
      <c r="BU52" s="926"/>
      <c r="BV52" s="926"/>
    </row>
    <row r="53" spans="54:74" ht="13.5" customHeight="1">
      <c r="BB53" s="971">
        <v>600055</v>
      </c>
      <c r="BC53" s="968" t="str">
        <f t="shared" si="0"/>
        <v>札幌市中央区南五条東</v>
      </c>
      <c r="BD53" s="968" t="s">
        <v>564</v>
      </c>
      <c r="BE53" s="969" t="s">
        <v>605</v>
      </c>
      <c r="BG53" s="1147" t="s">
        <v>1645</v>
      </c>
      <c r="BH53" s="970">
        <v>54</v>
      </c>
      <c r="BI53" s="988" t="s">
        <v>1499</v>
      </c>
      <c r="BJ53" s="984" t="s">
        <v>2187</v>
      </c>
      <c r="BK53" s="984" t="s">
        <v>2188</v>
      </c>
      <c r="BL53" s="968" t="s">
        <v>1646</v>
      </c>
      <c r="BM53" s="994">
        <v>60043</v>
      </c>
      <c r="BN53" s="992" t="s">
        <v>2322</v>
      </c>
      <c r="BO53" s="992" t="s">
        <v>2323</v>
      </c>
    </row>
    <row r="54" spans="54:74" ht="13.5" customHeight="1">
      <c r="BB54" s="971">
        <v>640805</v>
      </c>
      <c r="BC54" s="968" t="str">
        <f t="shared" si="0"/>
        <v>札幌市中央区南五条西</v>
      </c>
      <c r="BD54" s="968" t="s">
        <v>564</v>
      </c>
      <c r="BE54" s="969" t="s">
        <v>606</v>
      </c>
      <c r="BG54" s="1147"/>
      <c r="BH54" s="970">
        <v>55</v>
      </c>
      <c r="BI54" s="968" t="s">
        <v>1449</v>
      </c>
      <c r="BJ54" s="968" t="s">
        <v>2189</v>
      </c>
      <c r="BK54" s="968" t="s">
        <v>2190</v>
      </c>
      <c r="BL54" s="968" t="s">
        <v>1647</v>
      </c>
      <c r="BM54" s="995">
        <v>60034</v>
      </c>
      <c r="BN54" s="992" t="s">
        <v>2338</v>
      </c>
      <c r="BO54" s="992" t="s">
        <v>2339</v>
      </c>
    </row>
    <row r="55" spans="54:74" ht="13.5" customHeight="1">
      <c r="BB55" s="971">
        <v>600056</v>
      </c>
      <c r="BC55" s="968" t="str">
        <f t="shared" si="0"/>
        <v>札幌市中央区南六条東</v>
      </c>
      <c r="BD55" s="968" t="s">
        <v>564</v>
      </c>
      <c r="BE55" s="969" t="s">
        <v>607</v>
      </c>
      <c r="BG55" s="1147"/>
      <c r="BH55" s="970">
        <v>56</v>
      </c>
      <c r="BI55" s="968" t="s">
        <v>1641</v>
      </c>
      <c r="BJ55" s="968" t="s">
        <v>2191</v>
      </c>
      <c r="BK55" s="968" t="s">
        <v>2192</v>
      </c>
      <c r="BL55" s="968" t="s">
        <v>1648</v>
      </c>
      <c r="BM55" s="995">
        <v>60860</v>
      </c>
      <c r="BN55" s="992" t="s">
        <v>2324</v>
      </c>
      <c r="BO55" s="992" t="s">
        <v>2325</v>
      </c>
    </row>
    <row r="56" spans="54:74" ht="13.5" customHeight="1">
      <c r="BB56" s="971">
        <v>640806</v>
      </c>
      <c r="BC56" s="968" t="str">
        <f t="shared" si="0"/>
        <v>札幌市中央区南六条西</v>
      </c>
      <c r="BD56" s="968" t="s">
        <v>564</v>
      </c>
      <c r="BE56" s="969" t="s">
        <v>608</v>
      </c>
      <c r="BG56" s="1147"/>
      <c r="BH56" s="970">
        <v>57</v>
      </c>
      <c r="BI56" s="988" t="s">
        <v>1498</v>
      </c>
      <c r="BJ56" s="968" t="s">
        <v>2193</v>
      </c>
      <c r="BK56" s="968" t="s">
        <v>2194</v>
      </c>
      <c r="BL56" s="968" t="s">
        <v>1649</v>
      </c>
      <c r="BM56" s="995">
        <v>60812</v>
      </c>
      <c r="BN56" s="992" t="s">
        <v>2326</v>
      </c>
      <c r="BO56" s="992" t="s">
        <v>2327</v>
      </c>
    </row>
    <row r="57" spans="54:74" ht="13.5" customHeight="1">
      <c r="BB57" s="971">
        <v>600057</v>
      </c>
      <c r="BC57" s="968" t="str">
        <f t="shared" si="0"/>
        <v>札幌市中央区南七条東</v>
      </c>
      <c r="BD57" s="968" t="s">
        <v>564</v>
      </c>
      <c r="BE57" s="969" t="s">
        <v>609</v>
      </c>
      <c r="BG57" s="1147"/>
      <c r="BH57" s="970">
        <v>58</v>
      </c>
      <c r="BI57" s="988" t="s">
        <v>1642</v>
      </c>
      <c r="BJ57" s="968" t="s">
        <v>2195</v>
      </c>
      <c r="BK57" s="968" t="s">
        <v>2196</v>
      </c>
      <c r="BL57" s="968" t="s">
        <v>1650</v>
      </c>
      <c r="BM57" s="995">
        <v>60023</v>
      </c>
      <c r="BN57" s="992" t="s">
        <v>2320</v>
      </c>
      <c r="BO57" s="992" t="s">
        <v>2321</v>
      </c>
    </row>
    <row r="58" spans="54:74" ht="13.5" customHeight="1">
      <c r="BB58" s="971">
        <v>640807</v>
      </c>
      <c r="BC58" s="968" t="str">
        <f t="shared" si="0"/>
        <v>札幌市中央区南七条西</v>
      </c>
      <c r="BD58" s="968" t="s">
        <v>564</v>
      </c>
      <c r="BE58" s="969" t="s">
        <v>610</v>
      </c>
      <c r="BG58" s="1147"/>
      <c r="BH58" s="970">
        <v>59</v>
      </c>
      <c r="BI58" s="988" t="s">
        <v>1643</v>
      </c>
      <c r="BJ58" s="968" t="s">
        <v>2197</v>
      </c>
      <c r="BK58" s="968" t="s">
        <v>2198</v>
      </c>
      <c r="BL58" s="968" t="s">
        <v>1651</v>
      </c>
      <c r="BM58" s="995">
        <v>60841</v>
      </c>
      <c r="BN58" s="992" t="s">
        <v>2328</v>
      </c>
      <c r="BO58" s="992" t="s">
        <v>2329</v>
      </c>
    </row>
    <row r="59" spans="54:74" ht="13.5" customHeight="1">
      <c r="BB59" s="971">
        <v>640808</v>
      </c>
      <c r="BC59" s="968" t="str">
        <f t="shared" si="0"/>
        <v>札幌市中央区南八条西</v>
      </c>
      <c r="BD59" s="968" t="s">
        <v>564</v>
      </c>
      <c r="BE59" s="969" t="s">
        <v>611</v>
      </c>
      <c r="BG59" s="1147"/>
      <c r="BH59" s="970">
        <v>60</v>
      </c>
      <c r="BI59" s="968" t="s">
        <v>1486</v>
      </c>
      <c r="BJ59" s="968" t="s">
        <v>2199</v>
      </c>
      <c r="BK59" s="968" t="s">
        <v>2200</v>
      </c>
      <c r="BL59" s="968" t="s">
        <v>1652</v>
      </c>
      <c r="BM59" s="995">
        <v>60802</v>
      </c>
      <c r="BN59" s="992" t="s">
        <v>2344</v>
      </c>
      <c r="BO59" s="992" t="s">
        <v>2345</v>
      </c>
    </row>
    <row r="60" spans="54:74" ht="13.5" customHeight="1">
      <c r="BB60" s="971">
        <v>640809</v>
      </c>
      <c r="BC60" s="968" t="str">
        <f t="shared" si="0"/>
        <v>札幌市中央区南九条西</v>
      </c>
      <c r="BD60" s="968" t="s">
        <v>564</v>
      </c>
      <c r="BE60" s="969" t="s">
        <v>612</v>
      </c>
      <c r="BG60" s="1147"/>
      <c r="BH60" s="970">
        <v>61</v>
      </c>
      <c r="BI60" s="968" t="s">
        <v>1489</v>
      </c>
      <c r="BJ60" s="968" t="s">
        <v>2201</v>
      </c>
      <c r="BK60" s="968" t="s">
        <v>2202</v>
      </c>
      <c r="BL60" s="968" t="s">
        <v>1653</v>
      </c>
      <c r="BM60" s="995">
        <v>60805</v>
      </c>
      <c r="BN60" s="992" t="s">
        <v>2349</v>
      </c>
      <c r="BO60" s="992" t="s">
        <v>2348</v>
      </c>
    </row>
    <row r="61" spans="54:74" ht="13.5" customHeight="1">
      <c r="BB61" s="971">
        <v>640810</v>
      </c>
      <c r="BC61" s="968" t="str">
        <f t="shared" si="0"/>
        <v>札幌市中央区南十条西</v>
      </c>
      <c r="BD61" s="968" t="s">
        <v>564</v>
      </c>
      <c r="BE61" s="969" t="s">
        <v>613</v>
      </c>
      <c r="BG61" s="1147"/>
      <c r="BH61" s="970">
        <v>62</v>
      </c>
      <c r="BI61" s="968" t="s">
        <v>1488</v>
      </c>
      <c r="BJ61" s="968" t="s">
        <v>2203</v>
      </c>
      <c r="BK61" s="968" t="s">
        <v>2204</v>
      </c>
      <c r="BL61" s="968" t="s">
        <v>1654</v>
      </c>
      <c r="BM61" s="995">
        <v>60806</v>
      </c>
      <c r="BN61" s="992" t="s">
        <v>2336</v>
      </c>
      <c r="BO61" s="992" t="s">
        <v>2337</v>
      </c>
    </row>
    <row r="62" spans="54:74" ht="13.5" customHeight="1">
      <c r="BB62" s="971">
        <v>640811</v>
      </c>
      <c r="BC62" s="968" t="str">
        <f t="shared" si="0"/>
        <v>札幌市中央区南十一条西</v>
      </c>
      <c r="BD62" s="968" t="s">
        <v>564</v>
      </c>
      <c r="BE62" s="969" t="s">
        <v>614</v>
      </c>
      <c r="BG62" s="1147"/>
      <c r="BH62" s="970">
        <v>63</v>
      </c>
      <c r="BI62" s="968" t="s">
        <v>1556</v>
      </c>
      <c r="BJ62" s="968" t="s">
        <v>2205</v>
      </c>
      <c r="BK62" s="968" t="s">
        <v>2206</v>
      </c>
      <c r="BL62" s="968" t="s">
        <v>1655</v>
      </c>
      <c r="BM62" s="995">
        <v>60852</v>
      </c>
      <c r="BN62" s="992" t="s">
        <v>2350</v>
      </c>
      <c r="BO62" s="992" t="s">
        <v>2351</v>
      </c>
    </row>
    <row r="63" spans="54:74" ht="13.5" customHeight="1">
      <c r="BB63" s="971">
        <v>640912</v>
      </c>
      <c r="BC63" s="968" t="str">
        <f t="shared" ref="BC63:BC126" si="1">BD63&amp;BE63</f>
        <v>札幌市中央区南十二条西</v>
      </c>
      <c r="BD63" s="968" t="s">
        <v>564</v>
      </c>
      <c r="BE63" s="969" t="s">
        <v>615</v>
      </c>
      <c r="BG63" s="1147"/>
      <c r="BH63" s="970">
        <v>64</v>
      </c>
      <c r="BI63" s="968" t="s">
        <v>1644</v>
      </c>
      <c r="BJ63" s="968" t="s">
        <v>2207</v>
      </c>
      <c r="BK63" s="968" t="s">
        <v>2208</v>
      </c>
      <c r="BL63" s="968" t="s">
        <v>1656</v>
      </c>
      <c r="BM63" s="995">
        <v>60002</v>
      </c>
      <c r="BN63" s="992" t="s">
        <v>2346</v>
      </c>
      <c r="BO63" s="992" t="s">
        <v>2347</v>
      </c>
    </row>
    <row r="64" spans="54:74" ht="13.5" customHeight="1">
      <c r="BB64" s="971">
        <v>640913</v>
      </c>
      <c r="BC64" s="968" t="str">
        <f t="shared" si="1"/>
        <v>札幌市中央区南十三条西</v>
      </c>
      <c r="BD64" s="968" t="s">
        <v>564</v>
      </c>
      <c r="BE64" s="969" t="s">
        <v>616</v>
      </c>
      <c r="BG64" s="1147"/>
      <c r="BH64" s="970">
        <v>65</v>
      </c>
      <c r="BI64" s="968" t="s">
        <v>1562</v>
      </c>
      <c r="BJ64" s="968" t="s">
        <v>2209</v>
      </c>
      <c r="BK64" s="968" t="s">
        <v>2210</v>
      </c>
      <c r="BL64" s="968" t="s">
        <v>1657</v>
      </c>
      <c r="BM64" s="995">
        <v>60852</v>
      </c>
      <c r="BN64" s="992" t="s">
        <v>2334</v>
      </c>
      <c r="BO64" s="992" t="s">
        <v>2335</v>
      </c>
    </row>
    <row r="65" spans="54:74" ht="13.5" customHeight="1">
      <c r="BB65" s="971">
        <v>640914</v>
      </c>
      <c r="BC65" s="968" t="str">
        <f t="shared" si="1"/>
        <v>札幌市中央区南十四条西</v>
      </c>
      <c r="BD65" s="968" t="s">
        <v>564</v>
      </c>
      <c r="BE65" s="969" t="s">
        <v>617</v>
      </c>
      <c r="BG65" s="1147"/>
      <c r="BH65" s="970">
        <v>66</v>
      </c>
      <c r="BI65" s="968" t="s">
        <v>1448</v>
      </c>
      <c r="BJ65" s="968" t="s">
        <v>2211</v>
      </c>
      <c r="BK65" s="968" t="s">
        <v>1959</v>
      </c>
      <c r="BL65" s="968" t="s">
        <v>1658</v>
      </c>
      <c r="BM65" s="995">
        <v>60815</v>
      </c>
      <c r="BN65" s="992" t="s">
        <v>2342</v>
      </c>
      <c r="BO65" s="992" t="s">
        <v>2343</v>
      </c>
    </row>
    <row r="66" spans="54:74" ht="13.5" customHeight="1">
      <c r="BB66" s="971">
        <v>640915</v>
      </c>
      <c r="BC66" s="968" t="str">
        <f t="shared" si="1"/>
        <v>札幌市中央区南十五条西</v>
      </c>
      <c r="BD66" s="968" t="s">
        <v>564</v>
      </c>
      <c r="BE66" s="969" t="s">
        <v>618</v>
      </c>
      <c r="BG66" s="1147"/>
      <c r="BH66" s="970">
        <v>67</v>
      </c>
      <c r="BI66" s="968" t="s">
        <v>1561</v>
      </c>
      <c r="BJ66" s="968" t="s">
        <v>2212</v>
      </c>
      <c r="BK66" s="968" t="s">
        <v>2213</v>
      </c>
      <c r="BL66" s="968" t="s">
        <v>1659</v>
      </c>
      <c r="BM66" s="995">
        <v>60816</v>
      </c>
      <c r="BN66" s="992" t="s">
        <v>2332</v>
      </c>
      <c r="BO66" s="992" t="s">
        <v>2333</v>
      </c>
    </row>
    <row r="67" spans="54:74" ht="13.5" customHeight="1">
      <c r="BB67" s="971">
        <v>640916</v>
      </c>
      <c r="BC67" s="968" t="str">
        <f t="shared" si="1"/>
        <v>札幌市中央区南十六条西</v>
      </c>
      <c r="BD67" s="968" t="s">
        <v>564</v>
      </c>
      <c r="BE67" s="969" t="s">
        <v>619</v>
      </c>
      <c r="BG67" s="1147"/>
      <c r="BH67" s="970">
        <v>68</v>
      </c>
      <c r="BI67" s="968" t="s">
        <v>1563</v>
      </c>
      <c r="BJ67" s="968" t="s">
        <v>2214</v>
      </c>
      <c r="BK67" s="968" t="s">
        <v>2215</v>
      </c>
      <c r="BL67" s="968" t="s">
        <v>1660</v>
      </c>
      <c r="BM67" s="995">
        <v>60818</v>
      </c>
      <c r="BN67" s="992" t="s">
        <v>2340</v>
      </c>
      <c r="BO67" s="992" t="s">
        <v>2341</v>
      </c>
    </row>
    <row r="68" spans="54:74" ht="13.5" customHeight="1">
      <c r="BB68" s="971">
        <v>640917</v>
      </c>
      <c r="BC68" s="968" t="str">
        <f t="shared" si="1"/>
        <v>札幌市中央区南十七条西</v>
      </c>
      <c r="BD68" s="968" t="s">
        <v>564</v>
      </c>
      <c r="BE68" s="969" t="s">
        <v>620</v>
      </c>
      <c r="BG68" s="1147"/>
      <c r="BH68" s="970">
        <v>69</v>
      </c>
      <c r="BI68" s="968" t="s">
        <v>1504</v>
      </c>
      <c r="BJ68" s="968" t="s">
        <v>2216</v>
      </c>
      <c r="BK68" s="968" t="s">
        <v>2217</v>
      </c>
      <c r="BL68" s="968" t="s">
        <v>1661</v>
      </c>
      <c r="BM68" s="995">
        <v>60011</v>
      </c>
      <c r="BN68" s="992" t="s">
        <v>2330</v>
      </c>
      <c r="BO68" s="992" t="s">
        <v>2331</v>
      </c>
    </row>
    <row r="69" spans="54:74" ht="13.5" customHeight="1">
      <c r="BB69" s="971">
        <v>640918</v>
      </c>
      <c r="BC69" s="968" t="str">
        <f t="shared" si="1"/>
        <v>札幌市中央区南十八条西</v>
      </c>
      <c r="BD69" s="968" t="s">
        <v>564</v>
      </c>
      <c r="BE69" s="969" t="s">
        <v>621</v>
      </c>
      <c r="BG69" s="1147" t="s">
        <v>1667</v>
      </c>
      <c r="BH69" s="969">
        <v>70</v>
      </c>
      <c r="BI69" s="968" t="s">
        <v>1580</v>
      </c>
      <c r="BJ69" s="984" t="s">
        <v>2268</v>
      </c>
      <c r="BK69" s="984" t="s">
        <v>2269</v>
      </c>
      <c r="BL69" s="968" t="s">
        <v>1668</v>
      </c>
      <c r="BM69" s="996">
        <v>40013</v>
      </c>
      <c r="BN69" s="992" t="s">
        <v>2484</v>
      </c>
      <c r="BO69" s="992" t="s">
        <v>2485</v>
      </c>
      <c r="BQ69" s="927"/>
      <c r="BR69" s="926"/>
      <c r="BS69" s="926"/>
      <c r="BT69" s="926"/>
      <c r="BU69" s="926"/>
      <c r="BV69" s="926"/>
    </row>
    <row r="70" spans="54:74" ht="13.5" customHeight="1">
      <c r="BB70" s="971">
        <v>640919</v>
      </c>
      <c r="BC70" s="968" t="str">
        <f t="shared" si="1"/>
        <v>札幌市中央区南十九条西</v>
      </c>
      <c r="BD70" s="968" t="s">
        <v>564</v>
      </c>
      <c r="BE70" s="969" t="s">
        <v>622</v>
      </c>
      <c r="BG70" s="1147"/>
      <c r="BH70" s="970">
        <v>71</v>
      </c>
      <c r="BI70" s="968" t="s">
        <v>1579</v>
      </c>
      <c r="BJ70" s="984" t="s">
        <v>2270</v>
      </c>
      <c r="BK70" s="984" t="s">
        <v>2271</v>
      </c>
      <c r="BL70" s="968" t="s">
        <v>1669</v>
      </c>
      <c r="BM70" s="996">
        <v>40011</v>
      </c>
      <c r="BN70" s="992" t="s">
        <v>2482</v>
      </c>
      <c r="BO70" s="992" t="s">
        <v>2483</v>
      </c>
      <c r="BQ70" s="927"/>
      <c r="BR70" s="926"/>
      <c r="BS70" s="926"/>
      <c r="BT70" s="926"/>
      <c r="BU70" s="926"/>
      <c r="BV70" s="926"/>
    </row>
    <row r="71" spans="54:74" ht="13.5" customHeight="1">
      <c r="BB71" s="971">
        <v>640920</v>
      </c>
      <c r="BC71" s="968" t="str">
        <f t="shared" si="1"/>
        <v>札幌市中央区南二十条西</v>
      </c>
      <c r="BD71" s="968" t="s">
        <v>564</v>
      </c>
      <c r="BE71" s="969" t="s">
        <v>623</v>
      </c>
      <c r="BG71" s="1147"/>
      <c r="BH71" s="970">
        <v>72</v>
      </c>
      <c r="BI71" s="988" t="s">
        <v>1662</v>
      </c>
      <c r="BJ71" s="984" t="s">
        <v>2272</v>
      </c>
      <c r="BK71" s="984" t="s">
        <v>2273</v>
      </c>
      <c r="BL71" s="968" t="s">
        <v>1670</v>
      </c>
      <c r="BM71" s="996">
        <v>40063</v>
      </c>
      <c r="BN71" s="992" t="s">
        <v>2472</v>
      </c>
      <c r="BO71" s="992" t="s">
        <v>2473</v>
      </c>
      <c r="BQ71" s="927"/>
      <c r="BR71" s="926"/>
      <c r="BS71" s="926"/>
      <c r="BT71" s="926"/>
      <c r="BU71" s="926"/>
      <c r="BV71" s="926"/>
    </row>
    <row r="72" spans="54:74" ht="13.5" customHeight="1">
      <c r="BB72" s="971">
        <v>640921</v>
      </c>
      <c r="BC72" s="968" t="str">
        <f t="shared" si="1"/>
        <v>札幌市中央区南二十一条西</v>
      </c>
      <c r="BD72" s="968" t="s">
        <v>564</v>
      </c>
      <c r="BE72" s="969" t="s">
        <v>624</v>
      </c>
      <c r="BG72" s="1147"/>
      <c r="BH72" s="970">
        <v>73</v>
      </c>
      <c r="BI72" s="988" t="s">
        <v>1442</v>
      </c>
      <c r="BJ72" s="984" t="s">
        <v>2274</v>
      </c>
      <c r="BK72" s="984" t="s">
        <v>2275</v>
      </c>
      <c r="BL72" s="968" t="s">
        <v>1671</v>
      </c>
      <c r="BM72" s="996">
        <v>40064</v>
      </c>
      <c r="BN72" s="992" t="s">
        <v>2478</v>
      </c>
      <c r="BO72" s="992" t="s">
        <v>2479</v>
      </c>
      <c r="BQ72" s="927"/>
      <c r="BR72" s="926"/>
      <c r="BU72" s="926"/>
      <c r="BV72" s="926"/>
    </row>
    <row r="73" spans="54:74" ht="13.5" customHeight="1">
      <c r="BB73" s="971">
        <v>640922</v>
      </c>
      <c r="BC73" s="968" t="str">
        <f t="shared" si="1"/>
        <v>札幌市中央区南二十二条西</v>
      </c>
      <c r="BD73" s="968" t="s">
        <v>564</v>
      </c>
      <c r="BE73" s="969" t="s">
        <v>625</v>
      </c>
      <c r="BG73" s="1147"/>
      <c r="BH73" s="970">
        <v>74</v>
      </c>
      <c r="BI73" s="988" t="s">
        <v>1663</v>
      </c>
      <c r="BJ73" s="984" t="s">
        <v>2276</v>
      </c>
      <c r="BK73" s="984" t="s">
        <v>2277</v>
      </c>
      <c r="BL73" s="968" t="s">
        <v>1672</v>
      </c>
      <c r="BM73" s="996">
        <v>40052</v>
      </c>
      <c r="BN73" s="992" t="s">
        <v>2470</v>
      </c>
      <c r="BO73" s="992" t="s">
        <v>2471</v>
      </c>
      <c r="BQ73" s="927"/>
      <c r="BR73" s="926"/>
      <c r="BU73" s="926"/>
      <c r="BV73" s="926"/>
    </row>
    <row r="74" spans="54:74" ht="13.5" customHeight="1">
      <c r="BB74" s="971">
        <v>640923</v>
      </c>
      <c r="BC74" s="968" t="str">
        <f t="shared" si="1"/>
        <v>札幌市中央区南二十三条西</v>
      </c>
      <c r="BD74" s="968" t="s">
        <v>564</v>
      </c>
      <c r="BE74" s="969" t="s">
        <v>626</v>
      </c>
      <c r="BG74" s="1147"/>
      <c r="BH74" s="970">
        <v>75</v>
      </c>
      <c r="BI74" s="968" t="s">
        <v>1479</v>
      </c>
      <c r="BJ74" s="984" t="s">
        <v>2278</v>
      </c>
      <c r="BK74" s="984" t="s">
        <v>2279</v>
      </c>
      <c r="BL74" s="968" t="s">
        <v>1673</v>
      </c>
      <c r="BM74" s="996">
        <v>40054</v>
      </c>
      <c r="BN74" s="992" t="s">
        <v>2464</v>
      </c>
      <c r="BO74" s="992" t="s">
        <v>2465</v>
      </c>
      <c r="BQ74" s="927"/>
      <c r="BR74" s="926"/>
      <c r="BU74" s="926"/>
      <c r="BV74" s="926"/>
    </row>
    <row r="75" spans="54:74" ht="13.5" customHeight="1">
      <c r="BB75" s="971">
        <v>640924</v>
      </c>
      <c r="BC75" s="968" t="str">
        <f t="shared" si="1"/>
        <v>札幌市中央区南二十四条西</v>
      </c>
      <c r="BD75" s="968" t="s">
        <v>564</v>
      </c>
      <c r="BE75" s="969" t="s">
        <v>627</v>
      </c>
      <c r="BG75" s="1147"/>
      <c r="BH75" s="970">
        <v>76</v>
      </c>
      <c r="BI75" s="968" t="s">
        <v>1664</v>
      </c>
      <c r="BJ75" s="984" t="s">
        <v>2280</v>
      </c>
      <c r="BK75" s="984" t="s">
        <v>2281</v>
      </c>
      <c r="BL75" s="968" t="s">
        <v>1674</v>
      </c>
      <c r="BM75" s="996">
        <v>40002</v>
      </c>
      <c r="BN75" s="992" t="s">
        <v>2466</v>
      </c>
      <c r="BO75" s="992" t="s">
        <v>2467</v>
      </c>
      <c r="BQ75" s="927"/>
      <c r="BR75" s="926"/>
      <c r="BU75" s="926"/>
      <c r="BV75" s="926"/>
    </row>
    <row r="76" spans="54:74" ht="13.5" customHeight="1">
      <c r="BB76" s="971">
        <v>640925</v>
      </c>
      <c r="BC76" s="968" t="str">
        <f t="shared" si="1"/>
        <v>札幌市中央区南二十五条西</v>
      </c>
      <c r="BD76" s="968" t="s">
        <v>564</v>
      </c>
      <c r="BE76" s="969" t="s">
        <v>628</v>
      </c>
      <c r="BG76" s="1147"/>
      <c r="BH76" s="970">
        <v>77</v>
      </c>
      <c r="BI76" s="988" t="s">
        <v>1443</v>
      </c>
      <c r="BJ76" s="984" t="s">
        <v>2282</v>
      </c>
      <c r="BK76" s="984" t="s">
        <v>2283</v>
      </c>
      <c r="BL76" s="968" t="s">
        <v>1675</v>
      </c>
      <c r="BM76" s="996">
        <v>40004</v>
      </c>
      <c r="BN76" s="992" t="s">
        <v>2480</v>
      </c>
      <c r="BO76" s="992" t="s">
        <v>2481</v>
      </c>
      <c r="BQ76" s="927"/>
      <c r="BR76" s="926"/>
      <c r="BU76" s="926"/>
      <c r="BV76" s="926"/>
    </row>
    <row r="77" spans="54:74" ht="13.5" customHeight="1">
      <c r="BB77" s="971">
        <v>640926</v>
      </c>
      <c r="BC77" s="968" t="str">
        <f t="shared" si="1"/>
        <v>札幌市中央区南二十六条西</v>
      </c>
      <c r="BD77" s="968" t="s">
        <v>564</v>
      </c>
      <c r="BE77" s="969" t="s">
        <v>629</v>
      </c>
      <c r="BG77" s="1147"/>
      <c r="BH77" s="970">
        <v>78</v>
      </c>
      <c r="BI77" s="968" t="s">
        <v>1665</v>
      </c>
      <c r="BJ77" s="984" t="s">
        <v>2284</v>
      </c>
      <c r="BK77" s="984" t="s">
        <v>2285</v>
      </c>
      <c r="BL77" s="968" t="s">
        <v>1676</v>
      </c>
      <c r="BM77" s="996">
        <v>40022</v>
      </c>
      <c r="BN77" s="992" t="s">
        <v>2468</v>
      </c>
      <c r="BO77" s="992" t="s">
        <v>2469</v>
      </c>
      <c r="BQ77" s="927"/>
      <c r="BR77" s="926"/>
      <c r="BU77" s="926"/>
      <c r="BV77" s="926"/>
    </row>
    <row r="78" spans="54:74" ht="13.5" customHeight="1">
      <c r="BB78" s="971">
        <v>640927</v>
      </c>
      <c r="BC78" s="968" t="str">
        <f t="shared" si="1"/>
        <v>札幌市中央区南二十七条西</v>
      </c>
      <c r="BD78" s="968" t="s">
        <v>564</v>
      </c>
      <c r="BE78" s="969" t="s">
        <v>630</v>
      </c>
      <c r="BG78" s="1147"/>
      <c r="BH78" s="970">
        <v>79</v>
      </c>
      <c r="BI78" s="988"/>
      <c r="BJ78" s="984"/>
      <c r="BK78" s="984"/>
      <c r="BM78" s="996"/>
      <c r="BQ78" s="927"/>
      <c r="BR78" s="926"/>
      <c r="BU78" s="926"/>
      <c r="BV78" s="926"/>
    </row>
    <row r="79" spans="54:74" ht="13.5" customHeight="1">
      <c r="BB79" s="971">
        <v>640928</v>
      </c>
      <c r="BC79" s="968" t="str">
        <f t="shared" si="1"/>
        <v>札幌市中央区南二十八条西</v>
      </c>
      <c r="BD79" s="968" t="s">
        <v>564</v>
      </c>
      <c r="BE79" s="969" t="s">
        <v>631</v>
      </c>
      <c r="BG79" s="1147"/>
      <c r="BH79" s="970">
        <v>80</v>
      </c>
      <c r="BI79" s="968" t="s">
        <v>1666</v>
      </c>
      <c r="BJ79" s="984" t="s">
        <v>2286</v>
      </c>
      <c r="BK79" s="984" t="s">
        <v>2287</v>
      </c>
      <c r="BL79" s="968" t="s">
        <v>1677</v>
      </c>
      <c r="BM79" s="996">
        <v>40072</v>
      </c>
      <c r="BN79" s="992" t="s">
        <v>2474</v>
      </c>
      <c r="BO79" s="992" t="s">
        <v>2475</v>
      </c>
      <c r="BQ79" s="927"/>
      <c r="BR79" s="926"/>
      <c r="BU79" s="926"/>
      <c r="BV79" s="926"/>
    </row>
    <row r="80" spans="54:74" ht="13.5" customHeight="1">
      <c r="BB80" s="971">
        <v>640929</v>
      </c>
      <c r="BC80" s="968" t="str">
        <f t="shared" si="1"/>
        <v>札幌市中央区南二十九条西</v>
      </c>
      <c r="BD80" s="968" t="s">
        <v>564</v>
      </c>
      <c r="BE80" s="969" t="s">
        <v>632</v>
      </c>
      <c r="BG80" s="1147"/>
      <c r="BH80" s="970">
        <v>81</v>
      </c>
      <c r="BI80" s="988" t="s">
        <v>2490</v>
      </c>
      <c r="BJ80" s="984" t="s">
        <v>2493</v>
      </c>
      <c r="BK80" s="984" t="s">
        <v>2492</v>
      </c>
      <c r="BL80" s="968" t="s">
        <v>2491</v>
      </c>
      <c r="BM80" s="996">
        <v>40032</v>
      </c>
      <c r="BN80" s="992" t="s">
        <v>2486</v>
      </c>
      <c r="BO80" s="992" t="s">
        <v>2487</v>
      </c>
      <c r="BQ80" s="927"/>
      <c r="BR80" s="926"/>
      <c r="BU80" s="926"/>
      <c r="BV80" s="926"/>
    </row>
    <row r="81" spans="54:74" ht="13.5" customHeight="1">
      <c r="BB81" s="971">
        <v>640930</v>
      </c>
      <c r="BC81" s="968" t="str">
        <f t="shared" si="1"/>
        <v>札幌市中央区南三十条西</v>
      </c>
      <c r="BD81" s="968" t="s">
        <v>564</v>
      </c>
      <c r="BE81" s="969" t="s">
        <v>1337</v>
      </c>
      <c r="BG81" s="1147"/>
      <c r="BH81" s="970">
        <v>82</v>
      </c>
      <c r="BI81" s="988" t="s">
        <v>2495</v>
      </c>
      <c r="BJ81" s="984" t="s">
        <v>2497</v>
      </c>
      <c r="BK81" s="984" t="s">
        <v>2498</v>
      </c>
      <c r="BL81" s="968" t="s">
        <v>2496</v>
      </c>
      <c r="BM81" s="994" t="s">
        <v>2494</v>
      </c>
      <c r="BN81" s="992" t="s">
        <v>2488</v>
      </c>
      <c r="BO81" s="992" t="s">
        <v>2489</v>
      </c>
      <c r="BQ81" s="927"/>
      <c r="BR81" s="926"/>
      <c r="BU81" s="926"/>
      <c r="BV81" s="926"/>
    </row>
    <row r="82" spans="54:74" ht="13.5" customHeight="1">
      <c r="BB82" s="971">
        <v>640959</v>
      </c>
      <c r="BC82" s="968" t="str">
        <f t="shared" si="1"/>
        <v>札幌市中央区宮ケ丘</v>
      </c>
      <c r="BD82" s="968" t="s">
        <v>564</v>
      </c>
      <c r="BE82" s="969" t="s">
        <v>633</v>
      </c>
      <c r="BG82" s="1147"/>
      <c r="BH82" s="970">
        <v>83</v>
      </c>
      <c r="BJ82" s="997"/>
      <c r="BK82" s="997"/>
      <c r="BM82" s="996"/>
    </row>
    <row r="83" spans="54:74" ht="13.5" customHeight="1">
      <c r="BB83" s="971">
        <v>640958</v>
      </c>
      <c r="BC83" s="968" t="str">
        <f t="shared" si="1"/>
        <v>札幌市中央区宮の森</v>
      </c>
      <c r="BD83" s="968" t="s">
        <v>564</v>
      </c>
      <c r="BE83" s="969" t="s">
        <v>634</v>
      </c>
      <c r="BG83" s="1147"/>
      <c r="BH83" s="970">
        <v>84</v>
      </c>
      <c r="BI83" s="988" t="s">
        <v>1453</v>
      </c>
      <c r="BJ83" s="984" t="s">
        <v>2288</v>
      </c>
      <c r="BK83" s="984" t="s">
        <v>2289</v>
      </c>
      <c r="BL83" s="968" t="s">
        <v>1678</v>
      </c>
      <c r="BM83" s="996">
        <v>40041</v>
      </c>
      <c r="BN83" s="992" t="s">
        <v>2476</v>
      </c>
      <c r="BO83" s="992" t="s">
        <v>2477</v>
      </c>
    </row>
    <row r="84" spans="54:74" ht="13.5" customHeight="1">
      <c r="BB84" s="971">
        <v>640951</v>
      </c>
      <c r="BC84" s="968" t="str">
        <f t="shared" si="1"/>
        <v>札幌市中央区宮の森一条</v>
      </c>
      <c r="BD84" s="968" t="s">
        <v>564</v>
      </c>
      <c r="BE84" s="969" t="s">
        <v>635</v>
      </c>
      <c r="BG84" s="1147" t="s">
        <v>1689</v>
      </c>
      <c r="BH84" s="970">
        <v>85</v>
      </c>
      <c r="BI84" s="988" t="s">
        <v>1679</v>
      </c>
      <c r="BJ84" s="984" t="s">
        <v>2266</v>
      </c>
      <c r="BK84" s="984" t="s">
        <v>2267</v>
      </c>
      <c r="BL84" s="968" t="s">
        <v>1690</v>
      </c>
      <c r="BM84" s="996">
        <v>70880</v>
      </c>
      <c r="BN84" s="992" t="s">
        <v>2589</v>
      </c>
      <c r="BO84" s="992" t="s">
        <v>2590</v>
      </c>
      <c r="BQ84" s="927"/>
      <c r="BR84" s="926"/>
      <c r="BU84" s="926"/>
      <c r="BV84" s="926"/>
    </row>
    <row r="85" spans="54:74" ht="13.5" customHeight="1">
      <c r="BB85" s="971">
        <v>640952</v>
      </c>
      <c r="BC85" s="968" t="str">
        <f t="shared" si="1"/>
        <v>札幌市中央区宮の森二条</v>
      </c>
      <c r="BD85" s="968" t="s">
        <v>564</v>
      </c>
      <c r="BE85" s="969" t="s">
        <v>636</v>
      </c>
      <c r="BG85" s="1147"/>
      <c r="BH85" s="970">
        <v>86</v>
      </c>
      <c r="BI85" s="968" t="s">
        <v>1543</v>
      </c>
      <c r="BJ85" s="968" t="s">
        <v>2264</v>
      </c>
      <c r="BK85" s="968" t="s">
        <v>2265</v>
      </c>
      <c r="BL85" s="968" t="s">
        <v>1691</v>
      </c>
      <c r="BM85" s="976">
        <v>70890</v>
      </c>
      <c r="BN85" s="992" t="s">
        <v>2595</v>
      </c>
      <c r="BO85" s="992" t="s">
        <v>2596</v>
      </c>
      <c r="BQ85" s="927"/>
      <c r="BR85" s="926"/>
      <c r="BU85" s="926"/>
      <c r="BV85" s="926"/>
    </row>
    <row r="86" spans="54:74" ht="13.5" customHeight="1">
      <c r="BB86" s="971">
        <v>640953</v>
      </c>
      <c r="BC86" s="968" t="str">
        <f t="shared" si="1"/>
        <v>札幌市中央区宮の森三条</v>
      </c>
      <c r="BD86" s="968" t="s">
        <v>564</v>
      </c>
      <c r="BE86" s="969" t="s">
        <v>637</v>
      </c>
      <c r="BG86" s="1147"/>
      <c r="BH86" s="970">
        <v>87</v>
      </c>
      <c r="BI86" s="988" t="s">
        <v>1511</v>
      </c>
      <c r="BJ86" s="968" t="s">
        <v>2262</v>
      </c>
      <c r="BK86" s="968" t="s">
        <v>2263</v>
      </c>
      <c r="BL86" s="968" t="s">
        <v>1692</v>
      </c>
      <c r="BM86" s="976">
        <v>70890</v>
      </c>
      <c r="BN86" s="992" t="s">
        <v>2597</v>
      </c>
      <c r="BO86" s="992" t="s">
        <v>2598</v>
      </c>
      <c r="BQ86" s="927"/>
      <c r="BR86" s="926"/>
      <c r="BU86" s="926"/>
      <c r="BV86" s="926"/>
    </row>
    <row r="87" spans="54:74" ht="13.5" customHeight="1">
      <c r="BB87" s="971">
        <v>640954</v>
      </c>
      <c r="BC87" s="968" t="str">
        <f t="shared" si="1"/>
        <v>札幌市中央区宮の森四条</v>
      </c>
      <c r="BD87" s="968" t="s">
        <v>564</v>
      </c>
      <c r="BE87" s="969" t="s">
        <v>638</v>
      </c>
      <c r="BG87" s="1147"/>
      <c r="BH87" s="970">
        <v>88</v>
      </c>
      <c r="BI87" s="968" t="s">
        <v>1680</v>
      </c>
      <c r="BJ87" s="968" t="s">
        <v>2260</v>
      </c>
      <c r="BK87" s="968" t="s">
        <v>2261</v>
      </c>
      <c r="BL87" s="968" t="s">
        <v>1693</v>
      </c>
      <c r="BM87" s="976">
        <v>70813</v>
      </c>
      <c r="BN87" s="992" t="s">
        <v>2635</v>
      </c>
      <c r="BO87" s="992" t="s">
        <v>2636</v>
      </c>
      <c r="BQ87" s="927"/>
      <c r="BR87" s="926"/>
      <c r="BU87" s="926"/>
      <c r="BV87" s="926"/>
    </row>
    <row r="88" spans="54:74" ht="13.5" customHeight="1">
      <c r="BB88" s="971">
        <v>10000</v>
      </c>
      <c r="BC88" s="968" t="str">
        <f t="shared" si="1"/>
        <v>札幌市北区</v>
      </c>
      <c r="BD88" s="968" t="s">
        <v>565</v>
      </c>
      <c r="BG88" s="1147"/>
      <c r="BH88" s="970">
        <v>89</v>
      </c>
      <c r="BI88" s="988" t="s">
        <v>1533</v>
      </c>
      <c r="BJ88" s="968" t="s">
        <v>2258</v>
      </c>
      <c r="BK88" s="968" t="s">
        <v>2259</v>
      </c>
      <c r="BL88" s="968" t="s">
        <v>1694</v>
      </c>
      <c r="BM88" s="976">
        <v>70805</v>
      </c>
      <c r="BN88" s="992" t="s">
        <v>2631</v>
      </c>
      <c r="BO88" s="992" t="s">
        <v>2632</v>
      </c>
      <c r="BQ88" s="927"/>
      <c r="BR88" s="926"/>
      <c r="BU88" s="926"/>
      <c r="BV88" s="926"/>
    </row>
    <row r="89" spans="54:74" ht="13.5" customHeight="1">
      <c r="BB89" s="971">
        <v>28071</v>
      </c>
      <c r="BC89" s="968" t="str">
        <f t="shared" si="1"/>
        <v>札幌市北区あいの里一条</v>
      </c>
      <c r="BD89" s="968" t="s">
        <v>565</v>
      </c>
      <c r="BE89" s="969" t="s">
        <v>639</v>
      </c>
      <c r="BG89" s="1147"/>
      <c r="BH89" s="970">
        <v>90</v>
      </c>
      <c r="BI89" s="968" t="s">
        <v>1681</v>
      </c>
      <c r="BJ89" s="968" t="s">
        <v>2256</v>
      </c>
      <c r="BK89" s="968" t="s">
        <v>2257</v>
      </c>
      <c r="BL89" s="968" t="s">
        <v>1695</v>
      </c>
      <c r="BM89" s="976">
        <v>70807</v>
      </c>
      <c r="BN89" s="992" t="s">
        <v>2591</v>
      </c>
      <c r="BO89" s="992" t="s">
        <v>2592</v>
      </c>
      <c r="BQ89" s="927"/>
      <c r="BR89" s="926"/>
      <c r="BU89" s="926"/>
      <c r="BV89" s="926"/>
    </row>
    <row r="90" spans="54:74" ht="13.5" customHeight="1">
      <c r="BB90" s="971">
        <v>28072</v>
      </c>
      <c r="BC90" s="968" t="str">
        <f t="shared" si="1"/>
        <v>札幌市北区あいの里二条</v>
      </c>
      <c r="BD90" s="968" t="s">
        <v>565</v>
      </c>
      <c r="BE90" s="969" t="s">
        <v>640</v>
      </c>
      <c r="BG90" s="1147"/>
      <c r="BH90" s="970">
        <v>91</v>
      </c>
      <c r="BI90" s="968" t="s">
        <v>1475</v>
      </c>
      <c r="BJ90" s="968" t="s">
        <v>2254</v>
      </c>
      <c r="BK90" s="968" t="s">
        <v>2255</v>
      </c>
      <c r="BL90" s="968" t="s">
        <v>1696</v>
      </c>
      <c r="BM90" s="976">
        <v>70809</v>
      </c>
      <c r="BN90" s="992" t="s">
        <v>2617</v>
      </c>
      <c r="BO90" s="992" t="s">
        <v>2618</v>
      </c>
      <c r="BQ90" s="927"/>
      <c r="BR90" s="926"/>
      <c r="BU90" s="926"/>
      <c r="BV90" s="926"/>
    </row>
    <row r="91" spans="54:74" ht="13.5" customHeight="1">
      <c r="BB91" s="971">
        <v>28073</v>
      </c>
      <c r="BC91" s="968" t="str">
        <f t="shared" si="1"/>
        <v>札幌市北区あいの里三条</v>
      </c>
      <c r="BD91" s="968" t="s">
        <v>565</v>
      </c>
      <c r="BE91" s="969" t="s">
        <v>641</v>
      </c>
      <c r="BG91" s="1147"/>
      <c r="BH91" s="970">
        <v>92</v>
      </c>
      <c r="BI91" s="968" t="s">
        <v>1547</v>
      </c>
      <c r="BJ91" s="968" t="s">
        <v>2252</v>
      </c>
      <c r="BK91" s="968" t="s">
        <v>2253</v>
      </c>
      <c r="BL91" s="968" t="s">
        <v>1697</v>
      </c>
      <c r="BM91" s="976">
        <v>70871</v>
      </c>
      <c r="BN91" s="992" t="s">
        <v>2633</v>
      </c>
      <c r="BO91" s="992" t="s">
        <v>2634</v>
      </c>
      <c r="BQ91" s="927"/>
      <c r="BR91" s="926"/>
      <c r="BU91" s="926"/>
      <c r="BV91" s="926"/>
    </row>
    <row r="92" spans="54:74" ht="13.5" customHeight="1">
      <c r="BB92" s="971">
        <v>28074</v>
      </c>
      <c r="BC92" s="968" t="str">
        <f t="shared" si="1"/>
        <v>札幌市北区あいの里四条</v>
      </c>
      <c r="BD92" s="968" t="s">
        <v>565</v>
      </c>
      <c r="BE92" s="969" t="s">
        <v>642</v>
      </c>
      <c r="BG92" s="1147"/>
      <c r="BH92" s="970">
        <v>93</v>
      </c>
      <c r="BI92" s="968" t="s">
        <v>1682</v>
      </c>
      <c r="BJ92" s="968" t="s">
        <v>2250</v>
      </c>
      <c r="BK92" s="968" t="s">
        <v>2251</v>
      </c>
      <c r="BL92" s="968" t="s">
        <v>1698</v>
      </c>
      <c r="BM92" s="976">
        <v>70861</v>
      </c>
      <c r="BN92" s="992" t="s">
        <v>2587</v>
      </c>
      <c r="BO92" s="992" t="s">
        <v>2588</v>
      </c>
      <c r="BQ92" s="927"/>
      <c r="BR92" s="926"/>
      <c r="BU92" s="926"/>
      <c r="BV92" s="926"/>
    </row>
    <row r="93" spans="54:74" ht="13.5" customHeight="1">
      <c r="BB93" s="971">
        <v>28075</v>
      </c>
      <c r="BC93" s="968" t="str">
        <f t="shared" si="1"/>
        <v>札幌市北区あいの里五条</v>
      </c>
      <c r="BD93" s="968" t="s">
        <v>565</v>
      </c>
      <c r="BE93" s="969" t="s">
        <v>643</v>
      </c>
      <c r="BG93" s="1147"/>
      <c r="BH93" s="970">
        <v>94</v>
      </c>
      <c r="BI93" s="968" t="s">
        <v>1546</v>
      </c>
      <c r="BJ93" s="968" t="s">
        <v>2248</v>
      </c>
      <c r="BK93" s="968" t="s">
        <v>2249</v>
      </c>
      <c r="BL93" s="968" t="s">
        <v>1699</v>
      </c>
      <c r="BM93" s="976">
        <v>70868</v>
      </c>
      <c r="BN93" s="992" t="s">
        <v>2623</v>
      </c>
      <c r="BO93" s="992" t="s">
        <v>2624</v>
      </c>
      <c r="BQ93" s="927"/>
      <c r="BR93" s="926"/>
      <c r="BU93" s="926"/>
      <c r="BV93" s="926"/>
    </row>
    <row r="94" spans="54:74" ht="13.5" customHeight="1">
      <c r="BB94" s="971">
        <v>10045</v>
      </c>
      <c r="BC94" s="968" t="str">
        <f t="shared" si="1"/>
        <v>札幌市北区麻生町</v>
      </c>
      <c r="BD94" s="968" t="s">
        <v>565</v>
      </c>
      <c r="BE94" s="969" t="s">
        <v>644</v>
      </c>
      <c r="BG94" s="1147"/>
      <c r="BH94" s="970">
        <v>95</v>
      </c>
      <c r="BI94" s="968" t="s">
        <v>1557</v>
      </c>
      <c r="BJ94" s="968" t="s">
        <v>2246</v>
      </c>
      <c r="BK94" s="968" t="s">
        <v>2247</v>
      </c>
      <c r="BL94" s="968" t="s">
        <v>1700</v>
      </c>
      <c r="BM94" s="976">
        <v>650012</v>
      </c>
      <c r="BN94" s="992" t="s">
        <v>2583</v>
      </c>
      <c r="BO94" s="992" t="s">
        <v>2584</v>
      </c>
      <c r="BQ94" s="927"/>
      <c r="BR94" s="926"/>
      <c r="BU94" s="926"/>
      <c r="BV94" s="926"/>
    </row>
    <row r="95" spans="54:74" ht="13.5" customHeight="1">
      <c r="BB95" s="971">
        <v>600806</v>
      </c>
      <c r="BC95" s="968" t="str">
        <f t="shared" si="1"/>
        <v>札幌市北区北六条西</v>
      </c>
      <c r="BD95" s="968" t="s">
        <v>565</v>
      </c>
      <c r="BE95" s="969" t="s">
        <v>645</v>
      </c>
      <c r="BG95" s="1147"/>
      <c r="BH95" s="970">
        <v>96</v>
      </c>
      <c r="BI95" s="968" t="s">
        <v>1566</v>
      </c>
      <c r="BJ95" s="968" t="s">
        <v>2244</v>
      </c>
      <c r="BK95" s="968" t="s">
        <v>2245</v>
      </c>
      <c r="BL95" s="968" t="s">
        <v>1701</v>
      </c>
      <c r="BM95" s="976">
        <v>650018</v>
      </c>
      <c r="BN95" s="992" t="s">
        <v>2585</v>
      </c>
      <c r="BO95" s="992" t="s">
        <v>2586</v>
      </c>
      <c r="BQ95" s="927"/>
      <c r="BR95" s="926"/>
      <c r="BU95" s="926"/>
      <c r="BV95" s="926"/>
    </row>
    <row r="96" spans="54:74" ht="13.5" customHeight="1">
      <c r="BB96" s="971">
        <v>600807</v>
      </c>
      <c r="BC96" s="968" t="str">
        <f t="shared" si="1"/>
        <v>札幌市北区北七条西</v>
      </c>
      <c r="BD96" s="968" t="s">
        <v>565</v>
      </c>
      <c r="BE96" s="969" t="s">
        <v>579</v>
      </c>
      <c r="BG96" s="1147"/>
      <c r="BH96" s="970">
        <v>97</v>
      </c>
      <c r="BI96" s="968" t="s">
        <v>1575</v>
      </c>
      <c r="BJ96" s="968" t="s">
        <v>2242</v>
      </c>
      <c r="BK96" s="968" t="s">
        <v>2243</v>
      </c>
      <c r="BL96" s="968" t="s">
        <v>1702</v>
      </c>
      <c r="BM96" s="976">
        <v>650019</v>
      </c>
      <c r="BN96" s="992" t="s">
        <v>2605</v>
      </c>
      <c r="BO96" s="992" t="s">
        <v>2606</v>
      </c>
      <c r="BQ96" s="927"/>
      <c r="BR96" s="926"/>
      <c r="BU96" s="926"/>
      <c r="BV96" s="926"/>
    </row>
    <row r="97" spans="54:74" ht="13.5" customHeight="1">
      <c r="BB97" s="971">
        <v>600808</v>
      </c>
      <c r="BC97" s="968" t="str">
        <f t="shared" si="1"/>
        <v>札幌市北区北八条西</v>
      </c>
      <c r="BD97" s="968" t="s">
        <v>565</v>
      </c>
      <c r="BE97" s="969" t="s">
        <v>580</v>
      </c>
      <c r="BG97" s="1147"/>
      <c r="BH97" s="970">
        <v>98</v>
      </c>
      <c r="BI97" s="988" t="s">
        <v>1454</v>
      </c>
      <c r="BJ97" s="968" t="s">
        <v>2240</v>
      </c>
      <c r="BK97" s="968" t="s">
        <v>2241</v>
      </c>
      <c r="BL97" s="968" t="s">
        <v>1703</v>
      </c>
      <c r="BM97" s="976">
        <v>650021</v>
      </c>
      <c r="BN97" s="992" t="s">
        <v>2625</v>
      </c>
      <c r="BO97" s="992" t="s">
        <v>2626</v>
      </c>
      <c r="BQ97" s="927"/>
      <c r="BR97" s="926"/>
      <c r="BU97" s="926"/>
      <c r="BV97" s="926"/>
    </row>
    <row r="98" spans="54:74">
      <c r="BB98" s="971">
        <v>600809</v>
      </c>
      <c r="BC98" s="968" t="str">
        <f t="shared" si="1"/>
        <v>札幌市北区北九条西</v>
      </c>
      <c r="BD98" s="968" t="s">
        <v>565</v>
      </c>
      <c r="BE98" s="969" t="s">
        <v>581</v>
      </c>
      <c r="BG98" s="1147"/>
      <c r="BH98" s="970">
        <v>99</v>
      </c>
      <c r="BI98" s="968" t="s">
        <v>1683</v>
      </c>
      <c r="BJ98" s="968" t="s">
        <v>2237</v>
      </c>
      <c r="BK98" s="968" t="s">
        <v>2239</v>
      </c>
      <c r="BL98" s="968" t="s">
        <v>1704</v>
      </c>
      <c r="BM98" s="976">
        <v>650025</v>
      </c>
      <c r="BN98" s="992" t="s">
        <v>2601</v>
      </c>
      <c r="BO98" s="992" t="s">
        <v>2602</v>
      </c>
      <c r="BQ98" s="927"/>
      <c r="BR98" s="926"/>
      <c r="BU98" s="926"/>
      <c r="BV98" s="926"/>
    </row>
    <row r="99" spans="54:74">
      <c r="BB99" s="971">
        <v>10010</v>
      </c>
      <c r="BC99" s="968" t="str">
        <f t="shared" si="1"/>
        <v>札幌市北区北十条西</v>
      </c>
      <c r="BD99" s="968" t="s">
        <v>565</v>
      </c>
      <c r="BE99" s="969" t="s">
        <v>1328</v>
      </c>
      <c r="BG99" s="1147"/>
      <c r="BH99" s="970">
        <v>100</v>
      </c>
      <c r="BI99" s="988" t="s">
        <v>1461</v>
      </c>
      <c r="BJ99" s="968" t="s">
        <v>2237</v>
      </c>
      <c r="BK99" s="968" t="s">
        <v>2238</v>
      </c>
      <c r="BL99" s="968" t="s">
        <v>1705</v>
      </c>
      <c r="BM99" s="976">
        <v>650025</v>
      </c>
      <c r="BN99" s="992" t="s">
        <v>2599</v>
      </c>
      <c r="BO99" s="992" t="s">
        <v>2600</v>
      </c>
      <c r="BQ99" s="927"/>
      <c r="BR99" s="926"/>
      <c r="BU99" s="926"/>
      <c r="BV99" s="926"/>
    </row>
    <row r="100" spans="54:74">
      <c r="BB100" s="971">
        <v>600810</v>
      </c>
      <c r="BC100" s="968" t="str">
        <f t="shared" si="1"/>
        <v>札幌市北区北十条西</v>
      </c>
      <c r="BD100" s="968" t="s">
        <v>565</v>
      </c>
      <c r="BE100" s="969" t="s">
        <v>1329</v>
      </c>
      <c r="BG100" s="1147"/>
      <c r="BH100" s="970">
        <v>101</v>
      </c>
      <c r="BI100" s="968" t="s">
        <v>1578</v>
      </c>
      <c r="BJ100" s="968" t="s">
        <v>2235</v>
      </c>
      <c r="BK100" s="968" t="s">
        <v>2236</v>
      </c>
      <c r="BL100" s="968" t="s">
        <v>1706</v>
      </c>
      <c r="BM100" s="976">
        <v>650031</v>
      </c>
      <c r="BN100" s="992" t="s">
        <v>2613</v>
      </c>
      <c r="BO100" s="992" t="s">
        <v>2614</v>
      </c>
      <c r="BQ100" s="927"/>
      <c r="BR100" s="926"/>
      <c r="BU100" s="926"/>
      <c r="BV100" s="926"/>
    </row>
    <row r="101" spans="54:74">
      <c r="BB101" s="971">
        <v>10011</v>
      </c>
      <c r="BC101" s="968" t="str">
        <f t="shared" si="1"/>
        <v>札幌市北区北十一条西</v>
      </c>
      <c r="BD101" s="968" t="s">
        <v>565</v>
      </c>
      <c r="BE101" s="969" t="s">
        <v>1330</v>
      </c>
      <c r="BG101" s="1147"/>
      <c r="BH101" s="970">
        <v>102</v>
      </c>
      <c r="BI101" s="988" t="s">
        <v>1684</v>
      </c>
      <c r="BJ101" s="968" t="s">
        <v>2234</v>
      </c>
      <c r="BK101" s="968" t="s">
        <v>1976</v>
      </c>
      <c r="BL101" s="968" t="s">
        <v>1707</v>
      </c>
      <c r="BM101" s="976">
        <v>650033</v>
      </c>
      <c r="BN101" s="992" t="s">
        <v>2603</v>
      </c>
      <c r="BO101" s="992" t="s">
        <v>2604</v>
      </c>
      <c r="BQ101" s="927"/>
      <c r="BR101" s="926"/>
      <c r="BU101" s="926"/>
      <c r="BV101" s="926"/>
    </row>
    <row r="102" spans="54:74">
      <c r="BB102" s="971">
        <v>600811</v>
      </c>
      <c r="BC102" s="968" t="str">
        <f t="shared" si="1"/>
        <v>札幌市北区北十一条西</v>
      </c>
      <c r="BD102" s="968" t="s">
        <v>565</v>
      </c>
      <c r="BE102" s="969" t="s">
        <v>1330</v>
      </c>
      <c r="BG102" s="1147"/>
      <c r="BH102" s="970">
        <v>103</v>
      </c>
      <c r="BI102" s="968" t="s">
        <v>1685</v>
      </c>
      <c r="BJ102" s="968" t="s">
        <v>2232</v>
      </c>
      <c r="BK102" s="968" t="s">
        <v>2233</v>
      </c>
      <c r="BL102" s="968" t="s">
        <v>1708</v>
      </c>
      <c r="BM102" s="976">
        <v>70836</v>
      </c>
      <c r="BN102" s="992" t="s">
        <v>2627</v>
      </c>
      <c r="BO102" s="992" t="s">
        <v>2628</v>
      </c>
      <c r="BQ102" s="927"/>
      <c r="BR102" s="926"/>
      <c r="BU102" s="926"/>
      <c r="BV102" s="926"/>
    </row>
    <row r="103" spans="54:74">
      <c r="BB103" s="971">
        <v>10012</v>
      </c>
      <c r="BC103" s="968" t="str">
        <f t="shared" si="1"/>
        <v>札幌市北区北十二条西</v>
      </c>
      <c r="BD103" s="968" t="s">
        <v>565</v>
      </c>
      <c r="BE103" s="969" t="s">
        <v>1331</v>
      </c>
      <c r="BG103" s="1147"/>
      <c r="BH103" s="970">
        <v>104</v>
      </c>
      <c r="BI103" s="968" t="s">
        <v>1474</v>
      </c>
      <c r="BJ103" s="968" t="s">
        <v>2230</v>
      </c>
      <c r="BK103" s="968" t="s">
        <v>2231</v>
      </c>
      <c r="BL103" s="968" t="s">
        <v>1709</v>
      </c>
      <c r="BM103" s="976">
        <v>70837</v>
      </c>
      <c r="BN103" s="992" t="s">
        <v>2621</v>
      </c>
      <c r="BO103" s="992" t="s">
        <v>2622</v>
      </c>
      <c r="BQ103" s="927"/>
      <c r="BR103" s="926"/>
      <c r="BU103" s="926"/>
      <c r="BV103" s="926"/>
    </row>
    <row r="104" spans="54:74">
      <c r="BB104" s="971">
        <v>600812</v>
      </c>
      <c r="BC104" s="968" t="str">
        <f t="shared" si="1"/>
        <v>札幌市北区北十二条西</v>
      </c>
      <c r="BD104" s="968" t="s">
        <v>565</v>
      </c>
      <c r="BE104" s="969" t="s">
        <v>1332</v>
      </c>
      <c r="BG104" s="1147"/>
      <c r="BH104" s="970">
        <v>105</v>
      </c>
      <c r="BI104" s="968" t="s">
        <v>1473</v>
      </c>
      <c r="BJ104" s="968" t="s">
        <v>2229</v>
      </c>
      <c r="BK104" s="968" t="s">
        <v>1976</v>
      </c>
      <c r="BL104" s="968" t="s">
        <v>1710</v>
      </c>
      <c r="BM104" s="976">
        <v>70839</v>
      </c>
      <c r="BN104" s="992" t="s">
        <v>2609</v>
      </c>
      <c r="BO104" s="992" t="s">
        <v>2610</v>
      </c>
      <c r="BQ104" s="927"/>
      <c r="BR104" s="926"/>
      <c r="BU104" s="926"/>
      <c r="BV104" s="926"/>
    </row>
    <row r="105" spans="54:74">
      <c r="BB105" s="971">
        <v>10013</v>
      </c>
      <c r="BC105" s="968" t="str">
        <f t="shared" si="1"/>
        <v>札幌市北区北十三条西</v>
      </c>
      <c r="BD105" s="968" t="s">
        <v>565</v>
      </c>
      <c r="BE105" s="969" t="s">
        <v>1333</v>
      </c>
      <c r="BG105" s="1147"/>
      <c r="BH105" s="970">
        <v>106</v>
      </c>
      <c r="BI105" s="968" t="s">
        <v>1472</v>
      </c>
      <c r="BJ105" s="968" t="s">
        <v>2227</v>
      </c>
      <c r="BK105" s="968" t="s">
        <v>2228</v>
      </c>
      <c r="BL105" s="968" t="s">
        <v>1711</v>
      </c>
      <c r="BM105" s="976">
        <v>70842</v>
      </c>
      <c r="BN105" s="992" t="s">
        <v>2593</v>
      </c>
      <c r="BO105" s="992" t="s">
        <v>2594</v>
      </c>
      <c r="BQ105" s="927"/>
      <c r="BR105" s="926"/>
      <c r="BU105" s="926"/>
      <c r="BV105" s="926"/>
    </row>
    <row r="106" spans="54:74">
      <c r="BB106" s="971">
        <v>600813</v>
      </c>
      <c r="BC106" s="968" t="str">
        <f t="shared" si="1"/>
        <v>札幌市北区北十三条西</v>
      </c>
      <c r="BD106" s="968" t="s">
        <v>565</v>
      </c>
      <c r="BE106" s="969" t="s">
        <v>1333</v>
      </c>
      <c r="BG106" s="1147"/>
      <c r="BH106" s="970">
        <v>107</v>
      </c>
      <c r="BI106" s="968" t="s">
        <v>1686</v>
      </c>
      <c r="BJ106" s="968" t="s">
        <v>2225</v>
      </c>
      <c r="BK106" s="968" t="s">
        <v>2226</v>
      </c>
      <c r="BL106" s="968" t="s">
        <v>1712</v>
      </c>
      <c r="BM106" s="976">
        <v>70846</v>
      </c>
      <c r="BN106" s="992" t="s">
        <v>2615</v>
      </c>
      <c r="BO106" s="992" t="s">
        <v>2616</v>
      </c>
      <c r="BQ106" s="927"/>
      <c r="BR106" s="926"/>
      <c r="BU106" s="926"/>
      <c r="BV106" s="926"/>
    </row>
    <row r="107" spans="54:74">
      <c r="BB107" s="971">
        <v>10014</v>
      </c>
      <c r="BC107" s="968" t="str">
        <f t="shared" si="1"/>
        <v>札幌市北区北十四条西</v>
      </c>
      <c r="BD107" s="968" t="s">
        <v>565</v>
      </c>
      <c r="BE107" s="969" t="s">
        <v>1334</v>
      </c>
      <c r="BG107" s="1147"/>
      <c r="BH107" s="970">
        <v>108</v>
      </c>
      <c r="BI107" s="968" t="s">
        <v>1687</v>
      </c>
      <c r="BJ107" s="968" t="s">
        <v>2224</v>
      </c>
      <c r="BK107" s="968" t="s">
        <v>1950</v>
      </c>
      <c r="BL107" s="968" t="s">
        <v>1713</v>
      </c>
      <c r="BM107" s="976">
        <v>70847</v>
      </c>
      <c r="BN107" s="992" t="s">
        <v>2611</v>
      </c>
      <c r="BO107" s="992" t="s">
        <v>2612</v>
      </c>
      <c r="BQ107" s="927"/>
      <c r="BR107" s="926"/>
      <c r="BU107" s="926"/>
      <c r="BV107" s="926"/>
    </row>
    <row r="108" spans="54:74">
      <c r="BB108" s="971">
        <v>600814</v>
      </c>
      <c r="BC108" s="968" t="str">
        <f t="shared" si="1"/>
        <v>札幌市北区北十四条西</v>
      </c>
      <c r="BD108" s="968" t="s">
        <v>565</v>
      </c>
      <c r="BE108" s="969" t="s">
        <v>1335</v>
      </c>
      <c r="BG108" s="1147"/>
      <c r="BH108" s="970">
        <v>109</v>
      </c>
      <c r="BI108" s="968" t="s">
        <v>1688</v>
      </c>
      <c r="BJ108" s="968" t="s">
        <v>2222</v>
      </c>
      <c r="BK108" s="968" t="s">
        <v>2223</v>
      </c>
      <c r="BL108" s="968" t="s">
        <v>1714</v>
      </c>
      <c r="BM108" s="976">
        <v>70851</v>
      </c>
      <c r="BN108" s="992" t="s">
        <v>2629</v>
      </c>
      <c r="BO108" s="992" t="s">
        <v>2630</v>
      </c>
      <c r="BQ108" s="927"/>
      <c r="BR108" s="926"/>
      <c r="BU108" s="926"/>
      <c r="BV108" s="926"/>
    </row>
    <row r="109" spans="54:74">
      <c r="BB109" s="971">
        <v>10015</v>
      </c>
      <c r="BC109" s="968" t="str">
        <f t="shared" si="1"/>
        <v>札幌市北区北十五条西</v>
      </c>
      <c r="BD109" s="968" t="s">
        <v>565</v>
      </c>
      <c r="BE109" s="969" t="s">
        <v>1336</v>
      </c>
      <c r="BG109" s="1147"/>
      <c r="BH109" s="970">
        <v>110</v>
      </c>
      <c r="BI109" s="988" t="s">
        <v>1510</v>
      </c>
      <c r="BJ109" s="968" t="s">
        <v>2220</v>
      </c>
      <c r="BK109" s="968" t="s">
        <v>2221</v>
      </c>
      <c r="BL109" s="968" t="s">
        <v>1715</v>
      </c>
      <c r="BM109" s="976">
        <v>650009</v>
      </c>
      <c r="BN109" s="992" t="s">
        <v>2581</v>
      </c>
      <c r="BO109" s="992" t="s">
        <v>2582</v>
      </c>
      <c r="BQ109" s="927"/>
      <c r="BR109" s="926"/>
      <c r="BU109" s="926"/>
      <c r="BV109" s="926"/>
    </row>
    <row r="110" spans="54:74">
      <c r="BB110" s="971">
        <v>600815</v>
      </c>
      <c r="BC110" s="968" t="str">
        <f t="shared" si="1"/>
        <v>札幌市北区北十五条西</v>
      </c>
      <c r="BD110" s="968" t="s">
        <v>565</v>
      </c>
      <c r="BE110" s="969" t="s">
        <v>1336</v>
      </c>
      <c r="BG110" s="1147"/>
      <c r="BH110" s="970">
        <v>111</v>
      </c>
      <c r="BI110" s="988" t="s">
        <v>1502</v>
      </c>
      <c r="BJ110" s="968" t="s">
        <v>2218</v>
      </c>
      <c r="BK110" s="968" t="s">
        <v>2219</v>
      </c>
      <c r="BL110" s="968" t="s">
        <v>1716</v>
      </c>
      <c r="BM110" s="976">
        <v>650042</v>
      </c>
      <c r="BN110" s="992" t="s">
        <v>2619</v>
      </c>
      <c r="BO110" s="992" t="s">
        <v>2620</v>
      </c>
      <c r="BQ110" s="927"/>
      <c r="BR110" s="926"/>
      <c r="BU110" s="926"/>
      <c r="BV110" s="926"/>
    </row>
    <row r="111" spans="54:74">
      <c r="BB111" s="971">
        <v>10016</v>
      </c>
      <c r="BC111" s="968" t="str">
        <f t="shared" si="1"/>
        <v>札幌市北区北十六条西</v>
      </c>
      <c r="BD111" s="968" t="s">
        <v>565</v>
      </c>
      <c r="BE111" s="969" t="s">
        <v>1327</v>
      </c>
      <c r="BG111" s="1147"/>
      <c r="BH111" s="970">
        <v>112</v>
      </c>
      <c r="BI111" s="968" t="s">
        <v>1559</v>
      </c>
      <c r="BJ111" s="968" t="s">
        <v>2218</v>
      </c>
      <c r="BK111" s="968" t="s">
        <v>1946</v>
      </c>
      <c r="BL111" s="968" t="s">
        <v>1717</v>
      </c>
      <c r="BM111" s="976">
        <v>650042</v>
      </c>
      <c r="BN111" s="992" t="s">
        <v>2607</v>
      </c>
      <c r="BO111" s="992" t="s">
        <v>2608</v>
      </c>
      <c r="BQ111" s="927"/>
      <c r="BR111" s="926"/>
      <c r="BU111" s="926"/>
      <c r="BV111" s="926"/>
    </row>
    <row r="112" spans="54:74">
      <c r="BB112" s="971">
        <v>600816</v>
      </c>
      <c r="BC112" s="968" t="str">
        <f t="shared" si="1"/>
        <v>札幌市北区北十六条西</v>
      </c>
      <c r="BD112" s="968" t="s">
        <v>565</v>
      </c>
      <c r="BE112" s="969" t="s">
        <v>1327</v>
      </c>
      <c r="BG112" s="1147" t="s">
        <v>1723</v>
      </c>
      <c r="BH112" s="970">
        <v>113</v>
      </c>
      <c r="BI112" s="968" t="s">
        <v>1503</v>
      </c>
      <c r="BJ112" s="984" t="s">
        <v>2177</v>
      </c>
      <c r="BK112" s="984" t="s">
        <v>2178</v>
      </c>
      <c r="BL112" s="968" t="s">
        <v>1724</v>
      </c>
      <c r="BM112" s="996">
        <v>50856</v>
      </c>
      <c r="BN112" s="992" t="s">
        <v>2396</v>
      </c>
      <c r="BO112" s="992" t="s">
        <v>2397</v>
      </c>
    </row>
    <row r="113" spans="54:68">
      <c r="BB113" s="971">
        <v>10017</v>
      </c>
      <c r="BC113" s="968" t="str">
        <f t="shared" si="1"/>
        <v>札幌市北区北十七条西</v>
      </c>
      <c r="BD113" s="968" t="s">
        <v>565</v>
      </c>
      <c r="BE113" s="969" t="s">
        <v>1326</v>
      </c>
      <c r="BG113" s="1147"/>
      <c r="BH113" s="970">
        <v>114</v>
      </c>
      <c r="BI113" s="968" t="s">
        <v>1718</v>
      </c>
      <c r="BJ113" s="968" t="s">
        <v>2175</v>
      </c>
      <c r="BK113" s="968" t="s">
        <v>2176</v>
      </c>
      <c r="BL113" s="968" t="s">
        <v>1725</v>
      </c>
      <c r="BM113" s="996">
        <v>50861</v>
      </c>
      <c r="BN113" s="992" t="s">
        <v>2400</v>
      </c>
      <c r="BO113" s="992" t="s">
        <v>2401</v>
      </c>
    </row>
    <row r="114" spans="54:68">
      <c r="BB114" s="971">
        <v>600817</v>
      </c>
      <c r="BC114" s="968" t="str">
        <f t="shared" si="1"/>
        <v>札幌市北区北十七条西</v>
      </c>
      <c r="BD114" s="968" t="s">
        <v>565</v>
      </c>
      <c r="BE114" s="969" t="s">
        <v>1325</v>
      </c>
      <c r="BG114" s="1147"/>
      <c r="BH114" s="970">
        <v>115</v>
      </c>
      <c r="BI114" s="968" t="s">
        <v>1564</v>
      </c>
      <c r="BJ114" s="968" t="s">
        <v>2173</v>
      </c>
      <c r="BK114" s="968" t="s">
        <v>2174</v>
      </c>
      <c r="BL114" s="968" t="s">
        <v>1726</v>
      </c>
      <c r="BM114" s="996">
        <v>50018</v>
      </c>
      <c r="BN114" s="992" t="s">
        <v>2422</v>
      </c>
      <c r="BO114" s="992" t="s">
        <v>2423</v>
      </c>
      <c r="BP114" s="992"/>
    </row>
    <row r="115" spans="54:68">
      <c r="BB115" s="971">
        <v>10018</v>
      </c>
      <c r="BC115" s="968" t="str">
        <f t="shared" si="1"/>
        <v>札幌市北区北十八条西</v>
      </c>
      <c r="BD115" s="968" t="s">
        <v>565</v>
      </c>
      <c r="BE115" s="969" t="s">
        <v>1324</v>
      </c>
      <c r="BG115" s="1147"/>
      <c r="BH115" s="970">
        <v>116</v>
      </c>
      <c r="BI115" s="968" t="s">
        <v>1565</v>
      </c>
      <c r="BJ115" s="968" t="s">
        <v>2171</v>
      </c>
      <c r="BK115" s="968" t="s">
        <v>2172</v>
      </c>
      <c r="BL115" s="968" t="s">
        <v>1727</v>
      </c>
      <c r="BM115" s="996">
        <v>50015</v>
      </c>
      <c r="BN115" s="992" t="s">
        <v>2424</v>
      </c>
      <c r="BO115" s="992" t="s">
        <v>2425</v>
      </c>
    </row>
    <row r="116" spans="54:68">
      <c r="BB116" s="971">
        <v>600818</v>
      </c>
      <c r="BC116" s="968" t="str">
        <f t="shared" si="1"/>
        <v>札幌市北区北十八条西</v>
      </c>
      <c r="BD116" s="968" t="s">
        <v>565</v>
      </c>
      <c r="BE116" s="969" t="s">
        <v>1323</v>
      </c>
      <c r="BG116" s="1147"/>
      <c r="BH116" s="970">
        <v>117</v>
      </c>
      <c r="BI116" s="968" t="s">
        <v>1491</v>
      </c>
      <c r="BJ116" s="968" t="s">
        <v>2169</v>
      </c>
      <c r="BK116" s="968" t="s">
        <v>2170</v>
      </c>
      <c r="BL116" s="968" t="s">
        <v>1728</v>
      </c>
      <c r="BM116" s="996">
        <v>50002</v>
      </c>
      <c r="BN116" s="992" t="s">
        <v>2406</v>
      </c>
      <c r="BO116" s="992" t="s">
        <v>2407</v>
      </c>
    </row>
    <row r="117" spans="54:68">
      <c r="BB117" s="971">
        <v>10019</v>
      </c>
      <c r="BC117" s="968" t="str">
        <f t="shared" si="1"/>
        <v>札幌市北区北十九条西</v>
      </c>
      <c r="BD117" s="968" t="s">
        <v>565</v>
      </c>
      <c r="BE117" s="969" t="s">
        <v>1322</v>
      </c>
      <c r="BG117" s="1147"/>
      <c r="BH117" s="970">
        <v>118</v>
      </c>
      <c r="BI117" s="968" t="s">
        <v>1719</v>
      </c>
      <c r="BJ117" s="968" t="s">
        <v>2167</v>
      </c>
      <c r="BK117" s="968" t="s">
        <v>2168</v>
      </c>
      <c r="BL117" s="968" t="s">
        <v>1729</v>
      </c>
      <c r="BM117" s="996">
        <v>50005</v>
      </c>
      <c r="BN117" s="992" t="s">
        <v>2416</v>
      </c>
      <c r="BO117" s="992" t="s">
        <v>2417</v>
      </c>
    </row>
    <row r="118" spans="54:68">
      <c r="BB118" s="971">
        <v>600819</v>
      </c>
      <c r="BC118" s="968" t="str">
        <f t="shared" si="1"/>
        <v>札幌市北区北十九条西</v>
      </c>
      <c r="BD118" s="968" t="s">
        <v>565</v>
      </c>
      <c r="BE118" s="969" t="s">
        <v>1321</v>
      </c>
      <c r="BG118" s="1147"/>
      <c r="BH118" s="970">
        <v>119</v>
      </c>
      <c r="BI118" s="968" t="s">
        <v>1490</v>
      </c>
      <c r="BJ118" s="968" t="s">
        <v>2165</v>
      </c>
      <c r="BK118" s="968" t="s">
        <v>2166</v>
      </c>
      <c r="BL118" s="968" t="s">
        <v>1730</v>
      </c>
      <c r="BM118" s="996">
        <v>50005</v>
      </c>
      <c r="BN118" s="992" t="s">
        <v>2402</v>
      </c>
      <c r="BO118" s="992" t="s">
        <v>2403</v>
      </c>
    </row>
    <row r="119" spans="54:68">
      <c r="BB119" s="971">
        <v>10020</v>
      </c>
      <c r="BC119" s="968" t="str">
        <f t="shared" si="1"/>
        <v>札幌市北区北二十条西</v>
      </c>
      <c r="BD119" s="968" t="s">
        <v>565</v>
      </c>
      <c r="BE119" s="969" t="s">
        <v>1320</v>
      </c>
      <c r="BG119" s="1147"/>
      <c r="BH119" s="970">
        <v>120</v>
      </c>
      <c r="BI119" s="988" t="s">
        <v>2426</v>
      </c>
      <c r="BJ119" s="968" t="s">
        <v>2430</v>
      </c>
      <c r="BK119" s="968" t="s">
        <v>2431</v>
      </c>
      <c r="BL119" s="968" t="s">
        <v>2427</v>
      </c>
      <c r="BM119" s="996">
        <v>50841</v>
      </c>
      <c r="BN119" s="992" t="s">
        <v>2428</v>
      </c>
      <c r="BO119" s="992" t="s">
        <v>2429</v>
      </c>
    </row>
    <row r="120" spans="54:68">
      <c r="BB120" s="971">
        <v>600820</v>
      </c>
      <c r="BC120" s="968" t="str">
        <f t="shared" si="1"/>
        <v>札幌市北区北二十条西</v>
      </c>
      <c r="BD120" s="968" t="s">
        <v>565</v>
      </c>
      <c r="BE120" s="969" t="s">
        <v>1319</v>
      </c>
      <c r="BG120" s="1147"/>
      <c r="BH120" s="970">
        <v>121</v>
      </c>
      <c r="BM120" s="996"/>
    </row>
    <row r="121" spans="54:68">
      <c r="BB121" s="971">
        <v>10021</v>
      </c>
      <c r="BC121" s="968" t="str">
        <f t="shared" si="1"/>
        <v>札幌市北区北二十一条西</v>
      </c>
      <c r="BD121" s="968" t="s">
        <v>565</v>
      </c>
      <c r="BE121" s="969" t="s">
        <v>592</v>
      </c>
      <c r="BG121" s="1147"/>
      <c r="BH121" s="970">
        <v>122</v>
      </c>
      <c r="BI121" s="968" t="s">
        <v>1549</v>
      </c>
      <c r="BJ121" s="968" t="s">
        <v>2163</v>
      </c>
      <c r="BK121" s="968" t="s">
        <v>2164</v>
      </c>
      <c r="BL121" s="968" t="s">
        <v>1731</v>
      </c>
      <c r="BM121" s="996">
        <v>50849</v>
      </c>
      <c r="BN121" s="992" t="s">
        <v>2398</v>
      </c>
      <c r="BO121" s="992" t="s">
        <v>2399</v>
      </c>
    </row>
    <row r="122" spans="54:68">
      <c r="BB122" s="971">
        <v>10022</v>
      </c>
      <c r="BC122" s="968" t="str">
        <f t="shared" si="1"/>
        <v>札幌市北区北二十二条西</v>
      </c>
      <c r="BD122" s="968" t="s">
        <v>565</v>
      </c>
      <c r="BE122" s="969" t="s">
        <v>593</v>
      </c>
      <c r="BG122" s="1147"/>
      <c r="BH122" s="970">
        <v>123</v>
      </c>
      <c r="BI122" s="968" t="s">
        <v>1447</v>
      </c>
      <c r="BJ122" s="968" t="s">
        <v>2161</v>
      </c>
      <c r="BK122" s="968" t="s">
        <v>2162</v>
      </c>
      <c r="BL122" s="968" t="s">
        <v>1732</v>
      </c>
      <c r="BM122" s="996">
        <v>50850</v>
      </c>
      <c r="BN122" s="992" t="s">
        <v>2418</v>
      </c>
      <c r="BO122" s="992" t="s">
        <v>2419</v>
      </c>
      <c r="BP122" s="992"/>
    </row>
    <row r="123" spans="54:68">
      <c r="BB123" s="971">
        <v>10023</v>
      </c>
      <c r="BC123" s="968" t="str">
        <f t="shared" si="1"/>
        <v>札幌市北区北二十三条西</v>
      </c>
      <c r="BD123" s="968" t="s">
        <v>565</v>
      </c>
      <c r="BE123" s="969" t="s">
        <v>646</v>
      </c>
      <c r="BG123" s="1147"/>
      <c r="BH123" s="970">
        <v>124</v>
      </c>
      <c r="BI123" s="968" t="s">
        <v>1577</v>
      </c>
      <c r="BJ123" s="968" t="s">
        <v>2159</v>
      </c>
      <c r="BK123" s="968" t="s">
        <v>2160</v>
      </c>
      <c r="BL123" s="968" t="s">
        <v>1733</v>
      </c>
      <c r="BM123" s="996">
        <v>50818</v>
      </c>
      <c r="BN123" s="992" t="s">
        <v>2414</v>
      </c>
      <c r="BO123" s="992" t="s">
        <v>2415</v>
      </c>
    </row>
    <row r="124" spans="54:68">
      <c r="BB124" s="971">
        <v>10024</v>
      </c>
      <c r="BC124" s="968" t="str">
        <f t="shared" si="1"/>
        <v>札幌市北区北二十四条西</v>
      </c>
      <c r="BD124" s="968" t="s">
        <v>565</v>
      </c>
      <c r="BE124" s="969" t="s">
        <v>647</v>
      </c>
      <c r="BG124" s="1147"/>
      <c r="BH124" s="970">
        <v>125</v>
      </c>
      <c r="BI124" s="968" t="s">
        <v>1720</v>
      </c>
      <c r="BJ124" s="968" t="s">
        <v>2158</v>
      </c>
      <c r="BK124" s="968" t="s">
        <v>1956</v>
      </c>
      <c r="BL124" s="968" t="s">
        <v>1734</v>
      </c>
      <c r="BM124" s="996">
        <v>50802</v>
      </c>
      <c r="BN124" s="992" t="s">
        <v>2404</v>
      </c>
      <c r="BO124" s="992" t="s">
        <v>2405</v>
      </c>
    </row>
    <row r="125" spans="54:68">
      <c r="BB125" s="971">
        <v>10025</v>
      </c>
      <c r="BC125" s="968" t="str">
        <f t="shared" si="1"/>
        <v>札幌市北区北二十五条西</v>
      </c>
      <c r="BD125" s="968" t="s">
        <v>565</v>
      </c>
      <c r="BE125" s="969" t="s">
        <v>648</v>
      </c>
      <c r="BG125" s="1147"/>
      <c r="BH125" s="970">
        <v>126</v>
      </c>
      <c r="BI125" s="968" t="s">
        <v>1576</v>
      </c>
      <c r="BJ125" s="968" t="s">
        <v>2156</v>
      </c>
      <c r="BK125" s="968" t="s">
        <v>2157</v>
      </c>
      <c r="BL125" s="968" t="s">
        <v>1735</v>
      </c>
      <c r="BM125" s="996">
        <v>50807</v>
      </c>
      <c r="BN125" s="992" t="s">
        <v>2388</v>
      </c>
      <c r="BO125" s="992" t="s">
        <v>2389</v>
      </c>
    </row>
    <row r="126" spans="54:68">
      <c r="BB126" s="971">
        <v>10026</v>
      </c>
      <c r="BC126" s="968" t="str">
        <f t="shared" si="1"/>
        <v>札幌市北区北二十六条西</v>
      </c>
      <c r="BD126" s="968" t="s">
        <v>565</v>
      </c>
      <c r="BE126" s="969" t="s">
        <v>649</v>
      </c>
      <c r="BG126" s="1147"/>
      <c r="BH126" s="970">
        <v>127</v>
      </c>
      <c r="BI126" s="988" t="s">
        <v>1721</v>
      </c>
      <c r="BJ126" s="968" t="s">
        <v>2154</v>
      </c>
      <c r="BK126" s="968" t="s">
        <v>2155</v>
      </c>
      <c r="BL126" s="968" t="s">
        <v>1736</v>
      </c>
      <c r="BM126" s="996">
        <v>612302</v>
      </c>
      <c r="BN126" s="992" t="s">
        <v>2392</v>
      </c>
      <c r="BO126" s="992" t="s">
        <v>2393</v>
      </c>
    </row>
    <row r="127" spans="54:68">
      <c r="BB127" s="971">
        <v>10027</v>
      </c>
      <c r="BC127" s="968" t="str">
        <f t="shared" ref="BC127:BC190" si="2">BD127&amp;BE127</f>
        <v>札幌市北区北二十七条西</v>
      </c>
      <c r="BD127" s="968" t="s">
        <v>565</v>
      </c>
      <c r="BE127" s="969" t="s">
        <v>650</v>
      </c>
      <c r="BG127" s="1147"/>
      <c r="BH127" s="970">
        <v>128</v>
      </c>
      <c r="BI127" s="968" t="s">
        <v>1548</v>
      </c>
      <c r="BJ127" s="968" t="s">
        <v>2152</v>
      </c>
      <c r="BK127" s="968" t="s">
        <v>2153</v>
      </c>
      <c r="BL127" s="968" t="s">
        <v>1737</v>
      </c>
      <c r="BM127" s="996">
        <v>612282</v>
      </c>
      <c r="BN127" s="992" t="s">
        <v>2408</v>
      </c>
      <c r="BO127" s="992" t="s">
        <v>2409</v>
      </c>
    </row>
    <row r="128" spans="54:68">
      <c r="BB128" s="971">
        <v>10028</v>
      </c>
      <c r="BC128" s="968" t="str">
        <f t="shared" si="2"/>
        <v>札幌市北区北二十八条西</v>
      </c>
      <c r="BD128" s="968" t="s">
        <v>565</v>
      </c>
      <c r="BE128" s="969" t="s">
        <v>651</v>
      </c>
      <c r="BG128" s="1147"/>
      <c r="BH128" s="970">
        <v>129</v>
      </c>
      <c r="BI128" s="968" t="s">
        <v>1550</v>
      </c>
      <c r="BJ128" s="968" t="s">
        <v>2150</v>
      </c>
      <c r="BK128" s="968" t="s">
        <v>2151</v>
      </c>
      <c r="BL128" s="968" t="s">
        <v>1738</v>
      </c>
      <c r="BM128" s="996">
        <v>612284</v>
      </c>
      <c r="BN128" s="992" t="s">
        <v>2420</v>
      </c>
      <c r="BO128" s="992" t="s">
        <v>2421</v>
      </c>
    </row>
    <row r="129" spans="54:74">
      <c r="BB129" s="971">
        <v>10029</v>
      </c>
      <c r="BC129" s="968" t="str">
        <f t="shared" si="2"/>
        <v>札幌市北区北二十九条西</v>
      </c>
      <c r="BD129" s="968" t="s">
        <v>565</v>
      </c>
      <c r="BE129" s="969" t="s">
        <v>652</v>
      </c>
      <c r="BG129" s="1147"/>
      <c r="BH129" s="970">
        <v>130</v>
      </c>
      <c r="BI129" s="968" t="s">
        <v>1587</v>
      </c>
      <c r="BJ129" s="968" t="s">
        <v>2148</v>
      </c>
      <c r="BK129" s="968" t="s">
        <v>2149</v>
      </c>
      <c r="BL129" s="968" t="s">
        <v>1739</v>
      </c>
      <c r="BM129" s="996">
        <v>50030</v>
      </c>
      <c r="BN129" s="968" t="s">
        <v>2432</v>
      </c>
      <c r="BO129" s="968" t="s">
        <v>2433</v>
      </c>
    </row>
    <row r="130" spans="54:74">
      <c r="BB130" s="971">
        <v>10030</v>
      </c>
      <c r="BC130" s="968" t="str">
        <f t="shared" si="2"/>
        <v>札幌市北区北三十条西</v>
      </c>
      <c r="BD130" s="968" t="s">
        <v>565</v>
      </c>
      <c r="BE130" s="969" t="s">
        <v>653</v>
      </c>
      <c r="BG130" s="1147"/>
      <c r="BH130" s="970">
        <v>131</v>
      </c>
      <c r="BI130" s="968" t="s">
        <v>1570</v>
      </c>
      <c r="BJ130" s="968" t="s">
        <v>2146</v>
      </c>
      <c r="BK130" s="968" t="s">
        <v>2147</v>
      </c>
      <c r="BL130" s="968" t="s">
        <v>1740</v>
      </c>
      <c r="BM130" s="996">
        <v>50031</v>
      </c>
      <c r="BN130" s="992" t="s">
        <v>2390</v>
      </c>
      <c r="BO130" s="992" t="s">
        <v>2391</v>
      </c>
      <c r="BP130" s="992"/>
    </row>
    <row r="131" spans="54:74">
      <c r="BB131" s="971">
        <v>10031</v>
      </c>
      <c r="BC131" s="968" t="str">
        <f t="shared" si="2"/>
        <v>札幌市北区北三十一条西</v>
      </c>
      <c r="BD131" s="968" t="s">
        <v>565</v>
      </c>
      <c r="BE131" s="969" t="s">
        <v>654</v>
      </c>
      <c r="BG131" s="1147"/>
      <c r="BH131" s="970">
        <v>132</v>
      </c>
      <c r="BI131" s="968" t="s">
        <v>1573</v>
      </c>
      <c r="BJ131" s="968" t="s">
        <v>2144</v>
      </c>
      <c r="BK131" s="968" t="s">
        <v>2145</v>
      </c>
      <c r="BL131" s="968" t="s">
        <v>1741</v>
      </c>
      <c r="BM131" s="996">
        <v>50823</v>
      </c>
      <c r="BN131" s="992" t="s">
        <v>2410</v>
      </c>
      <c r="BO131" s="992" t="s">
        <v>2411</v>
      </c>
    </row>
    <row r="132" spans="54:74">
      <c r="BB132" s="971">
        <v>10032</v>
      </c>
      <c r="BC132" s="968" t="str">
        <f t="shared" si="2"/>
        <v>札幌市北区北三十二条西</v>
      </c>
      <c r="BD132" s="968" t="s">
        <v>565</v>
      </c>
      <c r="BE132" s="969" t="s">
        <v>655</v>
      </c>
      <c r="BG132" s="1147"/>
      <c r="BH132" s="970">
        <v>133</v>
      </c>
      <c r="BI132" s="968" t="s">
        <v>1722</v>
      </c>
      <c r="BJ132" s="968" t="s">
        <v>2142</v>
      </c>
      <c r="BK132" s="968" t="s">
        <v>2143</v>
      </c>
      <c r="BL132" s="968" t="s">
        <v>1742</v>
      </c>
      <c r="BM132" s="996">
        <v>50832</v>
      </c>
      <c r="BN132" s="992" t="s">
        <v>2412</v>
      </c>
      <c r="BO132" s="992" t="s">
        <v>2413</v>
      </c>
      <c r="BP132" s="992"/>
    </row>
    <row r="133" spans="54:74">
      <c r="BB133" s="971">
        <v>10033</v>
      </c>
      <c r="BC133" s="968" t="str">
        <f t="shared" si="2"/>
        <v>札幌市北区北三十三条西</v>
      </c>
      <c r="BD133" s="968" t="s">
        <v>565</v>
      </c>
      <c r="BE133" s="969" t="s">
        <v>656</v>
      </c>
      <c r="BG133" s="1147"/>
      <c r="BH133" s="970">
        <v>134</v>
      </c>
      <c r="BI133" s="968" t="s">
        <v>1567</v>
      </c>
      <c r="BJ133" s="968" t="s">
        <v>2140</v>
      </c>
      <c r="BK133" s="968" t="s">
        <v>2141</v>
      </c>
      <c r="BL133" s="968" t="s">
        <v>1743</v>
      </c>
      <c r="BM133" s="996">
        <v>612261</v>
      </c>
      <c r="BN133" s="992" t="s">
        <v>2394</v>
      </c>
      <c r="BO133" s="992" t="s">
        <v>2395</v>
      </c>
    </row>
    <row r="134" spans="54:74">
      <c r="BB134" s="971">
        <v>10034</v>
      </c>
      <c r="BC134" s="968" t="str">
        <f t="shared" si="2"/>
        <v>札幌市北区北三十四条西</v>
      </c>
      <c r="BD134" s="968" t="s">
        <v>565</v>
      </c>
      <c r="BE134" s="969" t="s">
        <v>657</v>
      </c>
      <c r="BG134" s="1147" t="s">
        <v>1744</v>
      </c>
      <c r="BH134" s="969">
        <v>135</v>
      </c>
      <c r="BI134" s="968" t="s">
        <v>1469</v>
      </c>
      <c r="BJ134" s="984" t="s">
        <v>2102</v>
      </c>
      <c r="BK134" s="984" t="s">
        <v>2103</v>
      </c>
      <c r="BL134" s="968" t="s">
        <v>1745</v>
      </c>
      <c r="BM134" s="996">
        <v>30806</v>
      </c>
      <c r="BN134" s="992" t="s">
        <v>2567</v>
      </c>
      <c r="BO134" s="992" t="s">
        <v>2568</v>
      </c>
      <c r="BQ134" s="926"/>
      <c r="BR134" s="926"/>
      <c r="BS134" s="926"/>
      <c r="BT134" s="926"/>
      <c r="BU134" s="926"/>
      <c r="BV134" s="926"/>
    </row>
    <row r="135" spans="54:74">
      <c r="BB135" s="971">
        <v>10035</v>
      </c>
      <c r="BC135" s="968" t="str">
        <f t="shared" si="2"/>
        <v>札幌市北区北三十五条西</v>
      </c>
      <c r="BD135" s="968" t="s">
        <v>565</v>
      </c>
      <c r="BE135" s="969" t="s">
        <v>658</v>
      </c>
      <c r="BG135" s="1147"/>
      <c r="BH135" s="969">
        <v>136</v>
      </c>
      <c r="BI135" s="968" t="s">
        <v>1444</v>
      </c>
      <c r="BJ135" s="968" t="s">
        <v>2104</v>
      </c>
      <c r="BK135" s="968" t="s">
        <v>2105</v>
      </c>
      <c r="BL135" s="968" t="s">
        <v>1746</v>
      </c>
      <c r="BM135" s="976">
        <v>30808</v>
      </c>
      <c r="BN135" s="992" t="s">
        <v>2541</v>
      </c>
      <c r="BO135" s="992" t="s">
        <v>2542</v>
      </c>
      <c r="BQ135" s="927"/>
      <c r="BR135" s="926"/>
      <c r="BU135" s="926"/>
      <c r="BV135" s="926"/>
    </row>
    <row r="136" spans="54:74">
      <c r="BB136" s="971">
        <v>10036</v>
      </c>
      <c r="BC136" s="968" t="str">
        <f t="shared" si="2"/>
        <v>札幌市北区北三十六条西</v>
      </c>
      <c r="BD136" s="968" t="s">
        <v>565</v>
      </c>
      <c r="BE136" s="969" t="s">
        <v>659</v>
      </c>
      <c r="BG136" s="1147"/>
      <c r="BH136" s="969">
        <v>137</v>
      </c>
      <c r="BI136" s="988" t="s">
        <v>1457</v>
      </c>
      <c r="BJ136" s="968" t="s">
        <v>2106</v>
      </c>
      <c r="BK136" s="968" t="s">
        <v>2107</v>
      </c>
      <c r="BL136" s="968" t="s">
        <v>1747</v>
      </c>
      <c r="BM136" s="976">
        <v>30822</v>
      </c>
      <c r="BN136" s="992" t="s">
        <v>2573</v>
      </c>
      <c r="BO136" s="992" t="s">
        <v>2574</v>
      </c>
      <c r="BQ136" s="927"/>
      <c r="BR136" s="926"/>
      <c r="BU136" s="926"/>
      <c r="BV136" s="926"/>
    </row>
    <row r="137" spans="54:74">
      <c r="BB137" s="971">
        <v>10037</v>
      </c>
      <c r="BC137" s="968" t="str">
        <f t="shared" si="2"/>
        <v>札幌市北区北三十七条西</v>
      </c>
      <c r="BD137" s="968" t="s">
        <v>565</v>
      </c>
      <c r="BE137" s="969" t="s">
        <v>660</v>
      </c>
      <c r="BG137" s="1147"/>
      <c r="BH137" s="969">
        <v>138</v>
      </c>
      <c r="BI137" s="988" t="s">
        <v>1455</v>
      </c>
      <c r="BJ137" s="968" t="s">
        <v>2108</v>
      </c>
      <c r="BK137" s="968" t="s">
        <v>2109</v>
      </c>
      <c r="BL137" s="968" t="s">
        <v>1748</v>
      </c>
      <c r="BM137" s="976">
        <v>30811</v>
      </c>
      <c r="BN137" s="992" t="s">
        <v>2545</v>
      </c>
      <c r="BO137" s="992" t="s">
        <v>2546</v>
      </c>
      <c r="BQ137" s="927"/>
      <c r="BR137" s="926"/>
      <c r="BU137" s="926"/>
      <c r="BV137" s="926"/>
    </row>
    <row r="138" spans="54:74">
      <c r="BB138" s="971">
        <v>10038</v>
      </c>
      <c r="BC138" s="968" t="str">
        <f t="shared" si="2"/>
        <v>札幌市北区北三十八条西</v>
      </c>
      <c r="BD138" s="968" t="s">
        <v>565</v>
      </c>
      <c r="BE138" s="969" t="s">
        <v>661</v>
      </c>
      <c r="BG138" s="1147"/>
      <c r="BH138" s="969">
        <v>139</v>
      </c>
      <c r="BI138" s="968" t="s">
        <v>1530</v>
      </c>
      <c r="BJ138" s="968" t="s">
        <v>2110</v>
      </c>
      <c r="BK138" s="968" t="s">
        <v>2111</v>
      </c>
      <c r="BL138" s="968" t="s">
        <v>1749</v>
      </c>
      <c r="BM138" s="976">
        <v>30864</v>
      </c>
      <c r="BN138" s="992" t="s">
        <v>2577</v>
      </c>
      <c r="BO138" s="992" t="s">
        <v>2578</v>
      </c>
      <c r="BQ138" s="927"/>
      <c r="BR138" s="926"/>
      <c r="BU138" s="926"/>
      <c r="BV138" s="926"/>
    </row>
    <row r="139" spans="54:74">
      <c r="BB139" s="971">
        <v>10039</v>
      </c>
      <c r="BC139" s="968" t="str">
        <f t="shared" si="2"/>
        <v>札幌市北区北三十九条西</v>
      </c>
      <c r="BD139" s="968" t="s">
        <v>565</v>
      </c>
      <c r="BE139" s="969" t="s">
        <v>662</v>
      </c>
      <c r="BG139" s="1147"/>
      <c r="BH139" s="969">
        <v>140</v>
      </c>
      <c r="BI139" s="988" t="s">
        <v>1456</v>
      </c>
      <c r="BJ139" s="968" t="s">
        <v>2112</v>
      </c>
      <c r="BK139" s="968" t="s">
        <v>1974</v>
      </c>
      <c r="BL139" s="968" t="s">
        <v>1750</v>
      </c>
      <c r="BM139" s="976">
        <v>30854</v>
      </c>
      <c r="BN139" s="992" t="s">
        <v>2575</v>
      </c>
      <c r="BO139" s="992" t="s">
        <v>2576</v>
      </c>
      <c r="BQ139" s="927"/>
      <c r="BR139" s="926"/>
      <c r="BU139" s="926"/>
      <c r="BV139" s="926"/>
    </row>
    <row r="140" spans="54:74">
      <c r="BB140" s="971">
        <v>10040</v>
      </c>
      <c r="BC140" s="968" t="str">
        <f t="shared" si="2"/>
        <v>札幌市北区北四十条西</v>
      </c>
      <c r="BD140" s="968" t="s">
        <v>565</v>
      </c>
      <c r="BE140" s="969" t="s">
        <v>663</v>
      </c>
      <c r="BG140" s="1147"/>
      <c r="BH140" s="969">
        <v>141</v>
      </c>
      <c r="BI140" s="968" t="s">
        <v>1518</v>
      </c>
      <c r="BJ140" s="968" t="s">
        <v>2113</v>
      </c>
      <c r="BK140" s="968" t="s">
        <v>2114</v>
      </c>
      <c r="BL140" s="968" t="s">
        <v>1751</v>
      </c>
      <c r="BM140" s="976">
        <v>30013</v>
      </c>
      <c r="BN140" s="992" t="s">
        <v>2563</v>
      </c>
      <c r="BO140" s="992" t="s">
        <v>2564</v>
      </c>
      <c r="BQ140" s="927"/>
      <c r="BR140" s="926"/>
      <c r="BU140" s="926"/>
      <c r="BV140" s="926"/>
    </row>
    <row r="141" spans="54:74">
      <c r="BB141" s="971">
        <v>28021</v>
      </c>
      <c r="BC141" s="968" t="str">
        <f t="shared" si="2"/>
        <v>札幌市北区篠路一条</v>
      </c>
      <c r="BD141" s="968" t="s">
        <v>565</v>
      </c>
      <c r="BE141" s="969" t="s">
        <v>664</v>
      </c>
      <c r="BG141" s="1147"/>
      <c r="BH141" s="969">
        <v>142</v>
      </c>
      <c r="BI141" s="968" t="s">
        <v>1531</v>
      </c>
      <c r="BJ141" s="968" t="s">
        <v>2115</v>
      </c>
      <c r="BK141" s="968" t="s">
        <v>2116</v>
      </c>
      <c r="BL141" s="968" t="s">
        <v>1752</v>
      </c>
      <c r="BM141" s="976">
        <v>30004</v>
      </c>
      <c r="BN141" s="992" t="s">
        <v>2555</v>
      </c>
      <c r="BO141" s="992" t="s">
        <v>2556</v>
      </c>
      <c r="BQ141" s="927"/>
      <c r="BR141" s="926"/>
      <c r="BU141" s="926"/>
      <c r="BV141" s="926"/>
    </row>
    <row r="142" spans="54:74">
      <c r="BB142" s="971">
        <v>28022</v>
      </c>
      <c r="BC142" s="968" t="str">
        <f t="shared" si="2"/>
        <v>札幌市北区篠路二条</v>
      </c>
      <c r="BD142" s="968" t="s">
        <v>565</v>
      </c>
      <c r="BE142" s="969" t="s">
        <v>665</v>
      </c>
      <c r="BG142" s="1147"/>
      <c r="BH142" s="969">
        <v>143</v>
      </c>
      <c r="BI142" s="968" t="s">
        <v>1558</v>
      </c>
      <c r="BJ142" s="968" t="s">
        <v>2117</v>
      </c>
      <c r="BK142" s="968" t="s">
        <v>2118</v>
      </c>
      <c r="BL142" s="968" t="s">
        <v>1753</v>
      </c>
      <c r="BM142" s="976">
        <v>30022</v>
      </c>
      <c r="BN142" s="992" t="s">
        <v>2549</v>
      </c>
      <c r="BO142" s="992" t="s">
        <v>2550</v>
      </c>
      <c r="BQ142" s="927"/>
      <c r="BR142" s="926"/>
      <c r="BU142" s="926"/>
      <c r="BV142" s="926"/>
    </row>
    <row r="143" spans="54:74">
      <c r="BB143" s="971">
        <v>28023</v>
      </c>
      <c r="BC143" s="968" t="str">
        <f t="shared" si="2"/>
        <v>札幌市北区篠路三条</v>
      </c>
      <c r="BD143" s="968" t="s">
        <v>565</v>
      </c>
      <c r="BE143" s="969" t="s">
        <v>666</v>
      </c>
      <c r="BG143" s="1147"/>
      <c r="BH143" s="969">
        <v>144</v>
      </c>
      <c r="BI143" s="968" t="s">
        <v>1571</v>
      </c>
      <c r="BJ143" s="968" t="s">
        <v>2119</v>
      </c>
      <c r="BK143" s="968" t="s">
        <v>2120</v>
      </c>
      <c r="BL143" s="968" t="s">
        <v>1754</v>
      </c>
      <c r="BM143" s="976">
        <v>30022</v>
      </c>
      <c r="BN143" s="992" t="s">
        <v>2571</v>
      </c>
      <c r="BO143" s="992" t="s">
        <v>2572</v>
      </c>
      <c r="BQ143" s="927"/>
      <c r="BR143" s="926"/>
      <c r="BU143" s="926"/>
      <c r="BV143" s="926"/>
    </row>
    <row r="144" spans="54:74">
      <c r="BB144" s="971">
        <v>28024</v>
      </c>
      <c r="BC144" s="968" t="str">
        <f t="shared" si="2"/>
        <v>札幌市北区篠路四条</v>
      </c>
      <c r="BD144" s="968" t="s">
        <v>565</v>
      </c>
      <c r="BE144" s="969" t="s">
        <v>667</v>
      </c>
      <c r="BG144" s="1147"/>
      <c r="BH144" s="969">
        <v>145</v>
      </c>
      <c r="BI144" s="968" t="s">
        <v>1560</v>
      </c>
      <c r="BJ144" s="968" t="s">
        <v>2121</v>
      </c>
      <c r="BK144" s="968" t="s">
        <v>2122</v>
      </c>
      <c r="BL144" s="968" t="s">
        <v>1755</v>
      </c>
      <c r="BM144" s="976">
        <v>30028</v>
      </c>
      <c r="BN144" s="992" t="s">
        <v>2553</v>
      </c>
      <c r="BO144" s="992" t="s">
        <v>2554</v>
      </c>
      <c r="BQ144" s="927"/>
      <c r="BR144" s="926"/>
      <c r="BU144" s="926"/>
      <c r="BV144" s="926"/>
    </row>
    <row r="145" spans="54:74">
      <c r="BB145" s="971">
        <v>28025</v>
      </c>
      <c r="BC145" s="968" t="str">
        <f t="shared" si="2"/>
        <v>札幌市北区篠路五条</v>
      </c>
      <c r="BD145" s="968" t="s">
        <v>565</v>
      </c>
      <c r="BE145" s="969" t="s">
        <v>668</v>
      </c>
      <c r="BG145" s="1147"/>
      <c r="BH145" s="969">
        <v>146</v>
      </c>
      <c r="BI145" s="968" t="s">
        <v>1585</v>
      </c>
      <c r="BJ145" s="968" t="s">
        <v>2123</v>
      </c>
      <c r="BK145" s="968" t="s">
        <v>2124</v>
      </c>
      <c r="BL145" s="968" t="s">
        <v>1756</v>
      </c>
      <c r="BM145" s="976">
        <v>30871</v>
      </c>
      <c r="BN145" s="992" t="s">
        <v>2579</v>
      </c>
      <c r="BO145" s="992" t="s">
        <v>2580</v>
      </c>
      <c r="BQ145" s="927"/>
      <c r="BR145" s="926"/>
      <c r="BU145" s="926"/>
      <c r="BV145" s="926"/>
    </row>
    <row r="146" spans="54:74">
      <c r="BB146" s="971">
        <v>28026</v>
      </c>
      <c r="BC146" s="968" t="str">
        <f t="shared" si="2"/>
        <v>札幌市北区篠路六条</v>
      </c>
      <c r="BD146" s="968" t="s">
        <v>565</v>
      </c>
      <c r="BE146" s="969" t="s">
        <v>669</v>
      </c>
      <c r="BG146" s="1147"/>
      <c r="BH146" s="969">
        <v>147</v>
      </c>
      <c r="BI146" s="968" t="s">
        <v>1554</v>
      </c>
      <c r="BJ146" s="968" t="s">
        <v>2125</v>
      </c>
      <c r="BK146" s="968" t="s">
        <v>2126</v>
      </c>
      <c r="BL146" s="968" t="s">
        <v>1757</v>
      </c>
      <c r="BM146" s="976">
        <v>30833</v>
      </c>
      <c r="BN146" s="992" t="s">
        <v>2565</v>
      </c>
      <c r="BO146" s="992" t="s">
        <v>2566</v>
      </c>
      <c r="BQ146" s="927"/>
      <c r="BR146" s="926"/>
      <c r="BU146" s="926"/>
      <c r="BV146" s="926"/>
    </row>
    <row r="147" spans="54:74">
      <c r="BB147" s="971">
        <v>28027</v>
      </c>
      <c r="BC147" s="968" t="str">
        <f t="shared" si="2"/>
        <v>札幌市北区篠路七条</v>
      </c>
      <c r="BD147" s="968" t="s">
        <v>565</v>
      </c>
      <c r="BE147" s="969" t="s">
        <v>670</v>
      </c>
      <c r="BG147" s="1147"/>
      <c r="BH147" s="969">
        <v>148</v>
      </c>
      <c r="BI147" s="968" t="s">
        <v>1459</v>
      </c>
      <c r="BJ147" s="968" t="s">
        <v>2127</v>
      </c>
      <c r="BK147" s="968" t="s">
        <v>2128</v>
      </c>
      <c r="BL147" s="968" t="s">
        <v>1758</v>
      </c>
      <c r="BM147" s="976">
        <v>30834</v>
      </c>
      <c r="BN147" s="992" t="s">
        <v>2557</v>
      </c>
      <c r="BO147" s="992" t="s">
        <v>2558</v>
      </c>
      <c r="BQ147" s="927"/>
      <c r="BR147" s="926"/>
      <c r="BU147" s="926"/>
      <c r="BV147" s="926"/>
    </row>
    <row r="148" spans="54:74">
      <c r="BB148" s="971">
        <v>28028</v>
      </c>
      <c r="BC148" s="968" t="str">
        <f t="shared" si="2"/>
        <v>札幌市北区篠路八条</v>
      </c>
      <c r="BD148" s="968" t="s">
        <v>565</v>
      </c>
      <c r="BE148" s="969" t="s">
        <v>671</v>
      </c>
      <c r="BG148" s="1147"/>
      <c r="BH148" s="969">
        <v>149</v>
      </c>
      <c r="BI148" s="988" t="s">
        <v>1460</v>
      </c>
      <c r="BJ148" s="968" t="s">
        <v>2129</v>
      </c>
      <c r="BK148" s="968" t="s">
        <v>2130</v>
      </c>
      <c r="BL148" s="968" t="s">
        <v>1759</v>
      </c>
      <c r="BM148" s="976">
        <v>30836</v>
      </c>
      <c r="BN148" s="992" t="s">
        <v>2561</v>
      </c>
      <c r="BO148" s="992" t="s">
        <v>2562</v>
      </c>
      <c r="BQ148" s="927"/>
      <c r="BR148" s="926"/>
      <c r="BU148" s="926"/>
      <c r="BV148" s="926"/>
    </row>
    <row r="149" spans="54:74">
      <c r="BB149" s="971">
        <v>28029</v>
      </c>
      <c r="BC149" s="968" t="str">
        <f t="shared" si="2"/>
        <v>札幌市北区篠路九条</v>
      </c>
      <c r="BD149" s="968" t="s">
        <v>565</v>
      </c>
      <c r="BE149" s="969" t="s">
        <v>672</v>
      </c>
      <c r="BG149" s="1147"/>
      <c r="BH149" s="969">
        <v>150</v>
      </c>
      <c r="BI149" s="968" t="s">
        <v>1513</v>
      </c>
      <c r="BJ149" s="968" t="s">
        <v>2131</v>
      </c>
      <c r="BK149" s="968" t="s">
        <v>2132</v>
      </c>
      <c r="BL149" s="968" t="s">
        <v>1760</v>
      </c>
      <c r="BM149" s="976">
        <v>30024</v>
      </c>
      <c r="BN149" s="992" t="s">
        <v>2551</v>
      </c>
      <c r="BO149" s="992" t="s">
        <v>2552</v>
      </c>
      <c r="BQ149" s="927"/>
      <c r="BR149" s="926"/>
      <c r="BU149" s="926"/>
      <c r="BV149" s="926"/>
    </row>
    <row r="150" spans="54:74">
      <c r="BB150" s="971">
        <v>28030</v>
      </c>
      <c r="BC150" s="968" t="str">
        <f t="shared" si="2"/>
        <v>札幌市北区篠路十条</v>
      </c>
      <c r="BD150" s="968" t="s">
        <v>565</v>
      </c>
      <c r="BE150" s="969" t="s">
        <v>673</v>
      </c>
      <c r="BG150" s="1147"/>
      <c r="BH150" s="969">
        <v>151</v>
      </c>
      <c r="BI150" s="968" t="s">
        <v>1532</v>
      </c>
      <c r="BJ150" s="968" t="s">
        <v>2133</v>
      </c>
      <c r="BK150" s="968" t="s">
        <v>2134</v>
      </c>
      <c r="BL150" s="968" t="s">
        <v>1761</v>
      </c>
      <c r="BM150" s="976">
        <v>30026</v>
      </c>
      <c r="BN150" s="992" t="s">
        <v>2559</v>
      </c>
      <c r="BO150" s="992" t="s">
        <v>2560</v>
      </c>
      <c r="BQ150" s="927"/>
      <c r="BR150" s="926"/>
      <c r="BU150" s="926"/>
      <c r="BV150" s="926"/>
    </row>
    <row r="151" spans="54:74">
      <c r="BB151" s="971">
        <v>28052</v>
      </c>
      <c r="BC151" s="968" t="str">
        <f t="shared" si="2"/>
        <v>札幌市北区篠路町上篠路</v>
      </c>
      <c r="BD151" s="968" t="s">
        <v>565</v>
      </c>
      <c r="BE151" s="969" t="s">
        <v>674</v>
      </c>
      <c r="BG151" s="1147"/>
      <c r="BH151" s="969">
        <v>152</v>
      </c>
      <c r="BI151" s="968" t="s">
        <v>1553</v>
      </c>
      <c r="BJ151" s="968" t="s">
        <v>2135</v>
      </c>
      <c r="BK151" s="968" t="s">
        <v>2136</v>
      </c>
      <c r="BL151" s="968" t="s">
        <v>1762</v>
      </c>
      <c r="BM151" s="976">
        <v>30027</v>
      </c>
      <c r="BN151" s="992" t="s">
        <v>2569</v>
      </c>
      <c r="BO151" s="992" t="s">
        <v>2570</v>
      </c>
      <c r="BQ151" s="927"/>
      <c r="BR151" s="926"/>
      <c r="BU151" s="926"/>
      <c r="BV151" s="926"/>
    </row>
    <row r="152" spans="54:74">
      <c r="BB152" s="971">
        <v>28053</v>
      </c>
      <c r="BC152" s="968" t="str">
        <f t="shared" si="2"/>
        <v>札幌市北区篠路町篠路</v>
      </c>
      <c r="BD152" s="968" t="s">
        <v>565</v>
      </c>
      <c r="BE152" s="969" t="s">
        <v>675</v>
      </c>
      <c r="BG152" s="1147"/>
      <c r="BH152" s="969">
        <v>153</v>
      </c>
      <c r="BI152" s="988" t="s">
        <v>1452</v>
      </c>
      <c r="BJ152" s="968" t="s">
        <v>2133</v>
      </c>
      <c r="BK152" s="968" t="s">
        <v>2137</v>
      </c>
      <c r="BL152" s="968" t="s">
        <v>1763</v>
      </c>
      <c r="BM152" s="976">
        <v>30026</v>
      </c>
      <c r="BN152" s="992" t="s">
        <v>2547</v>
      </c>
      <c r="BO152" s="992" t="s">
        <v>2548</v>
      </c>
      <c r="BQ152" s="927"/>
      <c r="BR152" s="926"/>
      <c r="BU152" s="926"/>
      <c r="BV152" s="926"/>
    </row>
    <row r="153" spans="54:74">
      <c r="BB153" s="971">
        <v>28051</v>
      </c>
      <c r="BC153" s="968" t="str">
        <f t="shared" si="2"/>
        <v>札幌市北区篠路町太平</v>
      </c>
      <c r="BD153" s="968" t="s">
        <v>565</v>
      </c>
      <c r="BE153" s="969" t="s">
        <v>676</v>
      </c>
      <c r="BG153" s="1147"/>
      <c r="BH153" s="969">
        <v>154</v>
      </c>
      <c r="BI153" s="988" t="s">
        <v>1482</v>
      </c>
      <c r="BJ153" s="968" t="s">
        <v>2138</v>
      </c>
      <c r="BK153" s="968" t="s">
        <v>2139</v>
      </c>
      <c r="BL153" s="968" t="s">
        <v>1764</v>
      </c>
      <c r="BM153" s="976">
        <v>30027</v>
      </c>
      <c r="BN153" s="992" t="s">
        <v>2543</v>
      </c>
      <c r="BO153" s="992" t="s">
        <v>2544</v>
      </c>
      <c r="BQ153" s="927"/>
      <c r="BR153" s="926"/>
      <c r="BU153" s="926"/>
      <c r="BV153" s="926"/>
    </row>
    <row r="154" spans="54:74">
      <c r="BB154" s="971">
        <v>28054</v>
      </c>
      <c r="BC154" s="968" t="str">
        <f t="shared" si="2"/>
        <v>札幌市北区篠路町拓北</v>
      </c>
      <c r="BD154" s="968" t="s">
        <v>565</v>
      </c>
      <c r="BE154" s="969" t="s">
        <v>677</v>
      </c>
      <c r="BG154" s="1147" t="s">
        <v>1765</v>
      </c>
      <c r="BH154" s="969">
        <v>155</v>
      </c>
      <c r="BI154" s="968" t="s">
        <v>1496</v>
      </c>
      <c r="BJ154" s="984" t="s">
        <v>2065</v>
      </c>
      <c r="BK154" s="984" t="s">
        <v>1924</v>
      </c>
      <c r="BL154" s="968" t="s">
        <v>1766</v>
      </c>
      <c r="BM154" s="996">
        <v>620022</v>
      </c>
      <c r="BN154" s="992" t="s">
        <v>2504</v>
      </c>
      <c r="BO154" s="992" t="s">
        <v>2505</v>
      </c>
      <c r="BQ154" s="927"/>
      <c r="BR154" s="926"/>
      <c r="BU154" s="926"/>
      <c r="BV154" s="926"/>
    </row>
    <row r="155" spans="54:74">
      <c r="BB155" s="971">
        <v>28055</v>
      </c>
      <c r="BC155" s="968" t="str">
        <f t="shared" si="2"/>
        <v>札幌市北区篠路町福移</v>
      </c>
      <c r="BD155" s="968" t="s">
        <v>565</v>
      </c>
      <c r="BE155" s="969" t="s">
        <v>678</v>
      </c>
      <c r="BG155" s="1147"/>
      <c r="BH155" s="969">
        <v>156</v>
      </c>
      <c r="BI155" s="968" t="s">
        <v>1572</v>
      </c>
      <c r="BJ155" s="968" t="s">
        <v>2066</v>
      </c>
      <c r="BK155" s="968" t="s">
        <v>2067</v>
      </c>
      <c r="BL155" s="968" t="s">
        <v>1767</v>
      </c>
      <c r="BM155" s="976">
        <v>620024</v>
      </c>
      <c r="BN155" s="992" t="s">
        <v>2526</v>
      </c>
      <c r="BO155" s="992" t="s">
        <v>2527</v>
      </c>
      <c r="BQ155" s="927"/>
      <c r="BR155" s="926"/>
      <c r="BU155" s="926"/>
      <c r="BV155" s="926"/>
    </row>
    <row r="156" spans="54:74">
      <c r="BB156" s="971">
        <v>10930</v>
      </c>
      <c r="BC156" s="968" t="str">
        <f t="shared" si="2"/>
        <v>札幌市北区新川</v>
      </c>
      <c r="BD156" s="968" t="s">
        <v>565</v>
      </c>
      <c r="BE156" s="969" t="s">
        <v>679</v>
      </c>
      <c r="BG156" s="1147"/>
      <c r="BH156" s="969">
        <v>157</v>
      </c>
      <c r="BI156" s="988" t="s">
        <v>1445</v>
      </c>
      <c r="BJ156" s="968" t="s">
        <v>2068</v>
      </c>
      <c r="BK156" s="968" t="s">
        <v>2069</v>
      </c>
      <c r="BL156" s="968" t="s">
        <v>1768</v>
      </c>
      <c r="BM156" s="976">
        <v>620051</v>
      </c>
      <c r="BN156" s="992" t="s">
        <v>2536</v>
      </c>
      <c r="BO156" s="992" t="s">
        <v>2537</v>
      </c>
      <c r="BQ156" s="927"/>
      <c r="BR156" s="926"/>
      <c r="BU156" s="926"/>
      <c r="BV156" s="926"/>
    </row>
    <row r="157" spans="54:74">
      <c r="BB157" s="971">
        <v>10921</v>
      </c>
      <c r="BC157" s="968" t="str">
        <f t="shared" si="2"/>
        <v>札幌市北区新川一条</v>
      </c>
      <c r="BD157" s="968" t="s">
        <v>565</v>
      </c>
      <c r="BE157" s="969" t="s">
        <v>680</v>
      </c>
      <c r="BG157" s="1147"/>
      <c r="BH157" s="969">
        <v>158</v>
      </c>
      <c r="BI157" s="968" t="s">
        <v>1535</v>
      </c>
      <c r="BJ157" s="968" t="s">
        <v>2068</v>
      </c>
      <c r="BK157" s="968" t="s">
        <v>2070</v>
      </c>
      <c r="BL157" s="968" t="s">
        <v>1769</v>
      </c>
      <c r="BM157" s="976">
        <v>620051</v>
      </c>
      <c r="BN157" s="992" t="s">
        <v>2518</v>
      </c>
      <c r="BO157" s="992" t="s">
        <v>2519</v>
      </c>
      <c r="BQ157" s="927"/>
      <c r="BR157" s="926"/>
      <c r="BU157" s="926"/>
      <c r="BV157" s="926"/>
    </row>
    <row r="158" spans="54:74">
      <c r="BB158" s="971">
        <v>10922</v>
      </c>
      <c r="BC158" s="968" t="str">
        <f t="shared" si="2"/>
        <v>札幌市北区新川二条</v>
      </c>
      <c r="BD158" s="968" t="s">
        <v>565</v>
      </c>
      <c r="BE158" s="969" t="s">
        <v>681</v>
      </c>
      <c r="BG158" s="1147"/>
      <c r="BH158" s="969">
        <v>159</v>
      </c>
      <c r="BI158" s="968" t="s">
        <v>1497</v>
      </c>
      <c r="BJ158" s="968" t="s">
        <v>2071</v>
      </c>
      <c r="BK158" s="968" t="s">
        <v>2072</v>
      </c>
      <c r="BL158" s="968" t="s">
        <v>1770</v>
      </c>
      <c r="BM158" s="976">
        <v>620053</v>
      </c>
      <c r="BN158" s="992" t="s">
        <v>2516</v>
      </c>
      <c r="BO158" s="992" t="s">
        <v>2517</v>
      </c>
      <c r="BQ158" s="927"/>
      <c r="BR158" s="926"/>
      <c r="BU158" s="926"/>
      <c r="BV158" s="926"/>
    </row>
    <row r="159" spans="54:74">
      <c r="BB159" s="971">
        <v>10923</v>
      </c>
      <c r="BC159" s="968" t="str">
        <f t="shared" si="2"/>
        <v>札幌市北区新川三条</v>
      </c>
      <c r="BD159" s="968" t="s">
        <v>565</v>
      </c>
      <c r="BE159" s="969" t="s">
        <v>682</v>
      </c>
      <c r="BG159" s="1147"/>
      <c r="BH159" s="969">
        <v>160</v>
      </c>
      <c r="BI159" s="988" t="s">
        <v>1481</v>
      </c>
      <c r="BJ159" s="968" t="s">
        <v>2073</v>
      </c>
      <c r="BK159" s="968" t="s">
        <v>2074</v>
      </c>
      <c r="BL159" s="968" t="s">
        <v>1771</v>
      </c>
      <c r="BM159" s="976">
        <v>620054</v>
      </c>
      <c r="BN159" s="992" t="s">
        <v>2524</v>
      </c>
      <c r="BO159" s="992" t="s">
        <v>2525</v>
      </c>
      <c r="BQ159" s="927"/>
      <c r="BR159" s="926"/>
      <c r="BU159" s="926"/>
      <c r="BV159" s="926"/>
    </row>
    <row r="160" spans="54:74">
      <c r="BB160" s="971">
        <v>10924</v>
      </c>
      <c r="BC160" s="968" t="str">
        <f t="shared" si="2"/>
        <v>札幌市北区新川四条</v>
      </c>
      <c r="BD160" s="968" t="s">
        <v>565</v>
      </c>
      <c r="BE160" s="969" t="s">
        <v>683</v>
      </c>
      <c r="BG160" s="1147"/>
      <c r="BH160" s="969">
        <v>161</v>
      </c>
      <c r="BI160" s="988" t="s">
        <v>1441</v>
      </c>
      <c r="BJ160" s="968" t="s">
        <v>2075</v>
      </c>
      <c r="BK160" s="968" t="s">
        <v>2076</v>
      </c>
      <c r="BL160" s="968" t="s">
        <v>1772</v>
      </c>
      <c r="BM160" s="976">
        <v>620912</v>
      </c>
      <c r="BN160" s="992" t="s">
        <v>2502</v>
      </c>
      <c r="BO160" s="992" t="s">
        <v>2503</v>
      </c>
      <c r="BQ160" s="927"/>
      <c r="BR160" s="926"/>
      <c r="BU160" s="926"/>
      <c r="BV160" s="926"/>
    </row>
    <row r="161" spans="54:74">
      <c r="BB161" s="971">
        <v>10925</v>
      </c>
      <c r="BC161" s="968" t="str">
        <f t="shared" si="2"/>
        <v>札幌市北区新川五条</v>
      </c>
      <c r="BD161" s="968" t="s">
        <v>565</v>
      </c>
      <c r="BE161" s="969" t="s">
        <v>684</v>
      </c>
      <c r="BG161" s="1147"/>
      <c r="BH161" s="969">
        <v>162</v>
      </c>
      <c r="BI161" s="968" t="s">
        <v>1515</v>
      </c>
      <c r="BJ161" s="968" t="s">
        <v>2077</v>
      </c>
      <c r="BK161" s="968" t="s">
        <v>2078</v>
      </c>
      <c r="BL161" s="968" t="s">
        <v>1773</v>
      </c>
      <c r="BM161" s="976">
        <v>620032</v>
      </c>
      <c r="BN161" s="992" t="s">
        <v>2512</v>
      </c>
      <c r="BO161" s="992" t="s">
        <v>2513</v>
      </c>
      <c r="BQ161" s="927"/>
      <c r="BR161" s="926"/>
      <c r="BU161" s="926"/>
      <c r="BV161" s="926"/>
    </row>
    <row r="162" spans="54:74">
      <c r="BB162" s="971">
        <v>10926</v>
      </c>
      <c r="BC162" s="968" t="str">
        <f t="shared" si="2"/>
        <v>札幌市北区新川六条</v>
      </c>
      <c r="BD162" s="968" t="s">
        <v>565</v>
      </c>
      <c r="BE162" s="969" t="s">
        <v>685</v>
      </c>
      <c r="BG162" s="1147"/>
      <c r="BH162" s="969">
        <v>163</v>
      </c>
      <c r="BI162" s="968" t="s">
        <v>1516</v>
      </c>
      <c r="BJ162" s="968" t="s">
        <v>2079</v>
      </c>
      <c r="BK162" s="968" t="s">
        <v>2080</v>
      </c>
      <c r="BL162" s="968" t="s">
        <v>1774</v>
      </c>
      <c r="BM162" s="976">
        <v>620033</v>
      </c>
      <c r="BN162" s="992" t="s">
        <v>2538</v>
      </c>
      <c r="BO162" s="992" t="s">
        <v>2539</v>
      </c>
      <c r="BQ162" s="927"/>
      <c r="BR162" s="926"/>
      <c r="BU162" s="926"/>
      <c r="BV162" s="926"/>
    </row>
    <row r="163" spans="54:74">
      <c r="BB163" s="971">
        <v>10927</v>
      </c>
      <c r="BC163" s="968" t="str">
        <f t="shared" si="2"/>
        <v>札幌市北区新川七条</v>
      </c>
      <c r="BD163" s="968" t="s">
        <v>565</v>
      </c>
      <c r="BE163" s="969" t="s">
        <v>686</v>
      </c>
      <c r="BG163" s="1147"/>
      <c r="BH163" s="969">
        <v>164</v>
      </c>
      <c r="BI163" s="968" t="s">
        <v>1517</v>
      </c>
      <c r="BJ163" s="968" t="s">
        <v>2081</v>
      </c>
      <c r="BK163" s="968" t="s">
        <v>2082</v>
      </c>
      <c r="BL163" s="968" t="s">
        <v>1775</v>
      </c>
      <c r="BM163" s="976">
        <v>620034</v>
      </c>
      <c r="BN163" s="992" t="s">
        <v>2532</v>
      </c>
      <c r="BO163" s="992" t="s">
        <v>2533</v>
      </c>
      <c r="BQ163" s="927"/>
      <c r="BR163" s="926"/>
      <c r="BU163" s="926"/>
      <c r="BV163" s="926"/>
    </row>
    <row r="164" spans="54:74">
      <c r="BB164" s="971">
        <v>10928</v>
      </c>
      <c r="BC164" s="968" t="str">
        <f t="shared" si="2"/>
        <v>札幌市北区新川八条</v>
      </c>
      <c r="BD164" s="968" t="s">
        <v>565</v>
      </c>
      <c r="BE164" s="969" t="s">
        <v>687</v>
      </c>
      <c r="BG164" s="1147"/>
      <c r="BH164" s="969">
        <v>165</v>
      </c>
      <c r="BI164" s="988" t="s">
        <v>1512</v>
      </c>
      <c r="BJ164" s="968" t="s">
        <v>2083</v>
      </c>
      <c r="BK164" s="968" t="s">
        <v>2084</v>
      </c>
      <c r="BL164" s="968" t="s">
        <v>1776</v>
      </c>
      <c r="BM164" s="976">
        <v>620922</v>
      </c>
      <c r="BN164" s="992" t="s">
        <v>2514</v>
      </c>
      <c r="BO164" s="992" t="s">
        <v>2515</v>
      </c>
      <c r="BQ164" s="927"/>
      <c r="BR164" s="926"/>
      <c r="BU164" s="926"/>
      <c r="BV164" s="926"/>
    </row>
    <row r="165" spans="54:74">
      <c r="BB165" s="971">
        <v>10931</v>
      </c>
      <c r="BC165" s="968" t="str">
        <f t="shared" si="2"/>
        <v>札幌市北区新川西一条</v>
      </c>
      <c r="BD165" s="968" t="s">
        <v>565</v>
      </c>
      <c r="BE165" s="969" t="s">
        <v>688</v>
      </c>
      <c r="BG165" s="1147"/>
      <c r="BH165" s="969">
        <v>166</v>
      </c>
      <c r="BI165" s="968" t="s">
        <v>1505</v>
      </c>
      <c r="BJ165" s="968" t="s">
        <v>2085</v>
      </c>
      <c r="BK165" s="968" t="s">
        <v>2086</v>
      </c>
      <c r="BL165" s="968" t="s">
        <v>1777</v>
      </c>
      <c r="BM165" s="976">
        <v>620001</v>
      </c>
      <c r="BN165" s="992" t="s">
        <v>2510</v>
      </c>
      <c r="BO165" s="992" t="s">
        <v>2511</v>
      </c>
      <c r="BQ165" s="927"/>
      <c r="BR165" s="926"/>
      <c r="BU165" s="926"/>
      <c r="BV165" s="926"/>
    </row>
    <row r="166" spans="54:74">
      <c r="BB166" s="971">
        <v>10932</v>
      </c>
      <c r="BC166" s="968" t="str">
        <f t="shared" si="2"/>
        <v>札幌市北区新川西二条</v>
      </c>
      <c r="BD166" s="968" t="s">
        <v>565</v>
      </c>
      <c r="BE166" s="969" t="s">
        <v>689</v>
      </c>
      <c r="BG166" s="1147"/>
      <c r="BH166" s="969">
        <v>167</v>
      </c>
      <c r="BI166" s="968" t="s">
        <v>1569</v>
      </c>
      <c r="BJ166" s="968" t="s">
        <v>2087</v>
      </c>
      <c r="BK166" s="968" t="s">
        <v>1974</v>
      </c>
      <c r="BL166" s="968" t="s">
        <v>1778</v>
      </c>
      <c r="BM166" s="976">
        <v>620005</v>
      </c>
      <c r="BN166" s="992" t="s">
        <v>2528</v>
      </c>
      <c r="BO166" s="992" t="s">
        <v>2529</v>
      </c>
      <c r="BQ166" s="927"/>
      <c r="BR166" s="926"/>
      <c r="BU166" s="926"/>
      <c r="BV166" s="926"/>
    </row>
    <row r="167" spans="54:74">
      <c r="BB167" s="971">
        <v>10933</v>
      </c>
      <c r="BC167" s="968" t="str">
        <f t="shared" si="2"/>
        <v>札幌市北区新川西三条</v>
      </c>
      <c r="BD167" s="968" t="s">
        <v>565</v>
      </c>
      <c r="BE167" s="969" t="s">
        <v>690</v>
      </c>
      <c r="BG167" s="1147"/>
      <c r="BH167" s="969">
        <v>168</v>
      </c>
      <c r="BI167" s="968" t="s">
        <v>1545</v>
      </c>
      <c r="BJ167" s="968" t="s">
        <v>2088</v>
      </c>
      <c r="BK167" s="968" t="s">
        <v>2089</v>
      </c>
      <c r="BL167" s="968" t="s">
        <v>1779</v>
      </c>
      <c r="BM167" s="976">
        <v>620043</v>
      </c>
      <c r="BN167" s="992" t="s">
        <v>2530</v>
      </c>
      <c r="BO167" s="992" t="s">
        <v>2531</v>
      </c>
      <c r="BQ167" s="927"/>
      <c r="BR167" s="926"/>
      <c r="BU167" s="926"/>
      <c r="BV167" s="926"/>
    </row>
    <row r="168" spans="54:74">
      <c r="BB168" s="971">
        <v>10934</v>
      </c>
      <c r="BC168" s="968" t="str">
        <f t="shared" si="2"/>
        <v>札幌市北区新川西四条</v>
      </c>
      <c r="BD168" s="968" t="s">
        <v>565</v>
      </c>
      <c r="BE168" s="969" t="s">
        <v>691</v>
      </c>
      <c r="BG168" s="1147"/>
      <c r="BH168" s="969">
        <v>169</v>
      </c>
      <c r="BI168" s="968" t="s">
        <v>1542</v>
      </c>
      <c r="BJ168" s="968" t="s">
        <v>2090</v>
      </c>
      <c r="BK168" s="968" t="s">
        <v>2091</v>
      </c>
      <c r="BL168" s="968" t="s">
        <v>1780</v>
      </c>
      <c r="BM168" s="976">
        <v>620931</v>
      </c>
      <c r="BN168" s="992" t="s">
        <v>2522</v>
      </c>
      <c r="BO168" s="992" t="s">
        <v>2523</v>
      </c>
      <c r="BQ168" s="927"/>
      <c r="BR168" s="926"/>
      <c r="BU168" s="926"/>
      <c r="BV168" s="926"/>
    </row>
    <row r="169" spans="54:74">
      <c r="BB169" s="971">
        <v>10935</v>
      </c>
      <c r="BC169" s="968" t="str">
        <f t="shared" si="2"/>
        <v>札幌市北区新川西五条</v>
      </c>
      <c r="BD169" s="968" t="s">
        <v>565</v>
      </c>
      <c r="BE169" s="969" t="s">
        <v>692</v>
      </c>
      <c r="BG169" s="1147"/>
      <c r="BH169" s="969">
        <v>170</v>
      </c>
      <c r="BI169" s="968" t="s">
        <v>1540</v>
      </c>
      <c r="BJ169" s="968" t="s">
        <v>2092</v>
      </c>
      <c r="BK169" s="968" t="s">
        <v>2093</v>
      </c>
      <c r="BL169" s="968" t="s">
        <v>1781</v>
      </c>
      <c r="BM169" s="976">
        <v>620932</v>
      </c>
      <c r="BN169" s="992" t="s">
        <v>2506</v>
      </c>
      <c r="BO169" s="992" t="s">
        <v>2507</v>
      </c>
      <c r="BQ169" s="927"/>
      <c r="BR169" s="926"/>
      <c r="BU169" s="926"/>
      <c r="BV169" s="926"/>
    </row>
    <row r="170" spans="54:74">
      <c r="BB170" s="971">
        <v>10901</v>
      </c>
      <c r="BC170" s="968" t="str">
        <f t="shared" si="2"/>
        <v>札幌市北区新琴似一条</v>
      </c>
      <c r="BD170" s="968" t="s">
        <v>565</v>
      </c>
      <c r="BE170" s="969" t="s">
        <v>693</v>
      </c>
      <c r="BG170" s="1147"/>
      <c r="BH170" s="969">
        <v>171</v>
      </c>
      <c r="BI170" s="988" t="s">
        <v>1534</v>
      </c>
      <c r="BJ170" s="968" t="s">
        <v>2094</v>
      </c>
      <c r="BK170" s="968" t="s">
        <v>2095</v>
      </c>
      <c r="BL170" s="968" t="s">
        <v>1782</v>
      </c>
      <c r="BM170" s="976">
        <v>620934</v>
      </c>
      <c r="BN170" s="992" t="s">
        <v>2520</v>
      </c>
      <c r="BO170" s="992" t="s">
        <v>2521</v>
      </c>
      <c r="BQ170" s="927"/>
      <c r="BR170" s="926"/>
      <c r="BU170" s="926"/>
      <c r="BV170" s="926"/>
    </row>
    <row r="171" spans="54:74">
      <c r="BB171" s="971">
        <v>10902</v>
      </c>
      <c r="BC171" s="968" t="str">
        <f t="shared" si="2"/>
        <v>札幌市北区新琴似二条</v>
      </c>
      <c r="BD171" s="968" t="s">
        <v>565</v>
      </c>
      <c r="BE171" s="969" t="s">
        <v>694</v>
      </c>
      <c r="BG171" s="1147"/>
      <c r="BH171" s="969">
        <v>172</v>
      </c>
      <c r="BI171" s="968" t="s">
        <v>1541</v>
      </c>
      <c r="BJ171" s="968" t="s">
        <v>2096</v>
      </c>
      <c r="BK171" s="968" t="s">
        <v>2097</v>
      </c>
      <c r="BL171" s="968" t="s">
        <v>1783</v>
      </c>
      <c r="BM171" s="976">
        <v>620935</v>
      </c>
      <c r="BN171" s="992" t="s">
        <v>2534</v>
      </c>
      <c r="BO171" s="992" t="s">
        <v>2535</v>
      </c>
      <c r="BQ171" s="927"/>
      <c r="BR171" s="926"/>
      <c r="BU171" s="926"/>
      <c r="BV171" s="926"/>
    </row>
    <row r="172" spans="54:74">
      <c r="BB172" s="971">
        <v>10903</v>
      </c>
      <c r="BC172" s="968" t="str">
        <f t="shared" si="2"/>
        <v>札幌市北区新琴似三条</v>
      </c>
      <c r="BD172" s="968" t="s">
        <v>565</v>
      </c>
      <c r="BE172" s="969" t="s">
        <v>695</v>
      </c>
      <c r="BG172" s="1147"/>
      <c r="BH172" s="969">
        <v>173</v>
      </c>
      <c r="BI172" s="968" t="s">
        <v>1568</v>
      </c>
      <c r="BJ172" s="968" t="s">
        <v>2096</v>
      </c>
      <c r="BK172" s="968" t="s">
        <v>2098</v>
      </c>
      <c r="BL172" s="968" t="s">
        <v>1784</v>
      </c>
      <c r="BM172" s="976">
        <v>620935</v>
      </c>
      <c r="BN172" s="992" t="s">
        <v>2508</v>
      </c>
      <c r="BO172" s="992" t="s">
        <v>2509</v>
      </c>
      <c r="BQ172" s="927"/>
      <c r="BR172" s="926"/>
      <c r="BU172" s="926"/>
      <c r="BV172" s="926"/>
    </row>
    <row r="173" spans="54:74">
      <c r="BB173" s="971">
        <v>10904</v>
      </c>
      <c r="BC173" s="968" t="str">
        <f t="shared" si="2"/>
        <v>札幌市北区新琴似四条</v>
      </c>
      <c r="BD173" s="968" t="s">
        <v>565</v>
      </c>
      <c r="BE173" s="969" t="s">
        <v>696</v>
      </c>
      <c r="BG173" s="1147"/>
      <c r="BH173" s="969">
        <v>174</v>
      </c>
      <c r="BI173" s="988" t="s">
        <v>1501</v>
      </c>
      <c r="BJ173" s="968" t="s">
        <v>2099</v>
      </c>
      <c r="BK173" s="968" t="s">
        <v>2100</v>
      </c>
      <c r="BL173" s="968" t="s">
        <v>1785</v>
      </c>
      <c r="BM173" s="976">
        <v>620901</v>
      </c>
      <c r="BN173" s="992" t="s">
        <v>2500</v>
      </c>
      <c r="BO173" s="992" t="s">
        <v>2501</v>
      </c>
      <c r="BQ173" s="927"/>
      <c r="BR173" s="926"/>
      <c r="BU173" s="926"/>
      <c r="BV173" s="926"/>
    </row>
    <row r="174" spans="54:74" ht="14.25" thickBot="1">
      <c r="BB174" s="971">
        <v>10905</v>
      </c>
      <c r="BC174" s="968" t="str">
        <f t="shared" si="2"/>
        <v>札幌市北区新琴似五条</v>
      </c>
      <c r="BD174" s="968" t="s">
        <v>565</v>
      </c>
      <c r="BE174" s="969" t="s">
        <v>697</v>
      </c>
      <c r="BG174" s="1147"/>
      <c r="BH174" s="969">
        <v>175</v>
      </c>
      <c r="BI174" s="988" t="s">
        <v>1506</v>
      </c>
      <c r="BJ174" s="968" t="s">
        <v>2101</v>
      </c>
      <c r="BK174" s="968" t="s">
        <v>1978</v>
      </c>
      <c r="BL174" s="968" t="s">
        <v>1786</v>
      </c>
      <c r="BM174" s="976">
        <v>620905</v>
      </c>
      <c r="BN174" s="992" t="s">
        <v>2540</v>
      </c>
      <c r="BO174" s="992" t="s">
        <v>2499</v>
      </c>
      <c r="BQ174" s="927"/>
      <c r="BR174" s="926"/>
      <c r="BU174" s="926"/>
      <c r="BV174" s="926"/>
    </row>
    <row r="175" spans="54:74" ht="14.25" thickBot="1">
      <c r="BB175" s="971">
        <v>10906</v>
      </c>
      <c r="BC175" s="968" t="str">
        <f t="shared" si="2"/>
        <v>札幌市北区新琴似六条</v>
      </c>
      <c r="BD175" s="968" t="s">
        <v>565</v>
      </c>
      <c r="BE175" s="969" t="s">
        <v>698</v>
      </c>
      <c r="BG175" s="1147" t="s">
        <v>1798</v>
      </c>
      <c r="BH175" s="969">
        <v>176</v>
      </c>
      <c r="BI175" s="968" t="s">
        <v>1495</v>
      </c>
      <c r="BJ175" s="984" t="s">
        <v>2063</v>
      </c>
      <c r="BK175" s="984" t="s">
        <v>2064</v>
      </c>
      <c r="BL175" s="968" t="s">
        <v>1799</v>
      </c>
      <c r="BM175" s="996">
        <v>28072</v>
      </c>
      <c r="BN175" s="992" t="s">
        <v>2752</v>
      </c>
      <c r="BO175" s="992" t="s">
        <v>2753</v>
      </c>
      <c r="BQ175" s="928" t="s">
        <v>2637</v>
      </c>
      <c r="BR175" s="929" t="s">
        <v>2638</v>
      </c>
      <c r="BU175" s="929" t="s">
        <v>2641</v>
      </c>
      <c r="BV175" s="929" t="s">
        <v>2642</v>
      </c>
    </row>
    <row r="176" spans="54:74" ht="14.25" thickBot="1">
      <c r="BB176" s="971">
        <v>10907</v>
      </c>
      <c r="BC176" s="968" t="str">
        <f t="shared" si="2"/>
        <v>札幌市北区新琴似七条</v>
      </c>
      <c r="BD176" s="968" t="s">
        <v>565</v>
      </c>
      <c r="BE176" s="969" t="s">
        <v>699</v>
      </c>
      <c r="BG176" s="1147"/>
      <c r="BH176" s="969">
        <v>177</v>
      </c>
      <c r="BI176" s="968" t="s">
        <v>1440</v>
      </c>
      <c r="BJ176" s="968" t="s">
        <v>2061</v>
      </c>
      <c r="BK176" s="968" t="s">
        <v>2062</v>
      </c>
      <c r="BL176" s="968" t="s">
        <v>1800</v>
      </c>
      <c r="BM176" s="996">
        <v>28072</v>
      </c>
      <c r="BN176" s="992" t="s">
        <v>2782</v>
      </c>
      <c r="BO176" s="992" t="s">
        <v>2783</v>
      </c>
      <c r="BQ176" s="928" t="s">
        <v>2643</v>
      </c>
      <c r="BR176" s="929" t="s">
        <v>2644</v>
      </c>
      <c r="BU176" s="929" t="s">
        <v>2647</v>
      </c>
      <c r="BV176" s="929" t="s">
        <v>2648</v>
      </c>
    </row>
    <row r="177" spans="54:74" ht="27.75" thickBot="1">
      <c r="BB177" s="971">
        <v>10908</v>
      </c>
      <c r="BC177" s="968" t="str">
        <f t="shared" si="2"/>
        <v>札幌市北区新琴似八条</v>
      </c>
      <c r="BD177" s="968" t="s">
        <v>565</v>
      </c>
      <c r="BE177" s="969" t="s">
        <v>700</v>
      </c>
      <c r="BG177" s="1147"/>
      <c r="BH177" s="969">
        <v>178</v>
      </c>
      <c r="BI177" s="968" t="s">
        <v>1468</v>
      </c>
      <c r="BJ177" s="968" t="s">
        <v>2059</v>
      </c>
      <c r="BK177" s="968" t="s">
        <v>2060</v>
      </c>
      <c r="BL177" s="968" t="s">
        <v>1801</v>
      </c>
      <c r="BM177" s="996">
        <v>28073</v>
      </c>
      <c r="BN177" s="992" t="s">
        <v>2686</v>
      </c>
      <c r="BO177" s="992" t="s">
        <v>2687</v>
      </c>
      <c r="BQ177" s="928" t="s">
        <v>2649</v>
      </c>
      <c r="BR177" s="929" t="s">
        <v>2650</v>
      </c>
      <c r="BU177" s="929" t="s">
        <v>2653</v>
      </c>
      <c r="BV177" s="929" t="s">
        <v>2654</v>
      </c>
    </row>
    <row r="178" spans="54:74" ht="14.25" thickBot="1">
      <c r="BB178" s="971">
        <v>10909</v>
      </c>
      <c r="BC178" s="968" t="str">
        <f t="shared" si="2"/>
        <v>札幌市北区新琴似九条</v>
      </c>
      <c r="BD178" s="968" t="s">
        <v>565</v>
      </c>
      <c r="BE178" s="969" t="s">
        <v>701</v>
      </c>
      <c r="BG178" s="1147"/>
      <c r="BH178" s="969">
        <v>179</v>
      </c>
      <c r="BI178" s="968" t="s">
        <v>1787</v>
      </c>
      <c r="BJ178" s="998" t="s">
        <v>2057</v>
      </c>
      <c r="BK178" s="998" t="s">
        <v>2058</v>
      </c>
      <c r="BL178" s="968" t="s">
        <v>1802</v>
      </c>
      <c r="BM178" s="996">
        <v>28073</v>
      </c>
      <c r="BN178" s="992" t="s">
        <v>2794</v>
      </c>
      <c r="BO178" s="992" t="s">
        <v>2795</v>
      </c>
      <c r="BQ178" s="928" t="s">
        <v>2655</v>
      </c>
      <c r="BR178" s="929" t="s">
        <v>2656</v>
      </c>
      <c r="BU178" s="929" t="s">
        <v>2659</v>
      </c>
      <c r="BV178" s="929" t="s">
        <v>2660</v>
      </c>
    </row>
    <row r="179" spans="54:74" ht="14.25" thickBot="1">
      <c r="BB179" s="971">
        <v>10910</v>
      </c>
      <c r="BC179" s="968" t="str">
        <f t="shared" si="2"/>
        <v>札幌市北区新琴似十条</v>
      </c>
      <c r="BD179" s="968" t="s">
        <v>565</v>
      </c>
      <c r="BE179" s="969" t="s">
        <v>702</v>
      </c>
      <c r="BG179" s="1147"/>
      <c r="BH179" s="969">
        <v>180</v>
      </c>
      <c r="BI179" s="968" t="s">
        <v>1590</v>
      </c>
      <c r="BJ179" s="968" t="s">
        <v>2055</v>
      </c>
      <c r="BK179" s="968" t="s">
        <v>2056</v>
      </c>
      <c r="BL179" s="968" t="s">
        <v>1803</v>
      </c>
      <c r="BM179" s="996">
        <v>28075</v>
      </c>
      <c r="BN179" s="978" t="s">
        <v>2815</v>
      </c>
      <c r="BO179" s="968" t="s">
        <v>2816</v>
      </c>
      <c r="BQ179" s="928" t="s">
        <v>2661</v>
      </c>
      <c r="BR179" s="929" t="s">
        <v>2662</v>
      </c>
      <c r="BU179" s="929" t="s">
        <v>2665</v>
      </c>
      <c r="BV179" s="929" t="s">
        <v>2666</v>
      </c>
    </row>
    <row r="180" spans="54:74" ht="27.75" thickBot="1">
      <c r="BB180" s="971">
        <v>10911</v>
      </c>
      <c r="BC180" s="968" t="str">
        <f t="shared" si="2"/>
        <v>札幌市北区新琴似十一条</v>
      </c>
      <c r="BD180" s="968" t="s">
        <v>565</v>
      </c>
      <c r="BE180" s="969" t="s">
        <v>703</v>
      </c>
      <c r="BG180" s="1147"/>
      <c r="BH180" s="969">
        <v>181</v>
      </c>
      <c r="BI180" s="968" t="s">
        <v>1493</v>
      </c>
      <c r="BJ180" s="968" t="s">
        <v>2053</v>
      </c>
      <c r="BK180" s="968" t="s">
        <v>2054</v>
      </c>
      <c r="BL180" s="968" t="s">
        <v>1804</v>
      </c>
      <c r="BM180" s="996">
        <v>28021</v>
      </c>
      <c r="BN180" s="992" t="s">
        <v>2728</v>
      </c>
      <c r="BO180" s="992" t="s">
        <v>2729</v>
      </c>
      <c r="BQ180" s="928" t="s">
        <v>679</v>
      </c>
      <c r="BR180" s="929" t="s">
        <v>2667</v>
      </c>
      <c r="BU180" s="929" t="s">
        <v>2670</v>
      </c>
      <c r="BV180" s="929" t="s">
        <v>2671</v>
      </c>
    </row>
    <row r="181" spans="54:74" ht="14.25" thickBot="1">
      <c r="BB181" s="971">
        <v>10912</v>
      </c>
      <c r="BC181" s="968" t="str">
        <f t="shared" si="2"/>
        <v>札幌市北区新琴似十二条</v>
      </c>
      <c r="BD181" s="968" t="s">
        <v>565</v>
      </c>
      <c r="BE181" s="969" t="s">
        <v>704</v>
      </c>
      <c r="BG181" s="1147"/>
      <c r="BH181" s="969">
        <v>182</v>
      </c>
      <c r="BI181" s="968" t="s">
        <v>1480</v>
      </c>
      <c r="BJ181" s="968" t="s">
        <v>2051</v>
      </c>
      <c r="BK181" s="968" t="s">
        <v>2052</v>
      </c>
      <c r="BL181" s="968" t="s">
        <v>1805</v>
      </c>
      <c r="BM181" s="996">
        <v>28024</v>
      </c>
      <c r="BN181" s="992" t="s">
        <v>2674</v>
      </c>
      <c r="BO181" s="992" t="s">
        <v>2675</v>
      </c>
      <c r="BQ181" s="928" t="s">
        <v>2672</v>
      </c>
      <c r="BR181" s="929" t="s">
        <v>2673</v>
      </c>
      <c r="BU181" s="929" t="s">
        <v>2676</v>
      </c>
      <c r="BV181" s="929" t="s">
        <v>2677</v>
      </c>
    </row>
    <row r="182" spans="54:74" ht="14.25" thickBot="1">
      <c r="BB182" s="971">
        <v>10915</v>
      </c>
      <c r="BC182" s="968" t="str">
        <f t="shared" si="2"/>
        <v>札幌市北区新琴似町</v>
      </c>
      <c r="BD182" s="968" t="s">
        <v>565</v>
      </c>
      <c r="BE182" s="969" t="s">
        <v>705</v>
      </c>
      <c r="BG182" s="1147"/>
      <c r="BH182" s="969">
        <v>183</v>
      </c>
      <c r="BI182" s="968" t="s">
        <v>1788</v>
      </c>
      <c r="BJ182" s="968" t="s">
        <v>2049</v>
      </c>
      <c r="BK182" s="968" t="s">
        <v>2050</v>
      </c>
      <c r="BL182" s="968" t="s">
        <v>1806</v>
      </c>
      <c r="BM182" s="996">
        <v>28025</v>
      </c>
      <c r="BN182" s="992" t="s">
        <v>2740</v>
      </c>
      <c r="BO182" s="992" t="s">
        <v>2741</v>
      </c>
      <c r="BQ182" s="928" t="s">
        <v>2678</v>
      </c>
      <c r="BR182" s="929" t="s">
        <v>2679</v>
      </c>
      <c r="BU182" s="929" t="s">
        <v>2682</v>
      </c>
      <c r="BV182" s="929" t="s">
        <v>2683</v>
      </c>
    </row>
    <row r="183" spans="54:74" ht="14.25" thickBot="1">
      <c r="BB183" s="971">
        <v>28001</v>
      </c>
      <c r="BC183" s="968" t="str">
        <f t="shared" si="2"/>
        <v>札幌市北区太平一条</v>
      </c>
      <c r="BD183" s="968" t="s">
        <v>565</v>
      </c>
      <c r="BE183" s="969" t="s">
        <v>706</v>
      </c>
      <c r="BG183" s="1147"/>
      <c r="BH183" s="969">
        <v>184</v>
      </c>
      <c r="BI183" s="968" t="s">
        <v>1789</v>
      </c>
      <c r="BJ183" s="968" t="s">
        <v>2047</v>
      </c>
      <c r="BK183" s="968" t="s">
        <v>2048</v>
      </c>
      <c r="BL183" s="968" t="s">
        <v>1807</v>
      </c>
      <c r="BM183" s="996">
        <v>10910</v>
      </c>
      <c r="BN183" s="992" t="s">
        <v>2770</v>
      </c>
      <c r="BO183" s="992" t="s">
        <v>2771</v>
      </c>
      <c r="BQ183" s="928" t="s">
        <v>2684</v>
      </c>
      <c r="BR183" s="929" t="s">
        <v>2685</v>
      </c>
      <c r="BU183" s="929" t="s">
        <v>2688</v>
      </c>
      <c r="BV183" s="929" t="s">
        <v>2689</v>
      </c>
    </row>
    <row r="184" spans="54:74" ht="14.25" thickBot="1">
      <c r="BB184" s="971">
        <v>28002</v>
      </c>
      <c r="BC184" s="968" t="str">
        <f t="shared" si="2"/>
        <v>札幌市北区太平二条</v>
      </c>
      <c r="BD184" s="968" t="s">
        <v>565</v>
      </c>
      <c r="BE184" s="969" t="s">
        <v>707</v>
      </c>
      <c r="BG184" s="1147"/>
      <c r="BH184" s="969">
        <v>185</v>
      </c>
      <c r="BI184" s="968" t="s">
        <v>1485</v>
      </c>
      <c r="BJ184" s="968" t="s">
        <v>2045</v>
      </c>
      <c r="BK184" s="968" t="s">
        <v>2046</v>
      </c>
      <c r="BL184" s="968" t="s">
        <v>1808</v>
      </c>
      <c r="BM184" s="996">
        <v>10911</v>
      </c>
      <c r="BN184" s="992" t="s">
        <v>2722</v>
      </c>
      <c r="BO184" s="992" t="s">
        <v>2723</v>
      </c>
      <c r="BQ184" s="928" t="s">
        <v>2690</v>
      </c>
      <c r="BR184" s="929" t="s">
        <v>2691</v>
      </c>
      <c r="BU184" s="929" t="s">
        <v>2694</v>
      </c>
      <c r="BV184" s="929" t="s">
        <v>2695</v>
      </c>
    </row>
    <row r="185" spans="54:74" ht="27.75" thickBot="1">
      <c r="BB185" s="971">
        <v>28003</v>
      </c>
      <c r="BC185" s="968" t="str">
        <f t="shared" si="2"/>
        <v>札幌市北区太平三条</v>
      </c>
      <c r="BD185" s="968" t="s">
        <v>565</v>
      </c>
      <c r="BE185" s="969" t="s">
        <v>708</v>
      </c>
      <c r="BG185" s="1147"/>
      <c r="BH185" s="969">
        <v>186</v>
      </c>
      <c r="BI185" s="968" t="s">
        <v>1484</v>
      </c>
      <c r="BJ185" s="968" t="s">
        <v>2043</v>
      </c>
      <c r="BK185" s="968" t="s">
        <v>2044</v>
      </c>
      <c r="BL185" s="968" t="s">
        <v>1809</v>
      </c>
      <c r="BM185" s="996">
        <v>10911</v>
      </c>
      <c r="BN185" s="992" t="s">
        <v>2710</v>
      </c>
      <c r="BO185" s="992" t="s">
        <v>2711</v>
      </c>
      <c r="BQ185" s="928" t="s">
        <v>2696</v>
      </c>
      <c r="BR185" s="929" t="s">
        <v>2697</v>
      </c>
      <c r="BU185" s="929" t="s">
        <v>2700</v>
      </c>
      <c r="BV185" s="929" t="s">
        <v>2701</v>
      </c>
    </row>
    <row r="186" spans="54:74" ht="14.25" thickBot="1">
      <c r="BB186" s="971">
        <v>28004</v>
      </c>
      <c r="BC186" s="968" t="str">
        <f t="shared" si="2"/>
        <v>札幌市北区太平四条</v>
      </c>
      <c r="BD186" s="968" t="s">
        <v>565</v>
      </c>
      <c r="BE186" s="969" t="s">
        <v>709</v>
      </c>
      <c r="BG186" s="1147"/>
      <c r="BH186" s="969">
        <v>187</v>
      </c>
      <c r="BI186" s="968" t="s">
        <v>1790</v>
      </c>
      <c r="BJ186" s="968" t="s">
        <v>2040</v>
      </c>
      <c r="BK186" s="968" t="s">
        <v>2042</v>
      </c>
      <c r="BL186" s="968" t="s">
        <v>1810</v>
      </c>
      <c r="BM186" s="996">
        <v>10901</v>
      </c>
      <c r="BN186" s="992" t="s">
        <v>2746</v>
      </c>
      <c r="BO186" s="992" t="s">
        <v>2747</v>
      </c>
      <c r="BQ186" s="928" t="s">
        <v>2702</v>
      </c>
      <c r="BR186" s="929" t="s">
        <v>2703</v>
      </c>
      <c r="BU186" s="929" t="s">
        <v>2706</v>
      </c>
      <c r="BV186" s="929" t="s">
        <v>2707</v>
      </c>
    </row>
    <row r="187" spans="54:74" ht="14.25" thickBot="1">
      <c r="BB187" s="971">
        <v>28005</v>
      </c>
      <c r="BC187" s="968" t="str">
        <f t="shared" si="2"/>
        <v>札幌市北区太平五条</v>
      </c>
      <c r="BD187" s="968" t="s">
        <v>565</v>
      </c>
      <c r="BE187" s="969" t="s">
        <v>710</v>
      </c>
      <c r="BG187" s="1147"/>
      <c r="BH187" s="969">
        <v>188</v>
      </c>
      <c r="BI187" s="968" t="s">
        <v>1791</v>
      </c>
      <c r="BJ187" s="968" t="s">
        <v>2040</v>
      </c>
      <c r="BK187" s="968" t="s">
        <v>2041</v>
      </c>
      <c r="BL187" s="968" t="s">
        <v>1811</v>
      </c>
      <c r="BM187" s="996">
        <v>10901</v>
      </c>
      <c r="BN187" s="992" t="s">
        <v>2734</v>
      </c>
      <c r="BO187" s="992" t="s">
        <v>2735</v>
      </c>
      <c r="BQ187" s="928" t="s">
        <v>2708</v>
      </c>
      <c r="BR187" s="929" t="s">
        <v>2709</v>
      </c>
      <c r="BU187" s="929" t="s">
        <v>2712</v>
      </c>
      <c r="BV187" s="929" t="s">
        <v>2713</v>
      </c>
    </row>
    <row r="188" spans="54:74" ht="14.25" thickBot="1">
      <c r="BB188" s="971">
        <v>28006</v>
      </c>
      <c r="BC188" s="968" t="str">
        <f t="shared" si="2"/>
        <v>札幌市北区太平六条</v>
      </c>
      <c r="BD188" s="968" t="s">
        <v>565</v>
      </c>
      <c r="BE188" s="969" t="s">
        <v>711</v>
      </c>
      <c r="BG188" s="1147"/>
      <c r="BH188" s="969">
        <v>189</v>
      </c>
      <c r="BI188" s="968" t="s">
        <v>1792</v>
      </c>
      <c r="BJ188" s="968" t="s">
        <v>2038</v>
      </c>
      <c r="BK188" s="968" t="s">
        <v>2039</v>
      </c>
      <c r="BL188" s="968" t="s">
        <v>1812</v>
      </c>
      <c r="BM188" s="996">
        <v>10905</v>
      </c>
      <c r="BN188" s="992" t="s">
        <v>2698</v>
      </c>
      <c r="BO188" s="992" t="s">
        <v>2699</v>
      </c>
      <c r="BQ188" s="928" t="s">
        <v>2714</v>
      </c>
      <c r="BR188" s="929" t="s">
        <v>2715</v>
      </c>
      <c r="BU188" s="929" t="s">
        <v>2718</v>
      </c>
      <c r="BV188" s="929" t="s">
        <v>2719</v>
      </c>
    </row>
    <row r="189" spans="54:74" ht="14.25" thickBot="1">
      <c r="BB189" s="971">
        <v>28007</v>
      </c>
      <c r="BC189" s="968" t="str">
        <f t="shared" si="2"/>
        <v>札幌市北区太平七条</v>
      </c>
      <c r="BD189" s="968" t="s">
        <v>565</v>
      </c>
      <c r="BE189" s="969" t="s">
        <v>712</v>
      </c>
      <c r="BG189" s="1147"/>
      <c r="BH189" s="969">
        <v>190</v>
      </c>
      <c r="BI189" s="968" t="s">
        <v>1793</v>
      </c>
      <c r="BJ189" s="968" t="s">
        <v>2036</v>
      </c>
      <c r="BK189" s="968" t="s">
        <v>2037</v>
      </c>
      <c r="BL189" s="968" t="s">
        <v>1813</v>
      </c>
      <c r="BM189" s="996">
        <v>10907</v>
      </c>
      <c r="BN189" s="992" t="s">
        <v>2657</v>
      </c>
      <c r="BO189" s="992" t="s">
        <v>2658</v>
      </c>
      <c r="BQ189" s="928" t="s">
        <v>2720</v>
      </c>
      <c r="BR189" s="929" t="s">
        <v>2721</v>
      </c>
      <c r="BU189" s="929" t="s">
        <v>2724</v>
      </c>
      <c r="BV189" s="929" t="s">
        <v>2725</v>
      </c>
    </row>
    <row r="190" spans="54:74" ht="14.25" thickBot="1">
      <c r="BB190" s="971">
        <v>28008</v>
      </c>
      <c r="BC190" s="968" t="str">
        <f t="shared" si="2"/>
        <v>札幌市北区太平八条</v>
      </c>
      <c r="BD190" s="968" t="s">
        <v>565</v>
      </c>
      <c r="BE190" s="969" t="s">
        <v>713</v>
      </c>
      <c r="BG190" s="1147"/>
      <c r="BH190" s="969">
        <v>191</v>
      </c>
      <c r="BI190" s="968" t="s">
        <v>1794</v>
      </c>
      <c r="BJ190" s="968" t="s">
        <v>2034</v>
      </c>
      <c r="BK190" s="968" t="s">
        <v>2035</v>
      </c>
      <c r="BL190" s="968" t="s">
        <v>1814</v>
      </c>
      <c r="BM190" s="996">
        <v>10923</v>
      </c>
      <c r="BN190" s="992" t="s">
        <v>2716</v>
      </c>
      <c r="BO190" s="992" t="s">
        <v>2717</v>
      </c>
      <c r="BQ190" s="928" t="s">
        <v>2726</v>
      </c>
      <c r="BR190" s="929" t="s">
        <v>2727</v>
      </c>
      <c r="BU190" s="929" t="s">
        <v>2730</v>
      </c>
      <c r="BV190" s="929" t="s">
        <v>2731</v>
      </c>
    </row>
    <row r="191" spans="54:74" ht="14.25" thickBot="1">
      <c r="BB191" s="971">
        <v>28009</v>
      </c>
      <c r="BC191" s="968" t="str">
        <f t="shared" ref="BC191:BC254" si="3">BD191&amp;BE191</f>
        <v>札幌市北区太平九条</v>
      </c>
      <c r="BD191" s="968" t="s">
        <v>565</v>
      </c>
      <c r="BE191" s="969" t="s">
        <v>714</v>
      </c>
      <c r="BG191" s="1147"/>
      <c r="BH191" s="969">
        <v>192</v>
      </c>
      <c r="BI191" s="988" t="s">
        <v>1795</v>
      </c>
      <c r="BJ191" s="968" t="s">
        <v>2032</v>
      </c>
      <c r="BK191" s="968" t="s">
        <v>2033</v>
      </c>
      <c r="BL191" s="968" t="s">
        <v>1815</v>
      </c>
      <c r="BM191" s="996">
        <v>10925</v>
      </c>
      <c r="BN191" s="992" t="s">
        <v>2668</v>
      </c>
      <c r="BO191" s="992" t="s">
        <v>2669</v>
      </c>
      <c r="BQ191" s="928" t="s">
        <v>2732</v>
      </c>
      <c r="BR191" s="929" t="s">
        <v>2733</v>
      </c>
      <c r="BU191" s="929" t="s">
        <v>2736</v>
      </c>
      <c r="BV191" s="929" t="s">
        <v>2737</v>
      </c>
    </row>
    <row r="192" spans="54:74" ht="14.25" thickBot="1">
      <c r="BB192" s="971">
        <v>28010</v>
      </c>
      <c r="BC192" s="968" t="str">
        <f t="shared" si="3"/>
        <v>札幌市北区太平十条</v>
      </c>
      <c r="BD192" s="968" t="s">
        <v>565</v>
      </c>
      <c r="BE192" s="969" t="s">
        <v>715</v>
      </c>
      <c r="BG192" s="1147"/>
      <c r="BH192" s="969">
        <v>193</v>
      </c>
      <c r="BI192" s="968" t="s">
        <v>1494</v>
      </c>
      <c r="BJ192" s="968" t="s">
        <v>2030</v>
      </c>
      <c r="BK192" s="968" t="s">
        <v>2031</v>
      </c>
      <c r="BL192" s="968" t="s">
        <v>1816</v>
      </c>
      <c r="BM192" s="996">
        <v>28001</v>
      </c>
      <c r="BN192" s="992" t="s">
        <v>2776</v>
      </c>
      <c r="BO192" s="992" t="s">
        <v>2777</v>
      </c>
      <c r="BQ192" s="928" t="s">
        <v>2738</v>
      </c>
      <c r="BR192" s="929" t="s">
        <v>2739</v>
      </c>
      <c r="BU192" s="929" t="s">
        <v>2742</v>
      </c>
      <c r="BV192" s="929" t="s">
        <v>2743</v>
      </c>
    </row>
    <row r="193" spans="54:74" ht="14.25" thickBot="1">
      <c r="BB193" s="971">
        <v>28011</v>
      </c>
      <c r="BC193" s="968" t="str">
        <f t="shared" si="3"/>
        <v>札幌市北区太平十一条</v>
      </c>
      <c r="BD193" s="968" t="s">
        <v>565</v>
      </c>
      <c r="BE193" s="969" t="s">
        <v>716</v>
      </c>
      <c r="BG193" s="1147"/>
      <c r="BH193" s="969">
        <v>194</v>
      </c>
      <c r="BI193" s="968" t="s">
        <v>1529</v>
      </c>
      <c r="BJ193" s="968" t="s">
        <v>2028</v>
      </c>
      <c r="BK193" s="968" t="s">
        <v>2029</v>
      </c>
      <c r="BL193" s="968" t="s">
        <v>1817</v>
      </c>
      <c r="BM193" s="996">
        <v>28041</v>
      </c>
      <c r="BN193" s="992" t="s">
        <v>2680</v>
      </c>
      <c r="BO193" s="992" t="s">
        <v>2681</v>
      </c>
      <c r="BQ193" s="928" t="s">
        <v>2744</v>
      </c>
      <c r="BR193" s="929" t="s">
        <v>2745</v>
      </c>
      <c r="BU193" s="929" t="s">
        <v>2748</v>
      </c>
      <c r="BV193" s="929" t="s">
        <v>2749</v>
      </c>
    </row>
    <row r="194" spans="54:74" ht="14.25" thickBot="1">
      <c r="BB194" s="971">
        <v>28012</v>
      </c>
      <c r="BC194" s="968" t="str">
        <f t="shared" si="3"/>
        <v>札幌市北区太平十二条</v>
      </c>
      <c r="BD194" s="968" t="s">
        <v>565</v>
      </c>
      <c r="BE194" s="969" t="s">
        <v>717</v>
      </c>
      <c r="BG194" s="1147"/>
      <c r="BH194" s="969">
        <v>195</v>
      </c>
      <c r="BI194" s="988" t="s">
        <v>1796</v>
      </c>
      <c r="BJ194" s="968" t="s">
        <v>2026</v>
      </c>
      <c r="BK194" s="968" t="s">
        <v>2027</v>
      </c>
      <c r="BL194" s="968" t="s">
        <v>1818</v>
      </c>
      <c r="BM194" s="996">
        <v>20855</v>
      </c>
      <c r="BN194" s="992" t="s">
        <v>2758</v>
      </c>
      <c r="BO194" s="992" t="s">
        <v>2759</v>
      </c>
      <c r="BQ194" s="928" t="s">
        <v>2750</v>
      </c>
      <c r="BR194" s="929" t="s">
        <v>2751</v>
      </c>
      <c r="BU194" s="929" t="s">
        <v>2754</v>
      </c>
      <c r="BV194" s="929" t="s">
        <v>2755</v>
      </c>
    </row>
    <row r="195" spans="54:74" ht="14.25" thickBot="1">
      <c r="BB195" s="971">
        <v>28061</v>
      </c>
      <c r="BC195" s="968" t="str">
        <f t="shared" si="3"/>
        <v>札幌市北区拓北一条</v>
      </c>
      <c r="BD195" s="968" t="s">
        <v>565</v>
      </c>
      <c r="BE195" s="969" t="s">
        <v>718</v>
      </c>
      <c r="BG195" s="1147"/>
      <c r="BH195" s="969">
        <v>196</v>
      </c>
      <c r="BI195" s="988" t="s">
        <v>1509</v>
      </c>
      <c r="BJ195" s="968" t="s">
        <v>2024</v>
      </c>
      <c r="BK195" s="968" t="s">
        <v>2025</v>
      </c>
      <c r="BL195" s="968" t="s">
        <v>1819</v>
      </c>
      <c r="BM195" s="996">
        <v>20856</v>
      </c>
      <c r="BN195" s="992" t="s">
        <v>2788</v>
      </c>
      <c r="BO195" s="992" t="s">
        <v>2789</v>
      </c>
      <c r="BQ195" s="928" t="s">
        <v>2756</v>
      </c>
      <c r="BR195" s="929" t="s">
        <v>2757</v>
      </c>
      <c r="BU195" s="929" t="s">
        <v>2760</v>
      </c>
      <c r="BV195" s="929" t="s">
        <v>2761</v>
      </c>
    </row>
    <row r="196" spans="54:74" ht="14.25" thickBot="1">
      <c r="BB196" s="971">
        <v>28062</v>
      </c>
      <c r="BC196" s="968" t="str">
        <f t="shared" si="3"/>
        <v>札幌市北区拓北二条</v>
      </c>
      <c r="BD196" s="968" t="s">
        <v>565</v>
      </c>
      <c r="BE196" s="969" t="s">
        <v>719</v>
      </c>
      <c r="BG196" s="1147"/>
      <c r="BH196" s="969">
        <v>197</v>
      </c>
      <c r="BI196" s="968" t="s">
        <v>1507</v>
      </c>
      <c r="BJ196" s="968" t="s">
        <v>2022</v>
      </c>
      <c r="BK196" s="968" t="s">
        <v>2023</v>
      </c>
      <c r="BL196" s="968" t="s">
        <v>1820</v>
      </c>
      <c r="BM196" s="996">
        <v>20857</v>
      </c>
      <c r="BN196" s="992" t="s">
        <v>2663</v>
      </c>
      <c r="BO196" s="992" t="s">
        <v>2664</v>
      </c>
      <c r="BQ196" s="928" t="s">
        <v>2762</v>
      </c>
      <c r="BR196" s="929" t="s">
        <v>2763</v>
      </c>
      <c r="BU196" s="929" t="s">
        <v>2766</v>
      </c>
      <c r="BV196" s="929" t="s">
        <v>2767</v>
      </c>
    </row>
    <row r="197" spans="54:74" ht="14.25" thickBot="1">
      <c r="BB197" s="971">
        <v>28063</v>
      </c>
      <c r="BC197" s="968" t="str">
        <f t="shared" si="3"/>
        <v>札幌市北区拓北三条</v>
      </c>
      <c r="BD197" s="968" t="s">
        <v>565</v>
      </c>
      <c r="BE197" s="969" t="s">
        <v>720</v>
      </c>
      <c r="BG197" s="1147"/>
      <c r="BH197" s="969">
        <v>198</v>
      </c>
      <c r="BI197" s="988" t="s">
        <v>1508</v>
      </c>
      <c r="BJ197" s="968" t="s">
        <v>2020</v>
      </c>
      <c r="BK197" s="968" t="s">
        <v>2021</v>
      </c>
      <c r="BL197" s="968" t="s">
        <v>1821</v>
      </c>
      <c r="BM197" s="996">
        <v>20859</v>
      </c>
      <c r="BN197" s="992" t="s">
        <v>2805</v>
      </c>
      <c r="BO197" s="992" t="s">
        <v>2806</v>
      </c>
      <c r="BQ197" s="928" t="s">
        <v>2768</v>
      </c>
      <c r="BR197" s="929" t="s">
        <v>2769</v>
      </c>
      <c r="BU197" s="929" t="s">
        <v>2772</v>
      </c>
      <c r="BV197" s="929" t="s">
        <v>2773</v>
      </c>
    </row>
    <row r="198" spans="54:74" ht="14.25" thickBot="1">
      <c r="BB198" s="971">
        <v>28064</v>
      </c>
      <c r="BC198" s="968" t="str">
        <f t="shared" si="3"/>
        <v>札幌市北区拓北四条</v>
      </c>
      <c r="BD198" s="968" t="s">
        <v>565</v>
      </c>
      <c r="BE198" s="969" t="s">
        <v>721</v>
      </c>
      <c r="BG198" s="1147"/>
      <c r="BH198" s="969">
        <v>199</v>
      </c>
      <c r="BI198" s="968" t="s">
        <v>1584</v>
      </c>
      <c r="BJ198" s="968" t="s">
        <v>2018</v>
      </c>
      <c r="BK198" s="968" t="s">
        <v>2019</v>
      </c>
      <c r="BL198" s="968" t="s">
        <v>1822</v>
      </c>
      <c r="BM198" s="996">
        <v>28081</v>
      </c>
      <c r="BN198" s="992" t="s">
        <v>2799</v>
      </c>
      <c r="BO198" s="992" t="s">
        <v>2800</v>
      </c>
      <c r="BQ198" s="928" t="s">
        <v>2774</v>
      </c>
      <c r="BR198" s="929" t="s">
        <v>2775</v>
      </c>
      <c r="BU198" s="929" t="s">
        <v>2778</v>
      </c>
      <c r="BV198" s="929" t="s">
        <v>2779</v>
      </c>
    </row>
    <row r="199" spans="54:74" ht="14.25" thickBot="1">
      <c r="BB199" s="971">
        <v>28065</v>
      </c>
      <c r="BC199" s="968" t="str">
        <f t="shared" si="3"/>
        <v>札幌市北区拓北五条</v>
      </c>
      <c r="BD199" s="968" t="s">
        <v>565</v>
      </c>
      <c r="BE199" s="969" t="s">
        <v>722</v>
      </c>
      <c r="BG199" s="1147"/>
      <c r="BH199" s="969">
        <v>200</v>
      </c>
      <c r="BI199" s="968" t="s">
        <v>1470</v>
      </c>
      <c r="BJ199" s="968" t="s">
        <v>2016</v>
      </c>
      <c r="BK199" s="968" t="s">
        <v>2017</v>
      </c>
      <c r="BL199" s="968" t="s">
        <v>1823</v>
      </c>
      <c r="BM199" s="996">
        <v>10019</v>
      </c>
      <c r="BN199" s="992" t="s">
        <v>2645</v>
      </c>
      <c r="BO199" s="992" t="s">
        <v>2646</v>
      </c>
      <c r="BQ199" s="928" t="s">
        <v>2780</v>
      </c>
      <c r="BR199" s="929" t="s">
        <v>2781</v>
      </c>
      <c r="BU199" s="929" t="s">
        <v>2784</v>
      </c>
      <c r="BV199" s="929" t="s">
        <v>2785</v>
      </c>
    </row>
    <row r="200" spans="54:74" ht="14.25" thickBot="1">
      <c r="BB200" s="971">
        <v>28066</v>
      </c>
      <c r="BC200" s="968" t="str">
        <f t="shared" si="3"/>
        <v>札幌市北区拓北六条</v>
      </c>
      <c r="BD200" s="968" t="s">
        <v>565</v>
      </c>
      <c r="BE200" s="969" t="s">
        <v>723</v>
      </c>
      <c r="BG200" s="1147"/>
      <c r="BH200" s="969">
        <v>201</v>
      </c>
      <c r="BI200" s="968" t="s">
        <v>1797</v>
      </c>
      <c r="BJ200" s="968" t="s">
        <v>2014</v>
      </c>
      <c r="BK200" s="968" t="s">
        <v>2015</v>
      </c>
      <c r="BL200" s="968" t="s">
        <v>1824</v>
      </c>
      <c r="BM200" s="996">
        <v>10024</v>
      </c>
      <c r="BN200" s="992" t="s">
        <v>2651</v>
      </c>
      <c r="BO200" s="992" t="s">
        <v>2652</v>
      </c>
      <c r="BQ200" s="928" t="s">
        <v>2786</v>
      </c>
      <c r="BR200" s="929" t="s">
        <v>2787</v>
      </c>
      <c r="BU200" s="929" t="s">
        <v>2790</v>
      </c>
      <c r="BV200" s="929" t="s">
        <v>2791</v>
      </c>
    </row>
    <row r="201" spans="54:74" ht="27.75" thickBot="1">
      <c r="BB201" s="971">
        <v>28067</v>
      </c>
      <c r="BC201" s="968" t="str">
        <f t="shared" si="3"/>
        <v>札幌市北区拓北七条</v>
      </c>
      <c r="BD201" s="968" t="s">
        <v>565</v>
      </c>
      <c r="BE201" s="969" t="s">
        <v>724</v>
      </c>
      <c r="BG201" s="1147"/>
      <c r="BH201" s="969">
        <v>202</v>
      </c>
      <c r="BI201" s="968" t="s">
        <v>1487</v>
      </c>
      <c r="BJ201" s="968" t="s">
        <v>2012</v>
      </c>
      <c r="BK201" s="968" t="s">
        <v>2013</v>
      </c>
      <c r="BL201" s="968" t="s">
        <v>1825</v>
      </c>
      <c r="BM201" s="996">
        <v>10027</v>
      </c>
      <c r="BN201" s="992" t="s">
        <v>2704</v>
      </c>
      <c r="BO201" s="992" t="s">
        <v>2705</v>
      </c>
      <c r="BQ201" s="928" t="s">
        <v>2792</v>
      </c>
      <c r="BR201" s="929" t="s">
        <v>2793</v>
      </c>
      <c r="BU201" s="929" t="s">
        <v>2796</v>
      </c>
      <c r="BV201" s="929" t="s">
        <v>2797</v>
      </c>
    </row>
    <row r="202" spans="54:74" ht="14.25" thickBot="1">
      <c r="BB202" s="971">
        <v>28068</v>
      </c>
      <c r="BC202" s="968" t="str">
        <f t="shared" si="3"/>
        <v>札幌市北区拓北八条</v>
      </c>
      <c r="BD202" s="968" t="s">
        <v>565</v>
      </c>
      <c r="BE202" s="969" t="s">
        <v>725</v>
      </c>
      <c r="BG202" s="1147"/>
      <c r="BH202" s="969">
        <v>203</v>
      </c>
      <c r="BI202" s="968" t="s">
        <v>1555</v>
      </c>
      <c r="BJ202" s="968" t="s">
        <v>2010</v>
      </c>
      <c r="BK202" s="968" t="s">
        <v>2011</v>
      </c>
      <c r="BL202" s="968" t="s">
        <v>1826</v>
      </c>
      <c r="BM202" s="996">
        <v>10031</v>
      </c>
      <c r="BN202" s="992" t="s">
        <v>2764</v>
      </c>
      <c r="BO202" s="992" t="s">
        <v>2765</v>
      </c>
      <c r="BQ202" s="928" t="s">
        <v>752</v>
      </c>
      <c r="BR202" s="929" t="s">
        <v>2798</v>
      </c>
      <c r="BU202" s="929" t="s">
        <v>2801</v>
      </c>
      <c r="BV202" s="929" t="s">
        <v>2802</v>
      </c>
    </row>
    <row r="203" spans="54:74" ht="14.25" thickBot="1">
      <c r="BB203" s="971">
        <v>20851</v>
      </c>
      <c r="BC203" s="968" t="str">
        <f t="shared" si="3"/>
        <v>札幌市北区屯田一条</v>
      </c>
      <c r="BD203" s="968" t="s">
        <v>565</v>
      </c>
      <c r="BE203" s="969" t="s">
        <v>726</v>
      </c>
      <c r="BG203" s="1147"/>
      <c r="BH203" s="969">
        <v>204</v>
      </c>
      <c r="BI203" s="968" t="s">
        <v>1586</v>
      </c>
      <c r="BJ203" s="968" t="s">
        <v>2008</v>
      </c>
      <c r="BK203" s="968" t="s">
        <v>2009</v>
      </c>
      <c r="BL203" s="968" t="s">
        <v>1827</v>
      </c>
      <c r="BM203" s="996">
        <v>10034</v>
      </c>
      <c r="BN203" s="992" t="s">
        <v>2692</v>
      </c>
      <c r="BO203" s="992" t="s">
        <v>2693</v>
      </c>
      <c r="BQ203" s="928" t="s">
        <v>2803</v>
      </c>
      <c r="BR203" s="929" t="s">
        <v>2804</v>
      </c>
      <c r="BU203" s="929" t="s">
        <v>2807</v>
      </c>
      <c r="BV203" s="929" t="s">
        <v>2808</v>
      </c>
    </row>
    <row r="204" spans="54:74">
      <c r="BB204" s="971">
        <v>20852</v>
      </c>
      <c r="BC204" s="968" t="str">
        <f t="shared" si="3"/>
        <v>札幌市北区屯田二条</v>
      </c>
      <c r="BD204" s="968" t="s">
        <v>565</v>
      </c>
      <c r="BE204" s="969" t="s">
        <v>727</v>
      </c>
      <c r="BG204" s="1147"/>
      <c r="BH204" s="969">
        <v>205</v>
      </c>
      <c r="BI204" s="988" t="s">
        <v>1458</v>
      </c>
      <c r="BJ204" s="968" t="s">
        <v>1987</v>
      </c>
      <c r="BK204" s="968" t="s">
        <v>1988</v>
      </c>
      <c r="BL204" s="968" t="s">
        <v>1828</v>
      </c>
      <c r="BM204" s="996">
        <v>600809</v>
      </c>
      <c r="BN204" s="992" t="s">
        <v>2639</v>
      </c>
      <c r="BO204" s="992" t="s">
        <v>2640</v>
      </c>
      <c r="BQ204" s="1353" t="s">
        <v>2809</v>
      </c>
      <c r="BR204" s="930" t="s">
        <v>2810</v>
      </c>
      <c r="BS204" s="1355" t="s">
        <v>2812</v>
      </c>
      <c r="BT204" s="1355" t="s">
        <v>2813</v>
      </c>
      <c r="BU204" s="1355" t="s">
        <v>2647</v>
      </c>
      <c r="BV204" s="1355" t="s">
        <v>2814</v>
      </c>
    </row>
    <row r="205" spans="54:74" ht="14.25" thickBot="1">
      <c r="BB205" s="971">
        <v>20853</v>
      </c>
      <c r="BC205" s="968" t="str">
        <f t="shared" si="3"/>
        <v>札幌市北区屯田三条</v>
      </c>
      <c r="BD205" s="968" t="s">
        <v>565</v>
      </c>
      <c r="BE205" s="969" t="s">
        <v>728</v>
      </c>
      <c r="BQ205" s="1354"/>
      <c r="BR205" s="931" t="s">
        <v>2811</v>
      </c>
      <c r="BS205" s="1356"/>
      <c r="BT205" s="1356"/>
      <c r="BU205" s="1356"/>
      <c r="BV205" s="1356"/>
    </row>
    <row r="206" spans="54:74">
      <c r="BB206" s="971">
        <v>20854</v>
      </c>
      <c r="BC206" s="968" t="str">
        <f t="shared" si="3"/>
        <v>札幌市北区屯田四条</v>
      </c>
      <c r="BD206" s="968" t="s">
        <v>565</v>
      </c>
      <c r="BE206" s="969" t="s">
        <v>729</v>
      </c>
    </row>
    <row r="207" spans="54:74">
      <c r="BB207" s="971">
        <v>20855</v>
      </c>
      <c r="BC207" s="968" t="str">
        <f t="shared" si="3"/>
        <v>札幌市北区屯田五条</v>
      </c>
      <c r="BD207" s="968" t="s">
        <v>565</v>
      </c>
      <c r="BE207" s="969" t="s">
        <v>730</v>
      </c>
    </row>
    <row r="208" spans="54:74">
      <c r="BB208" s="971">
        <v>20856</v>
      </c>
      <c r="BC208" s="968" t="str">
        <f t="shared" si="3"/>
        <v>札幌市北区屯田六条</v>
      </c>
      <c r="BD208" s="968" t="s">
        <v>565</v>
      </c>
      <c r="BE208" s="969" t="s">
        <v>731</v>
      </c>
    </row>
    <row r="209" spans="54:57">
      <c r="BB209" s="971">
        <v>20857</v>
      </c>
      <c r="BC209" s="968" t="str">
        <f t="shared" si="3"/>
        <v>札幌市北区屯田七条</v>
      </c>
      <c r="BD209" s="968" t="s">
        <v>565</v>
      </c>
      <c r="BE209" s="969" t="s">
        <v>732</v>
      </c>
    </row>
    <row r="210" spans="54:57">
      <c r="BB210" s="971">
        <v>20858</v>
      </c>
      <c r="BC210" s="968" t="str">
        <f t="shared" si="3"/>
        <v>札幌市北区屯田八条</v>
      </c>
      <c r="BD210" s="968" t="s">
        <v>565</v>
      </c>
      <c r="BE210" s="969" t="s">
        <v>733</v>
      </c>
    </row>
    <row r="211" spans="54:57">
      <c r="BB211" s="971">
        <v>20859</v>
      </c>
      <c r="BC211" s="968" t="str">
        <f t="shared" si="3"/>
        <v>札幌市北区屯田九条</v>
      </c>
      <c r="BD211" s="968" t="s">
        <v>565</v>
      </c>
      <c r="BE211" s="969" t="s">
        <v>734</v>
      </c>
    </row>
    <row r="212" spans="54:57">
      <c r="BB212" s="971">
        <v>20860</v>
      </c>
      <c r="BC212" s="968" t="str">
        <f t="shared" si="3"/>
        <v>札幌市北区屯田十条</v>
      </c>
      <c r="BD212" s="968" t="s">
        <v>565</v>
      </c>
      <c r="BE212" s="969" t="s">
        <v>735</v>
      </c>
    </row>
    <row r="213" spans="54:57">
      <c r="BB213" s="971">
        <v>20861</v>
      </c>
      <c r="BC213" s="968" t="str">
        <f t="shared" si="3"/>
        <v>札幌市北区屯田十一条</v>
      </c>
      <c r="BD213" s="968" t="s">
        <v>565</v>
      </c>
      <c r="BE213" s="969" t="s">
        <v>736</v>
      </c>
    </row>
    <row r="214" spans="54:57">
      <c r="BB214" s="971">
        <v>20865</v>
      </c>
      <c r="BC214" s="968" t="str">
        <f t="shared" si="3"/>
        <v>札幌市北区屯田町</v>
      </c>
      <c r="BD214" s="968" t="s">
        <v>565</v>
      </c>
      <c r="BE214" s="969" t="s">
        <v>737</v>
      </c>
    </row>
    <row r="215" spans="54:57">
      <c r="BB215" s="971">
        <v>28038</v>
      </c>
      <c r="BC215" s="968" t="str">
        <f t="shared" si="3"/>
        <v>札幌市北区西茨戸</v>
      </c>
      <c r="BD215" s="968" t="s">
        <v>565</v>
      </c>
      <c r="BE215" s="969" t="s">
        <v>738</v>
      </c>
    </row>
    <row r="216" spans="54:57">
      <c r="BB216" s="971">
        <v>28031</v>
      </c>
      <c r="BC216" s="968" t="str">
        <f t="shared" si="3"/>
        <v>札幌市北区西茨戸一条</v>
      </c>
      <c r="BD216" s="968" t="s">
        <v>565</v>
      </c>
      <c r="BE216" s="969" t="s">
        <v>739</v>
      </c>
    </row>
    <row r="217" spans="54:57">
      <c r="BB217" s="971">
        <v>28032</v>
      </c>
      <c r="BC217" s="968" t="str">
        <f t="shared" si="3"/>
        <v>札幌市北区西茨戸二条</v>
      </c>
      <c r="BD217" s="968" t="s">
        <v>565</v>
      </c>
      <c r="BE217" s="969" t="s">
        <v>740</v>
      </c>
    </row>
    <row r="218" spans="54:57">
      <c r="BB218" s="971">
        <v>28033</v>
      </c>
      <c r="BC218" s="968" t="str">
        <f t="shared" si="3"/>
        <v>札幌市北区西茨戸三条</v>
      </c>
      <c r="BD218" s="968" t="s">
        <v>565</v>
      </c>
      <c r="BE218" s="969" t="s">
        <v>741</v>
      </c>
    </row>
    <row r="219" spans="54:57">
      <c r="BB219" s="971">
        <v>28034</v>
      </c>
      <c r="BC219" s="968" t="str">
        <f t="shared" si="3"/>
        <v>札幌市北区西茨戸四条</v>
      </c>
      <c r="BD219" s="968" t="s">
        <v>565</v>
      </c>
      <c r="BE219" s="969" t="s">
        <v>742</v>
      </c>
    </row>
    <row r="220" spans="54:57">
      <c r="BB220" s="971">
        <v>28035</v>
      </c>
      <c r="BC220" s="968" t="str">
        <f t="shared" si="3"/>
        <v>札幌市北区西茨戸五条</v>
      </c>
      <c r="BD220" s="968" t="s">
        <v>565</v>
      </c>
      <c r="BE220" s="969" t="s">
        <v>743</v>
      </c>
    </row>
    <row r="221" spans="54:57">
      <c r="BB221" s="971">
        <v>28036</v>
      </c>
      <c r="BC221" s="968" t="str">
        <f t="shared" si="3"/>
        <v>札幌市北区西茨戸六条</v>
      </c>
      <c r="BD221" s="968" t="s">
        <v>565</v>
      </c>
      <c r="BE221" s="969" t="s">
        <v>744</v>
      </c>
    </row>
    <row r="222" spans="54:57">
      <c r="BB222" s="971">
        <v>28037</v>
      </c>
      <c r="BC222" s="968" t="str">
        <f t="shared" si="3"/>
        <v>札幌市北区西茨戸七条</v>
      </c>
      <c r="BD222" s="968" t="s">
        <v>565</v>
      </c>
      <c r="BE222" s="969" t="s">
        <v>745</v>
      </c>
    </row>
    <row r="223" spans="54:57">
      <c r="BB223" s="971">
        <v>28043</v>
      </c>
      <c r="BC223" s="968" t="str">
        <f t="shared" si="3"/>
        <v>札幌市北区東茨戸</v>
      </c>
      <c r="BD223" s="968" t="s">
        <v>565</v>
      </c>
      <c r="BE223" s="969" t="s">
        <v>746</v>
      </c>
    </row>
    <row r="224" spans="54:57">
      <c r="BB224" s="971">
        <v>28041</v>
      </c>
      <c r="BC224" s="968" t="str">
        <f t="shared" si="3"/>
        <v>札幌市北区東茨戸一条</v>
      </c>
      <c r="BD224" s="968" t="s">
        <v>565</v>
      </c>
      <c r="BE224" s="969" t="s">
        <v>747</v>
      </c>
    </row>
    <row r="225" spans="54:57">
      <c r="BB225" s="971">
        <v>28042</v>
      </c>
      <c r="BC225" s="968" t="str">
        <f t="shared" si="3"/>
        <v>札幌市北区東茨戸二条</v>
      </c>
      <c r="BD225" s="968" t="s">
        <v>565</v>
      </c>
      <c r="BE225" s="969" t="s">
        <v>748</v>
      </c>
    </row>
    <row r="226" spans="54:57">
      <c r="BB226" s="971">
        <v>28044</v>
      </c>
      <c r="BC226" s="968" t="str">
        <f t="shared" si="3"/>
        <v>札幌市北区東茨戸三条</v>
      </c>
      <c r="BD226" s="968" t="s">
        <v>565</v>
      </c>
      <c r="BE226" s="969" t="s">
        <v>749</v>
      </c>
    </row>
    <row r="227" spans="54:57">
      <c r="BB227" s="971">
        <v>28045</v>
      </c>
      <c r="BC227" s="968" t="str">
        <f t="shared" si="3"/>
        <v>札幌市北区東茨戸四条</v>
      </c>
      <c r="BD227" s="968" t="s">
        <v>565</v>
      </c>
      <c r="BE227" s="969" t="s">
        <v>750</v>
      </c>
    </row>
    <row r="228" spans="54:57">
      <c r="BB228" s="971">
        <v>28091</v>
      </c>
      <c r="BC228" s="968" t="str">
        <f t="shared" si="3"/>
        <v>札幌市北区南あいの里</v>
      </c>
      <c r="BD228" s="968" t="s">
        <v>565</v>
      </c>
      <c r="BE228" s="969" t="s">
        <v>751</v>
      </c>
    </row>
    <row r="229" spans="54:57">
      <c r="BB229" s="971">
        <v>28081</v>
      </c>
      <c r="BC229" s="968" t="str">
        <f t="shared" si="3"/>
        <v>札幌市北区百合が原</v>
      </c>
      <c r="BD229" s="968" t="s">
        <v>565</v>
      </c>
      <c r="BE229" s="969" t="s">
        <v>752</v>
      </c>
    </row>
    <row r="230" spans="54:57">
      <c r="BB230" s="971">
        <v>28082</v>
      </c>
      <c r="BC230" s="968" t="str">
        <f t="shared" si="3"/>
        <v>札幌市北区百合が原公園</v>
      </c>
      <c r="BD230" s="968" t="s">
        <v>565</v>
      </c>
      <c r="BE230" s="969" t="s">
        <v>753</v>
      </c>
    </row>
    <row r="231" spans="54:57">
      <c r="BB231" s="971">
        <v>650000</v>
      </c>
      <c r="BC231" s="968" t="str">
        <f t="shared" si="3"/>
        <v>札幌市東区</v>
      </c>
      <c r="BD231" s="968" t="s">
        <v>566</v>
      </c>
    </row>
    <row r="232" spans="54:57">
      <c r="BB232" s="971">
        <v>70880</v>
      </c>
      <c r="BC232" s="968" t="str">
        <f t="shared" si="3"/>
        <v>札幌市東区丘珠町</v>
      </c>
      <c r="BD232" s="968" t="s">
        <v>566</v>
      </c>
      <c r="BE232" s="969" t="s">
        <v>754</v>
      </c>
    </row>
    <row r="233" spans="54:57">
      <c r="BB233" s="971">
        <v>70881</v>
      </c>
      <c r="BC233" s="968" t="str">
        <f t="shared" si="3"/>
        <v>札幌市東区北丘珠一条</v>
      </c>
      <c r="BD233" s="968" t="s">
        <v>566</v>
      </c>
      <c r="BE233" s="969" t="s">
        <v>755</v>
      </c>
    </row>
    <row r="234" spans="54:57">
      <c r="BB234" s="971">
        <v>70882</v>
      </c>
      <c r="BC234" s="968" t="str">
        <f t="shared" si="3"/>
        <v>札幌市東区北丘珠二条</v>
      </c>
      <c r="BD234" s="968" t="s">
        <v>566</v>
      </c>
      <c r="BE234" s="969" t="s">
        <v>756</v>
      </c>
    </row>
    <row r="235" spans="54:57">
      <c r="BB235" s="971">
        <v>70883</v>
      </c>
      <c r="BC235" s="968" t="str">
        <f t="shared" si="3"/>
        <v>札幌市東区北丘珠三条</v>
      </c>
      <c r="BD235" s="968" t="s">
        <v>566</v>
      </c>
      <c r="BE235" s="969" t="s">
        <v>757</v>
      </c>
    </row>
    <row r="236" spans="54:57">
      <c r="BB236" s="971">
        <v>70884</v>
      </c>
      <c r="BC236" s="968" t="str">
        <f t="shared" si="3"/>
        <v>札幌市東区北丘珠四条</v>
      </c>
      <c r="BD236" s="968" t="s">
        <v>566</v>
      </c>
      <c r="BE236" s="969" t="s">
        <v>758</v>
      </c>
    </row>
    <row r="237" spans="54:57">
      <c r="BB237" s="971">
        <v>70885</v>
      </c>
      <c r="BC237" s="968" t="str">
        <f t="shared" si="3"/>
        <v>札幌市東区北丘珠五条</v>
      </c>
      <c r="BD237" s="968" t="s">
        <v>566</v>
      </c>
      <c r="BE237" s="969" t="s">
        <v>759</v>
      </c>
    </row>
    <row r="238" spans="54:57">
      <c r="BB238" s="971">
        <v>70886</v>
      </c>
      <c r="BC238" s="968" t="str">
        <f t="shared" si="3"/>
        <v>札幌市東区北丘珠六条</v>
      </c>
      <c r="BD238" s="968" t="s">
        <v>566</v>
      </c>
      <c r="BE238" s="969" t="s">
        <v>760</v>
      </c>
    </row>
    <row r="239" spans="54:57">
      <c r="BB239" s="971">
        <v>650004</v>
      </c>
      <c r="BC239" s="968" t="str">
        <f t="shared" si="3"/>
        <v>札幌市東区北四条東</v>
      </c>
      <c r="BD239" s="968" t="s">
        <v>566</v>
      </c>
      <c r="BE239" s="969" t="s">
        <v>1318</v>
      </c>
    </row>
    <row r="240" spans="54:57">
      <c r="BB240" s="971">
        <v>600905</v>
      </c>
      <c r="BC240" s="968" t="str">
        <f t="shared" si="3"/>
        <v>札幌市東区北五条東</v>
      </c>
      <c r="BD240" s="968" t="s">
        <v>566</v>
      </c>
      <c r="BE240" s="969" t="s">
        <v>1317</v>
      </c>
    </row>
    <row r="241" spans="54:57">
      <c r="BB241" s="971">
        <v>650005</v>
      </c>
      <c r="BC241" s="968" t="str">
        <f t="shared" si="3"/>
        <v>札幌市東区北五条東</v>
      </c>
      <c r="BD241" s="968" t="s">
        <v>566</v>
      </c>
      <c r="BE241" s="969" t="s">
        <v>1317</v>
      </c>
    </row>
    <row r="242" spans="54:57">
      <c r="BB242" s="971">
        <v>600906</v>
      </c>
      <c r="BC242" s="968" t="str">
        <f t="shared" si="3"/>
        <v>札幌市東区北六条東</v>
      </c>
      <c r="BD242" s="968" t="s">
        <v>566</v>
      </c>
      <c r="BE242" s="969" t="s">
        <v>1316</v>
      </c>
    </row>
    <row r="243" spans="54:57">
      <c r="BB243" s="971">
        <v>650006</v>
      </c>
      <c r="BC243" s="968" t="str">
        <f t="shared" si="3"/>
        <v>札幌市東区北六条東</v>
      </c>
      <c r="BD243" s="968" t="s">
        <v>566</v>
      </c>
      <c r="BE243" s="969" t="s">
        <v>1315</v>
      </c>
    </row>
    <row r="244" spans="54:57">
      <c r="BB244" s="971">
        <v>600907</v>
      </c>
      <c r="BC244" s="968" t="str">
        <f t="shared" si="3"/>
        <v>札幌市東区北七条東</v>
      </c>
      <c r="BD244" s="968" t="s">
        <v>566</v>
      </c>
      <c r="BE244" s="969" t="s">
        <v>1314</v>
      </c>
    </row>
    <row r="245" spans="54:57">
      <c r="BB245" s="971">
        <v>650007</v>
      </c>
      <c r="BC245" s="968" t="str">
        <f t="shared" si="3"/>
        <v>札幌市東区北七条東</v>
      </c>
      <c r="BD245" s="968" t="s">
        <v>566</v>
      </c>
      <c r="BE245" s="969" t="s">
        <v>1314</v>
      </c>
    </row>
    <row r="246" spans="54:57">
      <c r="BB246" s="971">
        <v>600908</v>
      </c>
      <c r="BC246" s="968" t="str">
        <f t="shared" si="3"/>
        <v>札幌市東区北八条東</v>
      </c>
      <c r="BD246" s="968" t="s">
        <v>566</v>
      </c>
      <c r="BE246" s="969" t="s">
        <v>1313</v>
      </c>
    </row>
    <row r="247" spans="54:57">
      <c r="BB247" s="971">
        <v>650008</v>
      </c>
      <c r="BC247" s="968" t="str">
        <f t="shared" si="3"/>
        <v>札幌市東区北八条東</v>
      </c>
      <c r="BD247" s="968" t="s">
        <v>566</v>
      </c>
      <c r="BE247" s="969" t="s">
        <v>1312</v>
      </c>
    </row>
    <row r="248" spans="54:57">
      <c r="BB248" s="971">
        <v>600909</v>
      </c>
      <c r="BC248" s="968" t="str">
        <f t="shared" si="3"/>
        <v>札幌市東区北九条東</v>
      </c>
      <c r="BD248" s="968" t="s">
        <v>566</v>
      </c>
      <c r="BE248" s="969" t="s">
        <v>1311</v>
      </c>
    </row>
    <row r="249" spans="54:57">
      <c r="BB249" s="971">
        <v>650009</v>
      </c>
      <c r="BC249" s="968" t="str">
        <f t="shared" si="3"/>
        <v>札幌市東区北九条東</v>
      </c>
      <c r="BD249" s="968" t="s">
        <v>566</v>
      </c>
      <c r="BE249" s="969" t="s">
        <v>1311</v>
      </c>
    </row>
    <row r="250" spans="54:57">
      <c r="BB250" s="971">
        <v>650010</v>
      </c>
      <c r="BC250" s="968" t="str">
        <f t="shared" si="3"/>
        <v>札幌市東区北十条東</v>
      </c>
      <c r="BD250" s="968" t="s">
        <v>566</v>
      </c>
      <c r="BE250" s="969" t="s">
        <v>761</v>
      </c>
    </row>
    <row r="251" spans="54:57">
      <c r="BB251" s="971">
        <v>650011</v>
      </c>
      <c r="BC251" s="968" t="str">
        <f t="shared" si="3"/>
        <v>札幌市東区北十一条東</v>
      </c>
      <c r="BD251" s="968" t="s">
        <v>566</v>
      </c>
      <c r="BE251" s="969" t="s">
        <v>762</v>
      </c>
    </row>
    <row r="252" spans="54:57">
      <c r="BB252" s="971">
        <v>650012</v>
      </c>
      <c r="BC252" s="968" t="str">
        <f t="shared" si="3"/>
        <v>札幌市東区北十二条東</v>
      </c>
      <c r="BD252" s="968" t="s">
        <v>566</v>
      </c>
      <c r="BE252" s="969" t="s">
        <v>763</v>
      </c>
    </row>
    <row r="253" spans="54:57">
      <c r="BB253" s="971">
        <v>650013</v>
      </c>
      <c r="BC253" s="968" t="str">
        <f t="shared" si="3"/>
        <v>札幌市東区北十三条東</v>
      </c>
      <c r="BD253" s="968" t="s">
        <v>566</v>
      </c>
      <c r="BE253" s="969" t="s">
        <v>764</v>
      </c>
    </row>
    <row r="254" spans="54:57">
      <c r="BB254" s="971">
        <v>650014</v>
      </c>
      <c r="BC254" s="968" t="str">
        <f t="shared" si="3"/>
        <v>札幌市東区北十四条東</v>
      </c>
      <c r="BD254" s="968" t="s">
        <v>566</v>
      </c>
      <c r="BE254" s="969" t="s">
        <v>765</v>
      </c>
    </row>
    <row r="255" spans="54:57">
      <c r="BB255" s="971">
        <v>650015</v>
      </c>
      <c r="BC255" s="968" t="str">
        <f t="shared" ref="BC255:BC318" si="4">BD255&amp;BE255</f>
        <v>札幌市東区北十五条東</v>
      </c>
      <c r="BD255" s="968" t="s">
        <v>566</v>
      </c>
      <c r="BE255" s="969" t="s">
        <v>766</v>
      </c>
    </row>
    <row r="256" spans="54:57">
      <c r="BB256" s="971">
        <v>650016</v>
      </c>
      <c r="BC256" s="968" t="str">
        <f t="shared" si="4"/>
        <v>札幌市東区北十六条東</v>
      </c>
      <c r="BD256" s="968" t="s">
        <v>566</v>
      </c>
      <c r="BE256" s="969" t="s">
        <v>767</v>
      </c>
    </row>
    <row r="257" spans="54:57">
      <c r="BB257" s="971">
        <v>650017</v>
      </c>
      <c r="BC257" s="968" t="str">
        <f t="shared" si="4"/>
        <v>札幌市東区北十七条東</v>
      </c>
      <c r="BD257" s="968" t="s">
        <v>566</v>
      </c>
      <c r="BE257" s="969" t="s">
        <v>768</v>
      </c>
    </row>
    <row r="258" spans="54:57">
      <c r="BB258" s="971">
        <v>650018</v>
      </c>
      <c r="BC258" s="968" t="str">
        <f t="shared" si="4"/>
        <v>札幌市東区北十八条東</v>
      </c>
      <c r="BD258" s="968" t="s">
        <v>566</v>
      </c>
      <c r="BE258" s="969" t="s">
        <v>769</v>
      </c>
    </row>
    <row r="259" spans="54:57">
      <c r="BB259" s="971">
        <v>650019</v>
      </c>
      <c r="BC259" s="968" t="str">
        <f t="shared" si="4"/>
        <v>札幌市東区北十九条東</v>
      </c>
      <c r="BD259" s="968" t="s">
        <v>566</v>
      </c>
      <c r="BE259" s="969" t="s">
        <v>770</v>
      </c>
    </row>
    <row r="260" spans="54:57">
      <c r="BB260" s="971">
        <v>650020</v>
      </c>
      <c r="BC260" s="968" t="str">
        <f t="shared" si="4"/>
        <v>札幌市東区北二十条東</v>
      </c>
      <c r="BD260" s="968" t="s">
        <v>566</v>
      </c>
      <c r="BE260" s="969" t="s">
        <v>771</v>
      </c>
    </row>
    <row r="261" spans="54:57">
      <c r="BB261" s="971">
        <v>650021</v>
      </c>
      <c r="BC261" s="968" t="str">
        <f t="shared" si="4"/>
        <v>札幌市東区北二十一条東</v>
      </c>
      <c r="BD261" s="968" t="s">
        <v>566</v>
      </c>
      <c r="BE261" s="969" t="s">
        <v>772</v>
      </c>
    </row>
    <row r="262" spans="54:57">
      <c r="BB262" s="971">
        <v>650022</v>
      </c>
      <c r="BC262" s="968" t="str">
        <f t="shared" si="4"/>
        <v>札幌市東区北二十二条東</v>
      </c>
      <c r="BD262" s="968" t="s">
        <v>566</v>
      </c>
      <c r="BE262" s="969" t="s">
        <v>773</v>
      </c>
    </row>
    <row r="263" spans="54:57">
      <c r="BB263" s="971">
        <v>650023</v>
      </c>
      <c r="BC263" s="968" t="str">
        <f t="shared" si="4"/>
        <v>札幌市東区北二十三条東</v>
      </c>
      <c r="BD263" s="968" t="s">
        <v>566</v>
      </c>
      <c r="BE263" s="969" t="s">
        <v>774</v>
      </c>
    </row>
    <row r="264" spans="54:57">
      <c r="BB264" s="971">
        <v>650024</v>
      </c>
      <c r="BC264" s="968" t="str">
        <f t="shared" si="4"/>
        <v>札幌市東区北二十四条東</v>
      </c>
      <c r="BD264" s="968" t="s">
        <v>566</v>
      </c>
      <c r="BE264" s="969" t="s">
        <v>775</v>
      </c>
    </row>
    <row r="265" spans="54:57">
      <c r="BB265" s="971">
        <v>650025</v>
      </c>
      <c r="BC265" s="968" t="str">
        <f t="shared" si="4"/>
        <v>札幌市東区北二十五条東</v>
      </c>
      <c r="BD265" s="968" t="s">
        <v>566</v>
      </c>
      <c r="BE265" s="969" t="s">
        <v>776</v>
      </c>
    </row>
    <row r="266" spans="54:57">
      <c r="BB266" s="971">
        <v>650026</v>
      </c>
      <c r="BC266" s="968" t="str">
        <f t="shared" si="4"/>
        <v>札幌市東区北二十六条東</v>
      </c>
      <c r="BD266" s="968" t="s">
        <v>566</v>
      </c>
      <c r="BE266" s="969" t="s">
        <v>777</v>
      </c>
    </row>
    <row r="267" spans="54:57">
      <c r="BB267" s="971">
        <v>650027</v>
      </c>
      <c r="BC267" s="968" t="str">
        <f t="shared" si="4"/>
        <v>札幌市東区北二十七条東</v>
      </c>
      <c r="BD267" s="968" t="s">
        <v>566</v>
      </c>
      <c r="BE267" s="969" t="s">
        <v>778</v>
      </c>
    </row>
    <row r="268" spans="54:57">
      <c r="BB268" s="971">
        <v>650028</v>
      </c>
      <c r="BC268" s="968" t="str">
        <f t="shared" si="4"/>
        <v>札幌市東区北二十八条東</v>
      </c>
      <c r="BD268" s="968" t="s">
        <v>566</v>
      </c>
      <c r="BE268" s="969" t="s">
        <v>779</v>
      </c>
    </row>
    <row r="269" spans="54:57">
      <c r="BB269" s="971">
        <v>650030</v>
      </c>
      <c r="BC269" s="968" t="str">
        <f t="shared" si="4"/>
        <v>札幌市東区北三十条東</v>
      </c>
      <c r="BD269" s="968" t="s">
        <v>566</v>
      </c>
      <c r="BE269" s="969" t="s">
        <v>780</v>
      </c>
    </row>
    <row r="270" spans="54:57">
      <c r="BB270" s="971">
        <v>650031</v>
      </c>
      <c r="BC270" s="968" t="str">
        <f t="shared" si="4"/>
        <v>札幌市東区北三十一条東</v>
      </c>
      <c r="BD270" s="968" t="s">
        <v>566</v>
      </c>
      <c r="BE270" s="969" t="s">
        <v>781</v>
      </c>
    </row>
    <row r="271" spans="54:57">
      <c r="BB271" s="971">
        <v>650032</v>
      </c>
      <c r="BC271" s="968" t="str">
        <f t="shared" si="4"/>
        <v>札幌市東区北三十二条東</v>
      </c>
      <c r="BD271" s="968" t="s">
        <v>566</v>
      </c>
      <c r="BE271" s="969" t="s">
        <v>782</v>
      </c>
    </row>
    <row r="272" spans="54:57">
      <c r="BB272" s="971">
        <v>650033</v>
      </c>
      <c r="BC272" s="968" t="str">
        <f t="shared" si="4"/>
        <v>札幌市東区北三十三条東</v>
      </c>
      <c r="BD272" s="968" t="s">
        <v>566</v>
      </c>
      <c r="BE272" s="969" t="s">
        <v>783</v>
      </c>
    </row>
    <row r="273" spans="54:57">
      <c r="BB273" s="971">
        <v>70834</v>
      </c>
      <c r="BC273" s="968" t="str">
        <f t="shared" si="4"/>
        <v>札幌市東区北三十四条東</v>
      </c>
      <c r="BD273" s="968" t="s">
        <v>566</v>
      </c>
      <c r="BE273" s="969" t="s">
        <v>784</v>
      </c>
    </row>
    <row r="274" spans="54:57">
      <c r="BB274" s="971">
        <v>70835</v>
      </c>
      <c r="BC274" s="968" t="str">
        <f t="shared" si="4"/>
        <v>札幌市東区北三十五条東</v>
      </c>
      <c r="BD274" s="968" t="s">
        <v>566</v>
      </c>
      <c r="BE274" s="969" t="s">
        <v>785</v>
      </c>
    </row>
    <row r="275" spans="54:57">
      <c r="BB275" s="971">
        <v>70836</v>
      </c>
      <c r="BC275" s="968" t="str">
        <f t="shared" si="4"/>
        <v>札幌市東区北三十六条東</v>
      </c>
      <c r="BD275" s="968" t="s">
        <v>566</v>
      </c>
      <c r="BE275" s="969" t="s">
        <v>786</v>
      </c>
    </row>
    <row r="276" spans="54:57">
      <c r="BB276" s="971">
        <v>70837</v>
      </c>
      <c r="BC276" s="968" t="str">
        <f t="shared" si="4"/>
        <v>札幌市東区北三十七条東</v>
      </c>
      <c r="BD276" s="968" t="s">
        <v>566</v>
      </c>
      <c r="BE276" s="969" t="s">
        <v>787</v>
      </c>
    </row>
    <row r="277" spans="54:57">
      <c r="BB277" s="971">
        <v>70838</v>
      </c>
      <c r="BC277" s="968" t="str">
        <f t="shared" si="4"/>
        <v>札幌市東区北三十八条東</v>
      </c>
      <c r="BD277" s="968" t="s">
        <v>566</v>
      </c>
      <c r="BE277" s="969" t="s">
        <v>788</v>
      </c>
    </row>
    <row r="278" spans="54:57">
      <c r="BB278" s="971">
        <v>70839</v>
      </c>
      <c r="BC278" s="968" t="str">
        <f t="shared" si="4"/>
        <v>札幌市東区北三十九条東</v>
      </c>
      <c r="BD278" s="968" t="s">
        <v>566</v>
      </c>
      <c r="BE278" s="969" t="s">
        <v>789</v>
      </c>
    </row>
    <row r="279" spans="54:57">
      <c r="BB279" s="971">
        <v>70840</v>
      </c>
      <c r="BC279" s="968" t="str">
        <f t="shared" si="4"/>
        <v>札幌市東区北四十条東</v>
      </c>
      <c r="BD279" s="968" t="s">
        <v>566</v>
      </c>
      <c r="BE279" s="969" t="s">
        <v>790</v>
      </c>
    </row>
    <row r="280" spans="54:57">
      <c r="BB280" s="971">
        <v>70841</v>
      </c>
      <c r="BC280" s="968" t="str">
        <f t="shared" si="4"/>
        <v>札幌市東区北四十一条東</v>
      </c>
      <c r="BD280" s="968" t="s">
        <v>566</v>
      </c>
      <c r="BE280" s="969" t="s">
        <v>791</v>
      </c>
    </row>
    <row r="281" spans="54:57">
      <c r="BB281" s="971">
        <v>70842</v>
      </c>
      <c r="BC281" s="968" t="str">
        <f t="shared" si="4"/>
        <v>札幌市東区北四十二条東</v>
      </c>
      <c r="BD281" s="968" t="s">
        <v>566</v>
      </c>
      <c r="BE281" s="969" t="s">
        <v>792</v>
      </c>
    </row>
    <row r="282" spans="54:57">
      <c r="BB282" s="971">
        <v>70843</v>
      </c>
      <c r="BC282" s="968" t="str">
        <f t="shared" si="4"/>
        <v>札幌市東区北四十三条東</v>
      </c>
      <c r="BD282" s="968" t="s">
        <v>566</v>
      </c>
      <c r="BE282" s="969" t="s">
        <v>793</v>
      </c>
    </row>
    <row r="283" spans="54:57">
      <c r="BB283" s="971">
        <v>70844</v>
      </c>
      <c r="BC283" s="968" t="str">
        <f t="shared" si="4"/>
        <v>札幌市東区北四十四条東</v>
      </c>
      <c r="BD283" s="968" t="s">
        <v>566</v>
      </c>
      <c r="BE283" s="969" t="s">
        <v>794</v>
      </c>
    </row>
    <row r="284" spans="54:57">
      <c r="BB284" s="971">
        <v>70845</v>
      </c>
      <c r="BC284" s="968" t="str">
        <f t="shared" si="4"/>
        <v>札幌市東区北四十五条東</v>
      </c>
      <c r="BD284" s="968" t="s">
        <v>566</v>
      </c>
      <c r="BE284" s="969" t="s">
        <v>795</v>
      </c>
    </row>
    <row r="285" spans="54:57">
      <c r="BB285" s="971">
        <v>70846</v>
      </c>
      <c r="BC285" s="968" t="str">
        <f t="shared" si="4"/>
        <v>札幌市東区北四十六条東</v>
      </c>
      <c r="BD285" s="968" t="s">
        <v>566</v>
      </c>
      <c r="BE285" s="969" t="s">
        <v>796</v>
      </c>
    </row>
    <row r="286" spans="54:57">
      <c r="BB286" s="971">
        <v>70847</v>
      </c>
      <c r="BC286" s="968" t="str">
        <f t="shared" si="4"/>
        <v>札幌市東区北四十七条東</v>
      </c>
      <c r="BD286" s="968" t="s">
        <v>566</v>
      </c>
      <c r="BE286" s="969" t="s">
        <v>797</v>
      </c>
    </row>
    <row r="287" spans="54:57">
      <c r="BB287" s="971">
        <v>70848</v>
      </c>
      <c r="BC287" s="968" t="str">
        <f t="shared" si="4"/>
        <v>札幌市東区北四十八条東</v>
      </c>
      <c r="BD287" s="968" t="s">
        <v>566</v>
      </c>
      <c r="BE287" s="969" t="s">
        <v>798</v>
      </c>
    </row>
    <row r="288" spans="54:57">
      <c r="BB288" s="971">
        <v>70849</v>
      </c>
      <c r="BC288" s="968" t="str">
        <f t="shared" si="4"/>
        <v>札幌市東区北四十九条東</v>
      </c>
      <c r="BD288" s="968" t="s">
        <v>566</v>
      </c>
      <c r="BE288" s="969" t="s">
        <v>799</v>
      </c>
    </row>
    <row r="289" spans="54:57">
      <c r="BB289" s="971">
        <v>70850</v>
      </c>
      <c r="BC289" s="968" t="str">
        <f t="shared" si="4"/>
        <v>札幌市東区北五十条東</v>
      </c>
      <c r="BD289" s="968" t="s">
        <v>566</v>
      </c>
      <c r="BE289" s="969" t="s">
        <v>800</v>
      </c>
    </row>
    <row r="290" spans="54:57">
      <c r="BB290" s="971">
        <v>70851</v>
      </c>
      <c r="BC290" s="968" t="str">
        <f t="shared" si="4"/>
        <v>札幌市東区北五十一条東</v>
      </c>
      <c r="BD290" s="968" t="s">
        <v>566</v>
      </c>
      <c r="BE290" s="969" t="s">
        <v>801</v>
      </c>
    </row>
    <row r="291" spans="54:57">
      <c r="BB291" s="971">
        <v>70852</v>
      </c>
      <c r="BC291" s="968" t="str">
        <f t="shared" si="4"/>
        <v>札幌市東区栄町</v>
      </c>
      <c r="BD291" s="968" t="s">
        <v>566</v>
      </c>
      <c r="BE291" s="969" t="s">
        <v>802</v>
      </c>
    </row>
    <row r="292" spans="54:57">
      <c r="BB292" s="971">
        <v>650043</v>
      </c>
      <c r="BC292" s="968" t="str">
        <f t="shared" si="4"/>
        <v>札幌市東区苗穂町</v>
      </c>
      <c r="BD292" s="968" t="s">
        <v>566</v>
      </c>
      <c r="BE292" s="969" t="s">
        <v>803</v>
      </c>
    </row>
    <row r="293" spans="54:57">
      <c r="BB293" s="971">
        <v>70001</v>
      </c>
      <c r="BC293" s="968" t="str">
        <f t="shared" si="4"/>
        <v>札幌市東区中沼一条</v>
      </c>
      <c r="BD293" s="968" t="s">
        <v>566</v>
      </c>
      <c r="BE293" s="969" t="s">
        <v>804</v>
      </c>
    </row>
    <row r="294" spans="54:57">
      <c r="BB294" s="971">
        <v>70002</v>
      </c>
      <c r="BC294" s="968" t="str">
        <f t="shared" si="4"/>
        <v>札幌市東区中沼二条</v>
      </c>
      <c r="BD294" s="968" t="s">
        <v>566</v>
      </c>
      <c r="BE294" s="969" t="s">
        <v>805</v>
      </c>
    </row>
    <row r="295" spans="54:57">
      <c r="BB295" s="971">
        <v>70003</v>
      </c>
      <c r="BC295" s="968" t="str">
        <f t="shared" si="4"/>
        <v>札幌市東区中沼三条</v>
      </c>
      <c r="BD295" s="968" t="s">
        <v>566</v>
      </c>
      <c r="BE295" s="969" t="s">
        <v>806</v>
      </c>
    </row>
    <row r="296" spans="54:57">
      <c r="BB296" s="971">
        <v>70004</v>
      </c>
      <c r="BC296" s="968" t="str">
        <f t="shared" si="4"/>
        <v>札幌市東区中沼四条</v>
      </c>
      <c r="BD296" s="968" t="s">
        <v>566</v>
      </c>
      <c r="BE296" s="969" t="s">
        <v>807</v>
      </c>
    </row>
    <row r="297" spans="54:57">
      <c r="BB297" s="971">
        <v>70005</v>
      </c>
      <c r="BC297" s="968" t="str">
        <f t="shared" si="4"/>
        <v>札幌市東区中沼五条</v>
      </c>
      <c r="BD297" s="968" t="s">
        <v>566</v>
      </c>
      <c r="BE297" s="969" t="s">
        <v>808</v>
      </c>
    </row>
    <row r="298" spans="54:57">
      <c r="BB298" s="971">
        <v>70006</v>
      </c>
      <c r="BC298" s="968" t="str">
        <f t="shared" si="4"/>
        <v>札幌市東区中沼六条</v>
      </c>
      <c r="BD298" s="968" t="s">
        <v>566</v>
      </c>
      <c r="BE298" s="969" t="s">
        <v>809</v>
      </c>
    </row>
    <row r="299" spans="54:57">
      <c r="BB299" s="971">
        <v>70890</v>
      </c>
      <c r="BC299" s="968" t="str">
        <f t="shared" si="4"/>
        <v>札幌市東区中沼町</v>
      </c>
      <c r="BD299" s="968" t="s">
        <v>566</v>
      </c>
      <c r="BE299" s="969" t="s">
        <v>810</v>
      </c>
    </row>
    <row r="300" spans="54:57">
      <c r="BB300" s="971">
        <v>70891</v>
      </c>
      <c r="BC300" s="968" t="str">
        <f t="shared" si="4"/>
        <v>札幌市東区中沼西一条</v>
      </c>
      <c r="BD300" s="968" t="s">
        <v>566</v>
      </c>
      <c r="BE300" s="969" t="s">
        <v>811</v>
      </c>
    </row>
    <row r="301" spans="54:57">
      <c r="BB301" s="971">
        <v>70892</v>
      </c>
      <c r="BC301" s="968" t="str">
        <f t="shared" si="4"/>
        <v>札幌市東区中沼西二条</v>
      </c>
      <c r="BD301" s="968" t="s">
        <v>566</v>
      </c>
      <c r="BE301" s="969" t="s">
        <v>812</v>
      </c>
    </row>
    <row r="302" spans="54:57">
      <c r="BB302" s="971">
        <v>70893</v>
      </c>
      <c r="BC302" s="968" t="str">
        <f t="shared" si="4"/>
        <v>札幌市東区中沼西三条</v>
      </c>
      <c r="BD302" s="968" t="s">
        <v>566</v>
      </c>
      <c r="BE302" s="969" t="s">
        <v>813</v>
      </c>
    </row>
    <row r="303" spans="54:57">
      <c r="BB303" s="971">
        <v>70894</v>
      </c>
      <c r="BC303" s="968" t="str">
        <f t="shared" si="4"/>
        <v>札幌市東区中沼西四条</v>
      </c>
      <c r="BD303" s="968" t="s">
        <v>566</v>
      </c>
      <c r="BE303" s="969" t="s">
        <v>814</v>
      </c>
    </row>
    <row r="304" spans="54:57">
      <c r="BB304" s="971">
        <v>70895</v>
      </c>
      <c r="BC304" s="968" t="str">
        <f t="shared" si="4"/>
        <v>札幌市東区中沼西五条</v>
      </c>
      <c r="BD304" s="968" t="s">
        <v>566</v>
      </c>
      <c r="BE304" s="969" t="s">
        <v>815</v>
      </c>
    </row>
    <row r="305" spans="54:57">
      <c r="BB305" s="971">
        <v>70821</v>
      </c>
      <c r="BC305" s="968" t="str">
        <f t="shared" si="4"/>
        <v>札幌市東区東雁来一条</v>
      </c>
      <c r="BD305" s="968" t="s">
        <v>566</v>
      </c>
      <c r="BE305" s="969" t="s">
        <v>816</v>
      </c>
    </row>
    <row r="306" spans="54:57">
      <c r="BB306" s="971">
        <v>70822</v>
      </c>
      <c r="BC306" s="968" t="str">
        <f t="shared" si="4"/>
        <v>札幌市東区東雁来二条</v>
      </c>
      <c r="BD306" s="968" t="s">
        <v>566</v>
      </c>
      <c r="BE306" s="969" t="s">
        <v>817</v>
      </c>
    </row>
    <row r="307" spans="54:57">
      <c r="BB307" s="971">
        <v>70823</v>
      </c>
      <c r="BC307" s="968" t="str">
        <f t="shared" si="4"/>
        <v>札幌市東区東雁来三条</v>
      </c>
      <c r="BD307" s="968" t="s">
        <v>566</v>
      </c>
      <c r="BE307" s="969" t="s">
        <v>818</v>
      </c>
    </row>
    <row r="308" spans="54:57">
      <c r="BB308" s="971">
        <v>70824</v>
      </c>
      <c r="BC308" s="968" t="str">
        <f t="shared" si="4"/>
        <v>札幌市東区東雁来四条</v>
      </c>
      <c r="BD308" s="968" t="s">
        <v>566</v>
      </c>
      <c r="BE308" s="969" t="s">
        <v>819</v>
      </c>
    </row>
    <row r="309" spans="54:57">
      <c r="BB309" s="971">
        <v>70825</v>
      </c>
      <c r="BC309" s="968" t="str">
        <f t="shared" si="4"/>
        <v>札幌市東区東雁来五条</v>
      </c>
      <c r="BD309" s="968" t="s">
        <v>566</v>
      </c>
      <c r="BE309" s="969" t="s">
        <v>820</v>
      </c>
    </row>
    <row r="310" spans="54:57">
      <c r="BB310" s="971">
        <v>70826</v>
      </c>
      <c r="BC310" s="968" t="str">
        <f t="shared" si="4"/>
        <v>札幌市東区東雁来六条</v>
      </c>
      <c r="BD310" s="968" t="s">
        <v>566</v>
      </c>
      <c r="BE310" s="969" t="s">
        <v>821</v>
      </c>
    </row>
    <row r="311" spans="54:57">
      <c r="BB311" s="971">
        <v>70827</v>
      </c>
      <c r="BC311" s="968" t="str">
        <f t="shared" si="4"/>
        <v>札幌市東区東雁来七条</v>
      </c>
      <c r="BD311" s="968" t="s">
        <v>566</v>
      </c>
      <c r="BE311" s="969" t="s">
        <v>822</v>
      </c>
    </row>
    <row r="312" spans="54:57">
      <c r="BB312" s="971">
        <v>70828</v>
      </c>
      <c r="BC312" s="968" t="str">
        <f t="shared" si="4"/>
        <v>札幌市東区東雁来八条</v>
      </c>
      <c r="BD312" s="968" t="s">
        <v>566</v>
      </c>
      <c r="BE312" s="969" t="s">
        <v>823</v>
      </c>
    </row>
    <row r="313" spans="54:57">
      <c r="BB313" s="971">
        <v>70829</v>
      </c>
      <c r="BC313" s="968" t="str">
        <f t="shared" si="4"/>
        <v>札幌市東区東雁来九条</v>
      </c>
      <c r="BD313" s="968" t="s">
        <v>566</v>
      </c>
      <c r="BE313" s="969" t="s">
        <v>824</v>
      </c>
    </row>
    <row r="314" spans="54:57">
      <c r="BB314" s="971">
        <v>70030</v>
      </c>
      <c r="BC314" s="968" t="str">
        <f t="shared" si="4"/>
        <v>札幌市東区東雁来十条</v>
      </c>
      <c r="BD314" s="968" t="s">
        <v>566</v>
      </c>
      <c r="BE314" s="969" t="s">
        <v>825</v>
      </c>
    </row>
    <row r="315" spans="54:57">
      <c r="BB315" s="971">
        <v>70031</v>
      </c>
      <c r="BC315" s="968" t="str">
        <f t="shared" si="4"/>
        <v>札幌市東区東雁来十一条</v>
      </c>
      <c r="BD315" s="968" t="s">
        <v>566</v>
      </c>
      <c r="BE315" s="969" t="s">
        <v>826</v>
      </c>
    </row>
    <row r="316" spans="54:57">
      <c r="BB316" s="971">
        <v>70032</v>
      </c>
      <c r="BC316" s="968" t="str">
        <f t="shared" si="4"/>
        <v>札幌市東区東雁来十二条</v>
      </c>
      <c r="BD316" s="968" t="s">
        <v>566</v>
      </c>
      <c r="BE316" s="969" t="s">
        <v>827</v>
      </c>
    </row>
    <row r="317" spans="54:57">
      <c r="BB317" s="971">
        <v>70033</v>
      </c>
      <c r="BC317" s="968" t="str">
        <f t="shared" si="4"/>
        <v>札幌市東区東雁来十三条</v>
      </c>
      <c r="BD317" s="968" t="s">
        <v>566</v>
      </c>
      <c r="BE317" s="969" t="s">
        <v>828</v>
      </c>
    </row>
    <row r="318" spans="54:57">
      <c r="BB318" s="971">
        <v>70034</v>
      </c>
      <c r="BC318" s="968" t="str">
        <f t="shared" si="4"/>
        <v>札幌市東区東雁来十四条</v>
      </c>
      <c r="BD318" s="968" t="s">
        <v>566</v>
      </c>
      <c r="BE318" s="969" t="s">
        <v>829</v>
      </c>
    </row>
    <row r="319" spans="54:57">
      <c r="BB319" s="971">
        <v>70820</v>
      </c>
      <c r="BC319" s="968" t="str">
        <f t="shared" ref="BC319:BC382" si="5">BD319&amp;BE319</f>
        <v>札幌市東区東雁来町</v>
      </c>
      <c r="BD319" s="968" t="s">
        <v>566</v>
      </c>
      <c r="BE319" s="969" t="s">
        <v>830</v>
      </c>
    </row>
    <row r="320" spans="54:57">
      <c r="BB320" s="971">
        <v>70801</v>
      </c>
      <c r="BC320" s="968" t="str">
        <f t="shared" si="5"/>
        <v>札幌市東区東苗穂一条</v>
      </c>
      <c r="BD320" s="968" t="s">
        <v>566</v>
      </c>
      <c r="BE320" s="969" t="s">
        <v>831</v>
      </c>
    </row>
    <row r="321" spans="54:57">
      <c r="BB321" s="971">
        <v>70802</v>
      </c>
      <c r="BC321" s="968" t="str">
        <f t="shared" si="5"/>
        <v>札幌市東区東苗穂二条</v>
      </c>
      <c r="BD321" s="968" t="s">
        <v>566</v>
      </c>
      <c r="BE321" s="969" t="s">
        <v>832</v>
      </c>
    </row>
    <row r="322" spans="54:57">
      <c r="BB322" s="971">
        <v>70803</v>
      </c>
      <c r="BC322" s="968" t="str">
        <f t="shared" si="5"/>
        <v>札幌市東区東苗穂三条</v>
      </c>
      <c r="BD322" s="968" t="s">
        <v>566</v>
      </c>
      <c r="BE322" s="969" t="s">
        <v>833</v>
      </c>
    </row>
    <row r="323" spans="54:57">
      <c r="BB323" s="971">
        <v>70804</v>
      </c>
      <c r="BC323" s="968" t="str">
        <f t="shared" si="5"/>
        <v>札幌市東区東苗穂四条</v>
      </c>
      <c r="BD323" s="968" t="s">
        <v>566</v>
      </c>
      <c r="BE323" s="969" t="s">
        <v>834</v>
      </c>
    </row>
    <row r="324" spans="54:57">
      <c r="BB324" s="971">
        <v>70805</v>
      </c>
      <c r="BC324" s="968" t="str">
        <f t="shared" si="5"/>
        <v>札幌市東区東苗穂五条</v>
      </c>
      <c r="BD324" s="968" t="s">
        <v>566</v>
      </c>
      <c r="BE324" s="969" t="s">
        <v>835</v>
      </c>
    </row>
    <row r="325" spans="54:57">
      <c r="BB325" s="971">
        <v>70806</v>
      </c>
      <c r="BC325" s="968" t="str">
        <f t="shared" si="5"/>
        <v>札幌市東区東苗穂六条</v>
      </c>
      <c r="BD325" s="968" t="s">
        <v>566</v>
      </c>
      <c r="BE325" s="969" t="s">
        <v>836</v>
      </c>
    </row>
    <row r="326" spans="54:57">
      <c r="BB326" s="971">
        <v>70807</v>
      </c>
      <c r="BC326" s="968" t="str">
        <f t="shared" si="5"/>
        <v>札幌市東区東苗穂七条</v>
      </c>
      <c r="BD326" s="968" t="s">
        <v>566</v>
      </c>
      <c r="BE326" s="969" t="s">
        <v>837</v>
      </c>
    </row>
    <row r="327" spans="54:57">
      <c r="BB327" s="971">
        <v>70808</v>
      </c>
      <c r="BC327" s="968" t="str">
        <f t="shared" si="5"/>
        <v>札幌市東区東苗穂八条</v>
      </c>
      <c r="BD327" s="968" t="s">
        <v>566</v>
      </c>
      <c r="BE327" s="969" t="s">
        <v>838</v>
      </c>
    </row>
    <row r="328" spans="54:57">
      <c r="BB328" s="971">
        <v>70809</v>
      </c>
      <c r="BC328" s="968" t="str">
        <f t="shared" si="5"/>
        <v>札幌市東区東苗穂九条</v>
      </c>
      <c r="BD328" s="968" t="s">
        <v>566</v>
      </c>
      <c r="BE328" s="969" t="s">
        <v>839</v>
      </c>
    </row>
    <row r="329" spans="54:57">
      <c r="BB329" s="971">
        <v>70810</v>
      </c>
      <c r="BC329" s="968" t="str">
        <f t="shared" si="5"/>
        <v>札幌市東区東苗穂十条</v>
      </c>
      <c r="BD329" s="968" t="s">
        <v>566</v>
      </c>
      <c r="BE329" s="969" t="s">
        <v>840</v>
      </c>
    </row>
    <row r="330" spans="54:57">
      <c r="BB330" s="971">
        <v>70811</v>
      </c>
      <c r="BC330" s="968" t="str">
        <f t="shared" si="5"/>
        <v>札幌市東区東苗穂十一条</v>
      </c>
      <c r="BD330" s="968" t="s">
        <v>566</v>
      </c>
      <c r="BE330" s="969" t="s">
        <v>841</v>
      </c>
    </row>
    <row r="331" spans="54:57">
      <c r="BB331" s="971">
        <v>70812</v>
      </c>
      <c r="BC331" s="968" t="str">
        <f t="shared" si="5"/>
        <v>札幌市東区東苗穂十二条</v>
      </c>
      <c r="BD331" s="968" t="s">
        <v>566</v>
      </c>
      <c r="BE331" s="969" t="s">
        <v>842</v>
      </c>
    </row>
    <row r="332" spans="54:57">
      <c r="BB332" s="971">
        <v>70813</v>
      </c>
      <c r="BC332" s="968" t="str">
        <f t="shared" si="5"/>
        <v>札幌市東区東苗穂十三条</v>
      </c>
      <c r="BD332" s="968" t="s">
        <v>566</v>
      </c>
      <c r="BE332" s="969" t="s">
        <v>843</v>
      </c>
    </row>
    <row r="333" spans="54:57">
      <c r="BB333" s="971">
        <v>70814</v>
      </c>
      <c r="BC333" s="968" t="str">
        <f t="shared" si="5"/>
        <v>札幌市東区東苗穂十四条</v>
      </c>
      <c r="BD333" s="968" t="s">
        <v>566</v>
      </c>
      <c r="BE333" s="969" t="s">
        <v>844</v>
      </c>
    </row>
    <row r="334" spans="54:57">
      <c r="BB334" s="971">
        <v>70815</v>
      </c>
      <c r="BC334" s="968" t="str">
        <f t="shared" si="5"/>
        <v>札幌市東区東苗穂十五条</v>
      </c>
      <c r="BD334" s="968" t="s">
        <v>566</v>
      </c>
      <c r="BE334" s="969" t="s">
        <v>845</v>
      </c>
    </row>
    <row r="335" spans="54:57">
      <c r="BB335" s="971">
        <v>70819</v>
      </c>
      <c r="BC335" s="968" t="str">
        <f t="shared" si="5"/>
        <v>札幌市東区東苗穂町</v>
      </c>
      <c r="BD335" s="968" t="s">
        <v>566</v>
      </c>
      <c r="BE335" s="969" t="s">
        <v>846</v>
      </c>
    </row>
    <row r="336" spans="54:57">
      <c r="BB336" s="971">
        <v>70861</v>
      </c>
      <c r="BC336" s="968" t="str">
        <f t="shared" si="5"/>
        <v>札幌市東区伏古一条</v>
      </c>
      <c r="BD336" s="968" t="s">
        <v>566</v>
      </c>
      <c r="BE336" s="969" t="s">
        <v>847</v>
      </c>
    </row>
    <row r="337" spans="54:57">
      <c r="BB337" s="971">
        <v>70862</v>
      </c>
      <c r="BC337" s="968" t="str">
        <f t="shared" si="5"/>
        <v>札幌市東区伏古二条</v>
      </c>
      <c r="BD337" s="968" t="s">
        <v>566</v>
      </c>
      <c r="BE337" s="969" t="s">
        <v>848</v>
      </c>
    </row>
    <row r="338" spans="54:57">
      <c r="BB338" s="971">
        <v>70863</v>
      </c>
      <c r="BC338" s="968" t="str">
        <f t="shared" si="5"/>
        <v>札幌市東区伏古三条</v>
      </c>
      <c r="BD338" s="968" t="s">
        <v>566</v>
      </c>
      <c r="BE338" s="969" t="s">
        <v>849</v>
      </c>
    </row>
    <row r="339" spans="54:57">
      <c r="BB339" s="971">
        <v>70864</v>
      </c>
      <c r="BC339" s="968" t="str">
        <f t="shared" si="5"/>
        <v>札幌市東区伏古四条</v>
      </c>
      <c r="BD339" s="968" t="s">
        <v>566</v>
      </c>
      <c r="BE339" s="969" t="s">
        <v>850</v>
      </c>
    </row>
    <row r="340" spans="54:57">
      <c r="BB340" s="971">
        <v>70865</v>
      </c>
      <c r="BC340" s="968" t="str">
        <f t="shared" si="5"/>
        <v>札幌市東区伏古五条</v>
      </c>
      <c r="BD340" s="968" t="s">
        <v>566</v>
      </c>
      <c r="BE340" s="969" t="s">
        <v>851</v>
      </c>
    </row>
    <row r="341" spans="54:57">
      <c r="BB341" s="971">
        <v>70866</v>
      </c>
      <c r="BC341" s="968" t="str">
        <f t="shared" si="5"/>
        <v>札幌市東区伏古六条</v>
      </c>
      <c r="BD341" s="968" t="s">
        <v>566</v>
      </c>
      <c r="BE341" s="969" t="s">
        <v>852</v>
      </c>
    </row>
    <row r="342" spans="54:57">
      <c r="BB342" s="971">
        <v>70867</v>
      </c>
      <c r="BC342" s="968" t="str">
        <f t="shared" si="5"/>
        <v>札幌市東区伏古七条</v>
      </c>
      <c r="BD342" s="968" t="s">
        <v>566</v>
      </c>
      <c r="BE342" s="969" t="s">
        <v>853</v>
      </c>
    </row>
    <row r="343" spans="54:57">
      <c r="BB343" s="971">
        <v>70868</v>
      </c>
      <c r="BC343" s="968" t="str">
        <f t="shared" si="5"/>
        <v>札幌市東区伏古八条</v>
      </c>
      <c r="BD343" s="968" t="s">
        <v>566</v>
      </c>
      <c r="BE343" s="969" t="s">
        <v>854</v>
      </c>
    </row>
    <row r="344" spans="54:57">
      <c r="BB344" s="971">
        <v>70869</v>
      </c>
      <c r="BC344" s="968" t="str">
        <f t="shared" si="5"/>
        <v>札幌市東区伏古九条</v>
      </c>
      <c r="BD344" s="968" t="s">
        <v>566</v>
      </c>
      <c r="BE344" s="969" t="s">
        <v>855</v>
      </c>
    </row>
    <row r="345" spans="54:57">
      <c r="BB345" s="971">
        <v>70870</v>
      </c>
      <c r="BC345" s="968" t="str">
        <f t="shared" si="5"/>
        <v>札幌市東区伏古十条</v>
      </c>
      <c r="BD345" s="968" t="s">
        <v>566</v>
      </c>
      <c r="BE345" s="969" t="s">
        <v>856</v>
      </c>
    </row>
    <row r="346" spans="54:57">
      <c r="BB346" s="971">
        <v>70871</v>
      </c>
      <c r="BC346" s="968" t="str">
        <f t="shared" si="5"/>
        <v>札幌市東区伏古十一条</v>
      </c>
      <c r="BD346" s="968" t="s">
        <v>566</v>
      </c>
      <c r="BE346" s="969" t="s">
        <v>857</v>
      </c>
    </row>
    <row r="347" spans="54:57">
      <c r="BB347" s="971">
        <v>70872</v>
      </c>
      <c r="BC347" s="968" t="str">
        <f t="shared" si="5"/>
        <v>札幌市東区伏古十二条</v>
      </c>
      <c r="BD347" s="968" t="s">
        <v>566</v>
      </c>
      <c r="BE347" s="969" t="s">
        <v>858</v>
      </c>
    </row>
    <row r="348" spans="54:57">
      <c r="BB348" s="971">
        <v>70873</v>
      </c>
      <c r="BC348" s="968" t="str">
        <f t="shared" si="5"/>
        <v>札幌市東区伏古十三条</v>
      </c>
      <c r="BD348" s="968" t="s">
        <v>566</v>
      </c>
      <c r="BE348" s="969" t="s">
        <v>859</v>
      </c>
    </row>
    <row r="349" spans="54:57">
      <c r="BB349" s="971">
        <v>70874</v>
      </c>
      <c r="BC349" s="968" t="str">
        <f t="shared" si="5"/>
        <v>札幌市東区伏古十四条</v>
      </c>
      <c r="BD349" s="968" t="s">
        <v>566</v>
      </c>
      <c r="BE349" s="969" t="s">
        <v>860</v>
      </c>
    </row>
    <row r="350" spans="54:57">
      <c r="BB350" s="971">
        <v>650041</v>
      </c>
      <c r="BC350" s="968" t="str">
        <f t="shared" si="5"/>
        <v>札幌市東区本町一条</v>
      </c>
      <c r="BD350" s="968" t="s">
        <v>566</v>
      </c>
      <c r="BE350" s="969" t="s">
        <v>861</v>
      </c>
    </row>
    <row r="351" spans="54:57">
      <c r="BB351" s="971">
        <v>650042</v>
      </c>
      <c r="BC351" s="968" t="str">
        <f t="shared" si="5"/>
        <v>札幌市東区本町二条</v>
      </c>
      <c r="BD351" s="968" t="s">
        <v>566</v>
      </c>
      <c r="BE351" s="969" t="s">
        <v>862</v>
      </c>
    </row>
    <row r="352" spans="54:57">
      <c r="BB352" s="971">
        <v>70011</v>
      </c>
      <c r="BC352" s="968" t="str">
        <f t="shared" si="5"/>
        <v>札幌市東区モエレ沼公園</v>
      </c>
      <c r="BD352" s="968" t="s">
        <v>566</v>
      </c>
      <c r="BE352" s="969" t="s">
        <v>863</v>
      </c>
    </row>
    <row r="353" spans="54:57">
      <c r="BB353" s="971">
        <v>30000</v>
      </c>
      <c r="BC353" s="968" t="str">
        <f t="shared" si="5"/>
        <v>札幌市白石区</v>
      </c>
      <c r="BD353" s="968" t="s">
        <v>567</v>
      </c>
    </row>
    <row r="354" spans="54:57">
      <c r="BB354" s="971">
        <v>30851</v>
      </c>
      <c r="BC354" s="968" t="str">
        <f t="shared" si="5"/>
        <v>札幌市白石区川北一条</v>
      </c>
      <c r="BD354" s="968" t="s">
        <v>567</v>
      </c>
      <c r="BE354" s="969" t="s">
        <v>864</v>
      </c>
    </row>
    <row r="355" spans="54:57">
      <c r="BB355" s="971">
        <v>30852</v>
      </c>
      <c r="BC355" s="968" t="str">
        <f t="shared" si="5"/>
        <v>札幌市白石区川北二条</v>
      </c>
      <c r="BD355" s="968" t="s">
        <v>567</v>
      </c>
      <c r="BE355" s="969" t="s">
        <v>865</v>
      </c>
    </row>
    <row r="356" spans="54:57">
      <c r="BB356" s="971">
        <v>30853</v>
      </c>
      <c r="BC356" s="968" t="str">
        <f t="shared" si="5"/>
        <v>札幌市白石区川北三条</v>
      </c>
      <c r="BD356" s="968" t="s">
        <v>567</v>
      </c>
      <c r="BE356" s="969" t="s">
        <v>866</v>
      </c>
    </row>
    <row r="357" spans="54:57">
      <c r="BB357" s="971">
        <v>30854</v>
      </c>
      <c r="BC357" s="968" t="str">
        <f t="shared" si="5"/>
        <v>札幌市白石区川北四条</v>
      </c>
      <c r="BD357" s="968" t="s">
        <v>567</v>
      </c>
      <c r="BE357" s="969" t="s">
        <v>867</v>
      </c>
    </row>
    <row r="358" spans="54:57">
      <c r="BB358" s="971">
        <v>30855</v>
      </c>
      <c r="BC358" s="968" t="str">
        <f t="shared" si="5"/>
        <v>札幌市白石区川北五条</v>
      </c>
      <c r="BD358" s="968" t="s">
        <v>567</v>
      </c>
      <c r="BE358" s="969" t="s">
        <v>868</v>
      </c>
    </row>
    <row r="359" spans="54:57">
      <c r="BB359" s="971">
        <v>30869</v>
      </c>
      <c r="BC359" s="968" t="str">
        <f t="shared" si="5"/>
        <v>札幌市白石区川下</v>
      </c>
      <c r="BD359" s="968" t="s">
        <v>567</v>
      </c>
      <c r="BE359" s="969" t="s">
        <v>869</v>
      </c>
    </row>
    <row r="360" spans="54:57">
      <c r="BB360" s="971">
        <v>30861</v>
      </c>
      <c r="BC360" s="968" t="str">
        <f t="shared" si="5"/>
        <v>札幌市白石区川下一条</v>
      </c>
      <c r="BD360" s="968" t="s">
        <v>567</v>
      </c>
      <c r="BE360" s="969" t="s">
        <v>870</v>
      </c>
    </row>
    <row r="361" spans="54:57">
      <c r="BB361" s="971">
        <v>30862</v>
      </c>
      <c r="BC361" s="968" t="str">
        <f t="shared" si="5"/>
        <v>札幌市白石区川下二条</v>
      </c>
      <c r="BD361" s="968" t="s">
        <v>567</v>
      </c>
      <c r="BE361" s="969" t="s">
        <v>871</v>
      </c>
    </row>
    <row r="362" spans="54:57">
      <c r="BB362" s="971">
        <v>30863</v>
      </c>
      <c r="BC362" s="968" t="str">
        <f t="shared" si="5"/>
        <v>札幌市白石区川下三条</v>
      </c>
      <c r="BD362" s="968" t="s">
        <v>567</v>
      </c>
      <c r="BE362" s="969" t="s">
        <v>872</v>
      </c>
    </row>
    <row r="363" spans="54:57">
      <c r="BB363" s="971">
        <v>30864</v>
      </c>
      <c r="BC363" s="968" t="str">
        <f t="shared" si="5"/>
        <v>札幌市白石区川下四条</v>
      </c>
      <c r="BD363" s="968" t="s">
        <v>567</v>
      </c>
      <c r="BE363" s="969" t="s">
        <v>873</v>
      </c>
    </row>
    <row r="364" spans="54:57">
      <c r="BB364" s="971">
        <v>30865</v>
      </c>
      <c r="BC364" s="968" t="str">
        <f t="shared" si="5"/>
        <v>札幌市白石区川下五条</v>
      </c>
      <c r="BD364" s="968" t="s">
        <v>567</v>
      </c>
      <c r="BE364" s="969" t="s">
        <v>874</v>
      </c>
    </row>
    <row r="365" spans="54:57">
      <c r="BB365" s="971">
        <v>30859</v>
      </c>
      <c r="BC365" s="968" t="str">
        <f t="shared" si="5"/>
        <v>札幌市白石区川北</v>
      </c>
      <c r="BD365" s="968" t="s">
        <v>567</v>
      </c>
      <c r="BE365" s="969" t="s">
        <v>875</v>
      </c>
    </row>
    <row r="366" spans="54:57">
      <c r="BB366" s="971">
        <v>30801</v>
      </c>
      <c r="BC366" s="968" t="str">
        <f t="shared" si="5"/>
        <v>札幌市白石区菊水一条</v>
      </c>
      <c r="BD366" s="968" t="s">
        <v>567</v>
      </c>
      <c r="BE366" s="969" t="s">
        <v>876</v>
      </c>
    </row>
    <row r="367" spans="54:57">
      <c r="BB367" s="971">
        <v>30802</v>
      </c>
      <c r="BC367" s="968" t="str">
        <f t="shared" si="5"/>
        <v>札幌市白石区菊水二条</v>
      </c>
      <c r="BD367" s="968" t="s">
        <v>567</v>
      </c>
      <c r="BE367" s="969" t="s">
        <v>877</v>
      </c>
    </row>
    <row r="368" spans="54:57">
      <c r="BB368" s="971">
        <v>30803</v>
      </c>
      <c r="BC368" s="968" t="str">
        <f t="shared" si="5"/>
        <v>札幌市白石区菊水三条</v>
      </c>
      <c r="BD368" s="968" t="s">
        <v>567</v>
      </c>
      <c r="BE368" s="969" t="s">
        <v>878</v>
      </c>
    </row>
    <row r="369" spans="54:57">
      <c r="BB369" s="971">
        <v>30804</v>
      </c>
      <c r="BC369" s="968" t="str">
        <f t="shared" si="5"/>
        <v>札幌市白石区菊水四条</v>
      </c>
      <c r="BD369" s="968" t="s">
        <v>567</v>
      </c>
      <c r="BE369" s="969" t="s">
        <v>879</v>
      </c>
    </row>
    <row r="370" spans="54:57">
      <c r="BB370" s="971">
        <v>30805</v>
      </c>
      <c r="BC370" s="968" t="str">
        <f t="shared" si="5"/>
        <v>札幌市白石区菊水五条</v>
      </c>
      <c r="BD370" s="968" t="s">
        <v>567</v>
      </c>
      <c r="BE370" s="969" t="s">
        <v>880</v>
      </c>
    </row>
    <row r="371" spans="54:57">
      <c r="BB371" s="971">
        <v>30806</v>
      </c>
      <c r="BC371" s="968" t="str">
        <f t="shared" si="5"/>
        <v>札幌市白石区菊水六条</v>
      </c>
      <c r="BD371" s="968" t="s">
        <v>567</v>
      </c>
      <c r="BE371" s="969" t="s">
        <v>881</v>
      </c>
    </row>
    <row r="372" spans="54:57">
      <c r="BB372" s="971">
        <v>30807</v>
      </c>
      <c r="BC372" s="968" t="str">
        <f t="shared" si="5"/>
        <v>札幌市白石区菊水七条</v>
      </c>
      <c r="BD372" s="968" t="s">
        <v>567</v>
      </c>
      <c r="BE372" s="969" t="s">
        <v>882</v>
      </c>
    </row>
    <row r="373" spans="54:57">
      <c r="BB373" s="971">
        <v>30808</v>
      </c>
      <c r="BC373" s="968" t="str">
        <f t="shared" si="5"/>
        <v>札幌市白石区菊水八条</v>
      </c>
      <c r="BD373" s="968" t="s">
        <v>567</v>
      </c>
      <c r="BE373" s="969" t="s">
        <v>883</v>
      </c>
    </row>
    <row r="374" spans="54:57">
      <c r="BB374" s="971">
        <v>30809</v>
      </c>
      <c r="BC374" s="968" t="str">
        <f t="shared" si="5"/>
        <v>札幌市白石区菊水九条</v>
      </c>
      <c r="BD374" s="968" t="s">
        <v>567</v>
      </c>
      <c r="BE374" s="969" t="s">
        <v>884</v>
      </c>
    </row>
    <row r="375" spans="54:57">
      <c r="BB375" s="971">
        <v>30811</v>
      </c>
      <c r="BC375" s="968" t="str">
        <f t="shared" si="5"/>
        <v>札幌市白石区菊水上町一条</v>
      </c>
      <c r="BD375" s="968" t="s">
        <v>567</v>
      </c>
      <c r="BE375" s="969" t="s">
        <v>885</v>
      </c>
    </row>
    <row r="376" spans="54:57">
      <c r="BB376" s="971">
        <v>30812</v>
      </c>
      <c r="BC376" s="968" t="str">
        <f t="shared" si="5"/>
        <v>札幌市白石区菊水上町二条</v>
      </c>
      <c r="BD376" s="968" t="s">
        <v>567</v>
      </c>
      <c r="BE376" s="969" t="s">
        <v>886</v>
      </c>
    </row>
    <row r="377" spans="54:57">
      <c r="BB377" s="971">
        <v>30813</v>
      </c>
      <c r="BC377" s="968" t="str">
        <f t="shared" si="5"/>
        <v>札幌市白石区菊水上町三条</v>
      </c>
      <c r="BD377" s="968" t="s">
        <v>567</v>
      </c>
      <c r="BE377" s="969" t="s">
        <v>887</v>
      </c>
    </row>
    <row r="378" spans="54:57">
      <c r="BB378" s="971">
        <v>30814</v>
      </c>
      <c r="BC378" s="968" t="str">
        <f t="shared" si="5"/>
        <v>札幌市白石区菊水上町四条</v>
      </c>
      <c r="BD378" s="968" t="s">
        <v>567</v>
      </c>
      <c r="BE378" s="969" t="s">
        <v>888</v>
      </c>
    </row>
    <row r="379" spans="54:57">
      <c r="BB379" s="971">
        <v>30821</v>
      </c>
      <c r="BC379" s="968" t="str">
        <f t="shared" si="5"/>
        <v>札幌市白石区菊水元町一条</v>
      </c>
      <c r="BD379" s="968" t="s">
        <v>567</v>
      </c>
      <c r="BE379" s="969" t="s">
        <v>889</v>
      </c>
    </row>
    <row r="380" spans="54:57">
      <c r="BB380" s="971">
        <v>30822</v>
      </c>
      <c r="BC380" s="968" t="str">
        <f t="shared" si="5"/>
        <v>札幌市白石区菊水元町二条</v>
      </c>
      <c r="BD380" s="968" t="s">
        <v>567</v>
      </c>
      <c r="BE380" s="969" t="s">
        <v>890</v>
      </c>
    </row>
    <row r="381" spans="54:57">
      <c r="BB381" s="971">
        <v>30823</v>
      </c>
      <c r="BC381" s="968" t="str">
        <f t="shared" si="5"/>
        <v>札幌市白石区菊水元町三条</v>
      </c>
      <c r="BD381" s="968" t="s">
        <v>567</v>
      </c>
      <c r="BE381" s="969" t="s">
        <v>891</v>
      </c>
    </row>
    <row r="382" spans="54:57">
      <c r="BB382" s="971">
        <v>30824</v>
      </c>
      <c r="BC382" s="968" t="str">
        <f t="shared" si="5"/>
        <v>札幌市白石区菊水元町四条</v>
      </c>
      <c r="BD382" s="968" t="s">
        <v>567</v>
      </c>
      <c r="BE382" s="969" t="s">
        <v>892</v>
      </c>
    </row>
    <row r="383" spans="54:57">
      <c r="BB383" s="971">
        <v>30825</v>
      </c>
      <c r="BC383" s="968" t="str">
        <f t="shared" ref="BC383:BC446" si="6">BD383&amp;BE383</f>
        <v>札幌市白石区菊水元町五条</v>
      </c>
      <c r="BD383" s="968" t="s">
        <v>567</v>
      </c>
      <c r="BE383" s="969" t="s">
        <v>893</v>
      </c>
    </row>
    <row r="384" spans="54:57">
      <c r="BB384" s="971">
        <v>30826</v>
      </c>
      <c r="BC384" s="968" t="str">
        <f t="shared" si="6"/>
        <v>札幌市白石区菊水元町六条</v>
      </c>
      <c r="BD384" s="968" t="s">
        <v>567</v>
      </c>
      <c r="BE384" s="969" t="s">
        <v>894</v>
      </c>
    </row>
    <row r="385" spans="54:57">
      <c r="BB385" s="971">
        <v>30827</v>
      </c>
      <c r="BC385" s="968" t="str">
        <f t="shared" si="6"/>
        <v>札幌市白石区菊水元町七条</v>
      </c>
      <c r="BD385" s="968" t="s">
        <v>567</v>
      </c>
      <c r="BE385" s="969" t="s">
        <v>895</v>
      </c>
    </row>
    <row r="386" spans="54:57">
      <c r="BB386" s="971">
        <v>30828</v>
      </c>
      <c r="BC386" s="968" t="str">
        <f t="shared" si="6"/>
        <v>札幌市白石区菊水元町八条</v>
      </c>
      <c r="BD386" s="968" t="s">
        <v>567</v>
      </c>
      <c r="BE386" s="969" t="s">
        <v>896</v>
      </c>
    </row>
    <row r="387" spans="54:57">
      <c r="BB387" s="971">
        <v>30829</v>
      </c>
      <c r="BC387" s="968" t="str">
        <f t="shared" si="6"/>
        <v>札幌市白石区菊水元町九条</v>
      </c>
      <c r="BD387" s="968" t="s">
        <v>567</v>
      </c>
      <c r="BE387" s="969" t="s">
        <v>897</v>
      </c>
    </row>
    <row r="388" spans="54:57">
      <c r="BB388" s="971">
        <v>30830</v>
      </c>
      <c r="BC388" s="968" t="str">
        <f t="shared" si="6"/>
        <v>札幌市白石区菊水元町十条</v>
      </c>
      <c r="BD388" s="968" t="s">
        <v>567</v>
      </c>
      <c r="BE388" s="969" t="s">
        <v>898</v>
      </c>
    </row>
    <row r="389" spans="54:57">
      <c r="BB389" s="971">
        <v>30849</v>
      </c>
      <c r="BC389" s="968" t="str">
        <f t="shared" si="6"/>
        <v>札幌市白石区北郷</v>
      </c>
      <c r="BD389" s="968" t="s">
        <v>567</v>
      </c>
      <c r="BE389" s="969" t="s">
        <v>899</v>
      </c>
    </row>
    <row r="390" spans="54:57">
      <c r="BB390" s="971">
        <v>30831</v>
      </c>
      <c r="BC390" s="968" t="str">
        <f t="shared" si="6"/>
        <v>札幌市白石区北郷一条</v>
      </c>
      <c r="BD390" s="968" t="s">
        <v>567</v>
      </c>
      <c r="BE390" s="969" t="s">
        <v>900</v>
      </c>
    </row>
    <row r="391" spans="54:57">
      <c r="BB391" s="971">
        <v>30832</v>
      </c>
      <c r="BC391" s="968" t="str">
        <f t="shared" si="6"/>
        <v>札幌市白石区北郷二条</v>
      </c>
      <c r="BD391" s="968" t="s">
        <v>567</v>
      </c>
      <c r="BE391" s="969" t="s">
        <v>901</v>
      </c>
    </row>
    <row r="392" spans="54:57">
      <c r="BB392" s="971">
        <v>30833</v>
      </c>
      <c r="BC392" s="968" t="str">
        <f t="shared" si="6"/>
        <v>札幌市白石区北郷三条</v>
      </c>
      <c r="BD392" s="968" t="s">
        <v>567</v>
      </c>
      <c r="BE392" s="969" t="s">
        <v>902</v>
      </c>
    </row>
    <row r="393" spans="54:57">
      <c r="BB393" s="971">
        <v>30834</v>
      </c>
      <c r="BC393" s="968" t="str">
        <f t="shared" si="6"/>
        <v>札幌市白石区北郷四条</v>
      </c>
      <c r="BD393" s="968" t="s">
        <v>567</v>
      </c>
      <c r="BE393" s="969" t="s">
        <v>903</v>
      </c>
    </row>
    <row r="394" spans="54:57">
      <c r="BB394" s="971">
        <v>30835</v>
      </c>
      <c r="BC394" s="968" t="str">
        <f t="shared" si="6"/>
        <v>札幌市白石区北郷五条</v>
      </c>
      <c r="BD394" s="968" t="s">
        <v>567</v>
      </c>
      <c r="BE394" s="969" t="s">
        <v>904</v>
      </c>
    </row>
    <row r="395" spans="54:57">
      <c r="BB395" s="971">
        <v>30836</v>
      </c>
      <c r="BC395" s="968" t="str">
        <f t="shared" si="6"/>
        <v>札幌市白石区北郷六条</v>
      </c>
      <c r="BD395" s="968" t="s">
        <v>567</v>
      </c>
      <c r="BE395" s="969" t="s">
        <v>905</v>
      </c>
    </row>
    <row r="396" spans="54:57">
      <c r="BB396" s="971">
        <v>30837</v>
      </c>
      <c r="BC396" s="968" t="str">
        <f t="shared" si="6"/>
        <v>札幌市白石区北郷七条</v>
      </c>
      <c r="BD396" s="968" t="s">
        <v>567</v>
      </c>
      <c r="BE396" s="969" t="s">
        <v>906</v>
      </c>
    </row>
    <row r="397" spans="54:57">
      <c r="BB397" s="971">
        <v>30838</v>
      </c>
      <c r="BC397" s="968" t="str">
        <f t="shared" si="6"/>
        <v>札幌市白石区北郷八条</v>
      </c>
      <c r="BD397" s="968" t="s">
        <v>567</v>
      </c>
      <c r="BE397" s="969" t="s">
        <v>907</v>
      </c>
    </row>
    <row r="398" spans="54:57">
      <c r="BB398" s="971">
        <v>30839</v>
      </c>
      <c r="BC398" s="968" t="str">
        <f t="shared" si="6"/>
        <v>札幌市白石区北郷九条</v>
      </c>
      <c r="BD398" s="968" t="s">
        <v>567</v>
      </c>
      <c r="BE398" s="969" t="s">
        <v>908</v>
      </c>
    </row>
    <row r="399" spans="54:57">
      <c r="BB399" s="971">
        <v>30840</v>
      </c>
      <c r="BC399" s="968" t="str">
        <f t="shared" si="6"/>
        <v>札幌市白石区北郷十条</v>
      </c>
      <c r="BD399" s="968" t="s">
        <v>567</v>
      </c>
      <c r="BE399" s="969" t="s">
        <v>909</v>
      </c>
    </row>
    <row r="400" spans="54:57">
      <c r="BB400" s="971">
        <v>30021</v>
      </c>
      <c r="BC400" s="968" t="str">
        <f t="shared" si="6"/>
        <v>札幌市白石区栄通</v>
      </c>
      <c r="BD400" s="968" t="s">
        <v>567</v>
      </c>
      <c r="BE400" s="969" t="s">
        <v>910</v>
      </c>
    </row>
    <row r="401" spans="54:57">
      <c r="BB401" s="971">
        <v>30011</v>
      </c>
      <c r="BC401" s="968" t="str">
        <f t="shared" si="6"/>
        <v>札幌市白石区中央一条</v>
      </c>
      <c r="BD401" s="968" t="s">
        <v>567</v>
      </c>
      <c r="BE401" s="969" t="s">
        <v>911</v>
      </c>
    </row>
    <row r="402" spans="54:57">
      <c r="BB402" s="971">
        <v>30012</v>
      </c>
      <c r="BC402" s="968" t="str">
        <f t="shared" si="6"/>
        <v>札幌市白石区中央二条</v>
      </c>
      <c r="BD402" s="968" t="s">
        <v>567</v>
      </c>
      <c r="BE402" s="969" t="s">
        <v>912</v>
      </c>
    </row>
    <row r="403" spans="54:57">
      <c r="BB403" s="971">
        <v>30013</v>
      </c>
      <c r="BC403" s="968" t="str">
        <f t="shared" si="6"/>
        <v>札幌市白石区中央三条</v>
      </c>
      <c r="BD403" s="968" t="s">
        <v>567</v>
      </c>
      <c r="BE403" s="969" t="s">
        <v>913</v>
      </c>
    </row>
    <row r="404" spans="54:57">
      <c r="BB404" s="971">
        <v>30022</v>
      </c>
      <c r="BC404" s="968" t="str">
        <f t="shared" si="6"/>
        <v>札幌市白石区南郷通</v>
      </c>
      <c r="BD404" s="968" t="s">
        <v>567</v>
      </c>
      <c r="BE404" s="969" t="s">
        <v>2290</v>
      </c>
    </row>
    <row r="405" spans="54:57">
      <c r="BB405" s="971">
        <v>30023</v>
      </c>
      <c r="BC405" s="968" t="str">
        <f t="shared" si="6"/>
        <v>札幌市白石区南郷通</v>
      </c>
      <c r="BD405" s="968" t="s">
        <v>567</v>
      </c>
      <c r="BE405" s="969" t="s">
        <v>2291</v>
      </c>
    </row>
    <row r="406" spans="54:57">
      <c r="BB406" s="971">
        <v>30001</v>
      </c>
      <c r="BC406" s="968" t="str">
        <f t="shared" si="6"/>
        <v>札幌市白石区東札幌一条</v>
      </c>
      <c r="BD406" s="968" t="s">
        <v>567</v>
      </c>
      <c r="BE406" s="969" t="s">
        <v>914</v>
      </c>
    </row>
    <row r="407" spans="54:57">
      <c r="BB407" s="971">
        <v>30002</v>
      </c>
      <c r="BC407" s="968" t="str">
        <f t="shared" si="6"/>
        <v>札幌市白石区東札幌二条</v>
      </c>
      <c r="BD407" s="968" t="s">
        <v>567</v>
      </c>
      <c r="BE407" s="969" t="s">
        <v>915</v>
      </c>
    </row>
    <row r="408" spans="54:57">
      <c r="BB408" s="971">
        <v>30003</v>
      </c>
      <c r="BC408" s="968" t="str">
        <f t="shared" si="6"/>
        <v>札幌市白石区東札幌三条</v>
      </c>
      <c r="BD408" s="968" t="s">
        <v>567</v>
      </c>
      <c r="BE408" s="969" t="s">
        <v>916</v>
      </c>
    </row>
    <row r="409" spans="54:57">
      <c r="BB409" s="971">
        <v>30004</v>
      </c>
      <c r="BC409" s="968" t="str">
        <f t="shared" si="6"/>
        <v>札幌市白石区東札幌四条</v>
      </c>
      <c r="BD409" s="968" t="s">
        <v>567</v>
      </c>
      <c r="BE409" s="969" t="s">
        <v>917</v>
      </c>
    </row>
    <row r="410" spans="54:57">
      <c r="BB410" s="971">
        <v>30005</v>
      </c>
      <c r="BC410" s="968" t="str">
        <f t="shared" si="6"/>
        <v>札幌市白石区東札幌五条</v>
      </c>
      <c r="BD410" s="968" t="s">
        <v>567</v>
      </c>
      <c r="BE410" s="969" t="s">
        <v>918</v>
      </c>
    </row>
    <row r="411" spans="54:57">
      <c r="BB411" s="971">
        <v>30006</v>
      </c>
      <c r="BC411" s="968" t="str">
        <f t="shared" si="6"/>
        <v>札幌市白石区東札幌六条</v>
      </c>
      <c r="BD411" s="968" t="s">
        <v>567</v>
      </c>
      <c r="BE411" s="969" t="s">
        <v>919</v>
      </c>
    </row>
    <row r="412" spans="54:57">
      <c r="BB412" s="971">
        <v>30876</v>
      </c>
      <c r="BC412" s="968" t="str">
        <f t="shared" si="6"/>
        <v>札幌市白石区東米里</v>
      </c>
      <c r="BD412" s="968" t="s">
        <v>567</v>
      </c>
      <c r="BE412" s="969" t="s">
        <v>920</v>
      </c>
    </row>
    <row r="413" spans="54:57">
      <c r="BB413" s="971">
        <v>30028</v>
      </c>
      <c r="BC413" s="968" t="str">
        <f t="shared" si="6"/>
        <v>札幌市白石区平和通</v>
      </c>
      <c r="BD413" s="968" t="s">
        <v>567</v>
      </c>
      <c r="BE413" s="969" t="s">
        <v>2292</v>
      </c>
    </row>
    <row r="414" spans="54:57">
      <c r="BB414" s="971">
        <v>30029</v>
      </c>
      <c r="BC414" s="968" t="str">
        <f t="shared" si="6"/>
        <v>札幌市白石区平和通</v>
      </c>
      <c r="BD414" s="968" t="s">
        <v>567</v>
      </c>
      <c r="BE414" s="969" t="s">
        <v>2293</v>
      </c>
    </row>
    <row r="415" spans="54:57">
      <c r="BB415" s="971">
        <v>30024</v>
      </c>
      <c r="BC415" s="968" t="str">
        <f t="shared" si="6"/>
        <v>札幌市白石区本郷通</v>
      </c>
      <c r="BD415" s="968" t="s">
        <v>567</v>
      </c>
      <c r="BE415" s="969" t="s">
        <v>2294</v>
      </c>
    </row>
    <row r="416" spans="54:57">
      <c r="BB416" s="971">
        <v>30025</v>
      </c>
      <c r="BC416" s="968" t="str">
        <f t="shared" si="6"/>
        <v>札幌市白石区本郷通</v>
      </c>
      <c r="BD416" s="968" t="s">
        <v>567</v>
      </c>
      <c r="BE416" s="969" t="s">
        <v>2295</v>
      </c>
    </row>
    <row r="417" spans="54:57">
      <c r="BB417" s="971">
        <v>30026</v>
      </c>
      <c r="BC417" s="968" t="str">
        <f t="shared" si="6"/>
        <v>札幌市白石区本通</v>
      </c>
      <c r="BD417" s="968" t="s">
        <v>567</v>
      </c>
      <c r="BE417" s="969" t="s">
        <v>2296</v>
      </c>
    </row>
    <row r="418" spans="54:57">
      <c r="BB418" s="971">
        <v>30027</v>
      </c>
      <c r="BC418" s="968" t="str">
        <f t="shared" si="6"/>
        <v>札幌市白石区本通</v>
      </c>
      <c r="BD418" s="968" t="s">
        <v>567</v>
      </c>
      <c r="BE418" s="969" t="s">
        <v>2297</v>
      </c>
    </row>
    <row r="419" spans="54:57">
      <c r="BB419" s="971">
        <v>30871</v>
      </c>
      <c r="BC419" s="968" t="str">
        <f t="shared" si="6"/>
        <v>札幌市白石区米里一条</v>
      </c>
      <c r="BD419" s="968" t="s">
        <v>567</v>
      </c>
      <c r="BE419" s="969" t="s">
        <v>921</v>
      </c>
    </row>
    <row r="420" spans="54:57">
      <c r="BB420" s="971">
        <v>30872</v>
      </c>
      <c r="BC420" s="968" t="str">
        <f t="shared" si="6"/>
        <v>札幌市白石区米里二条</v>
      </c>
      <c r="BD420" s="968" t="s">
        <v>567</v>
      </c>
      <c r="BE420" s="969" t="s">
        <v>922</v>
      </c>
    </row>
    <row r="421" spans="54:57">
      <c r="BB421" s="971">
        <v>30873</v>
      </c>
      <c r="BC421" s="968" t="str">
        <f t="shared" si="6"/>
        <v>札幌市白石区米里三条</v>
      </c>
      <c r="BD421" s="968" t="s">
        <v>567</v>
      </c>
      <c r="BE421" s="969" t="s">
        <v>923</v>
      </c>
    </row>
    <row r="422" spans="54:57">
      <c r="BB422" s="971">
        <v>30874</v>
      </c>
      <c r="BC422" s="968" t="str">
        <f t="shared" si="6"/>
        <v>札幌市白石区米里四条</v>
      </c>
      <c r="BD422" s="968" t="s">
        <v>567</v>
      </c>
      <c r="BE422" s="969" t="s">
        <v>924</v>
      </c>
    </row>
    <row r="423" spans="54:57">
      <c r="BB423" s="971">
        <v>30875</v>
      </c>
      <c r="BC423" s="968" t="str">
        <f t="shared" si="6"/>
        <v>札幌市白石区米里五条</v>
      </c>
      <c r="BD423" s="968" t="s">
        <v>567</v>
      </c>
      <c r="BE423" s="969" t="s">
        <v>925</v>
      </c>
    </row>
    <row r="424" spans="54:57">
      <c r="BB424" s="971">
        <v>30030</v>
      </c>
      <c r="BC424" s="968" t="str">
        <f t="shared" si="6"/>
        <v>札幌市白石区流通センター</v>
      </c>
      <c r="BD424" s="968" t="s">
        <v>567</v>
      </c>
      <c r="BE424" s="969" t="s">
        <v>926</v>
      </c>
    </row>
    <row r="425" spans="54:57">
      <c r="BB425" s="971">
        <v>620000</v>
      </c>
      <c r="BC425" s="968" t="str">
        <f t="shared" si="6"/>
        <v>札幌市豊平区</v>
      </c>
      <c r="BD425" s="968" t="s">
        <v>568</v>
      </c>
    </row>
    <row r="426" spans="54:57">
      <c r="BB426" s="971">
        <v>620911</v>
      </c>
      <c r="BC426" s="968" t="str">
        <f t="shared" si="6"/>
        <v>札幌市豊平区旭町</v>
      </c>
      <c r="BD426" s="968" t="s">
        <v>568</v>
      </c>
      <c r="BE426" s="969" t="s">
        <v>927</v>
      </c>
    </row>
    <row r="427" spans="54:57">
      <c r="BB427" s="971">
        <v>620912</v>
      </c>
      <c r="BC427" s="968" t="str">
        <f t="shared" si="6"/>
        <v>札幌市豊平区水車町</v>
      </c>
      <c r="BD427" s="968" t="s">
        <v>568</v>
      </c>
      <c r="BE427" s="969" t="s">
        <v>928</v>
      </c>
    </row>
    <row r="428" spans="54:57">
      <c r="BB428" s="971">
        <v>620020</v>
      </c>
      <c r="BC428" s="968" t="str">
        <f t="shared" si="6"/>
        <v>札幌市豊平区月寒中央通</v>
      </c>
      <c r="BD428" s="968" t="s">
        <v>568</v>
      </c>
      <c r="BE428" s="969" t="s">
        <v>929</v>
      </c>
    </row>
    <row r="429" spans="54:57">
      <c r="BB429" s="971">
        <v>620021</v>
      </c>
      <c r="BC429" s="968" t="str">
        <f t="shared" si="6"/>
        <v>札幌市豊平区月寒西一条</v>
      </c>
      <c r="BD429" s="968" t="s">
        <v>568</v>
      </c>
      <c r="BE429" s="969" t="s">
        <v>930</v>
      </c>
    </row>
    <row r="430" spans="54:57">
      <c r="BB430" s="971">
        <v>620022</v>
      </c>
      <c r="BC430" s="968" t="str">
        <f t="shared" si="6"/>
        <v>札幌市豊平区月寒西二条</v>
      </c>
      <c r="BD430" s="968" t="s">
        <v>568</v>
      </c>
      <c r="BE430" s="969" t="s">
        <v>931</v>
      </c>
    </row>
    <row r="431" spans="54:57">
      <c r="BB431" s="971">
        <v>620023</v>
      </c>
      <c r="BC431" s="968" t="str">
        <f t="shared" si="6"/>
        <v>札幌市豊平区月寒西三条</v>
      </c>
      <c r="BD431" s="968" t="s">
        <v>568</v>
      </c>
      <c r="BE431" s="969" t="s">
        <v>932</v>
      </c>
    </row>
    <row r="432" spans="54:57">
      <c r="BB432" s="971">
        <v>620024</v>
      </c>
      <c r="BC432" s="968" t="str">
        <f t="shared" si="6"/>
        <v>札幌市豊平区月寒西四条</v>
      </c>
      <c r="BD432" s="968" t="s">
        <v>568</v>
      </c>
      <c r="BE432" s="969" t="s">
        <v>933</v>
      </c>
    </row>
    <row r="433" spans="54:57">
      <c r="BB433" s="971">
        <v>620025</v>
      </c>
      <c r="BC433" s="968" t="str">
        <f t="shared" si="6"/>
        <v>札幌市豊平区月寒西五条</v>
      </c>
      <c r="BD433" s="968" t="s">
        <v>568</v>
      </c>
      <c r="BE433" s="969" t="s">
        <v>934</v>
      </c>
    </row>
    <row r="434" spans="54:57">
      <c r="BB434" s="971">
        <v>620051</v>
      </c>
      <c r="BC434" s="968" t="str">
        <f t="shared" si="6"/>
        <v>札幌市豊平区月寒東一条</v>
      </c>
      <c r="BD434" s="968" t="s">
        <v>568</v>
      </c>
      <c r="BE434" s="969" t="s">
        <v>935</v>
      </c>
    </row>
    <row r="435" spans="54:57">
      <c r="BB435" s="971">
        <v>620052</v>
      </c>
      <c r="BC435" s="968" t="str">
        <f t="shared" si="6"/>
        <v>札幌市豊平区月寒東二条</v>
      </c>
      <c r="BD435" s="968" t="s">
        <v>568</v>
      </c>
      <c r="BE435" s="969" t="s">
        <v>936</v>
      </c>
    </row>
    <row r="436" spans="54:57">
      <c r="BB436" s="971">
        <v>620053</v>
      </c>
      <c r="BC436" s="968" t="str">
        <f t="shared" si="6"/>
        <v>札幌市豊平区月寒東三条</v>
      </c>
      <c r="BD436" s="968" t="s">
        <v>568</v>
      </c>
      <c r="BE436" s="969" t="s">
        <v>937</v>
      </c>
    </row>
    <row r="437" spans="54:57">
      <c r="BB437" s="971">
        <v>620054</v>
      </c>
      <c r="BC437" s="968" t="str">
        <f t="shared" si="6"/>
        <v>札幌市豊平区月寒東四条</v>
      </c>
      <c r="BD437" s="968" t="s">
        <v>568</v>
      </c>
      <c r="BE437" s="969" t="s">
        <v>938</v>
      </c>
    </row>
    <row r="438" spans="54:57">
      <c r="BB438" s="971">
        <v>620055</v>
      </c>
      <c r="BC438" s="968" t="str">
        <f t="shared" si="6"/>
        <v>札幌市豊平区月寒東五条</v>
      </c>
      <c r="BD438" s="968" t="s">
        <v>568</v>
      </c>
      <c r="BE438" s="969" t="s">
        <v>939</v>
      </c>
    </row>
    <row r="439" spans="54:57">
      <c r="BB439" s="971">
        <v>620901</v>
      </c>
      <c r="BC439" s="968" t="str">
        <f t="shared" si="6"/>
        <v>札幌市豊平区豊平一条</v>
      </c>
      <c r="BD439" s="968" t="s">
        <v>568</v>
      </c>
      <c r="BE439" s="969" t="s">
        <v>940</v>
      </c>
    </row>
    <row r="440" spans="54:57">
      <c r="BB440" s="971">
        <v>620902</v>
      </c>
      <c r="BC440" s="968" t="str">
        <f t="shared" si="6"/>
        <v>札幌市豊平区豊平二条</v>
      </c>
      <c r="BD440" s="968" t="s">
        <v>568</v>
      </c>
      <c r="BE440" s="969" t="s">
        <v>941</v>
      </c>
    </row>
    <row r="441" spans="54:57">
      <c r="BB441" s="971">
        <v>620903</v>
      </c>
      <c r="BC441" s="968" t="str">
        <f t="shared" si="6"/>
        <v>札幌市豊平区豊平三条</v>
      </c>
      <c r="BD441" s="968" t="s">
        <v>568</v>
      </c>
      <c r="BE441" s="969" t="s">
        <v>942</v>
      </c>
    </row>
    <row r="442" spans="54:57">
      <c r="BB442" s="971">
        <v>620904</v>
      </c>
      <c r="BC442" s="968" t="str">
        <f t="shared" si="6"/>
        <v>札幌市豊平区豊平四条</v>
      </c>
      <c r="BD442" s="968" t="s">
        <v>568</v>
      </c>
      <c r="BE442" s="969" t="s">
        <v>943</v>
      </c>
    </row>
    <row r="443" spans="54:57">
      <c r="BB443" s="971">
        <v>620905</v>
      </c>
      <c r="BC443" s="968" t="str">
        <f t="shared" si="6"/>
        <v>札幌市豊平区豊平五条</v>
      </c>
      <c r="BD443" s="968" t="s">
        <v>568</v>
      </c>
      <c r="BE443" s="969" t="s">
        <v>944</v>
      </c>
    </row>
    <row r="444" spans="54:57">
      <c r="BB444" s="971">
        <v>620906</v>
      </c>
      <c r="BC444" s="968" t="str">
        <f t="shared" si="6"/>
        <v>札幌市豊平区豊平六条</v>
      </c>
      <c r="BD444" s="968" t="s">
        <v>568</v>
      </c>
      <c r="BE444" s="969" t="s">
        <v>945</v>
      </c>
    </row>
    <row r="445" spans="54:57">
      <c r="BB445" s="971">
        <v>620907</v>
      </c>
      <c r="BC445" s="968" t="str">
        <f t="shared" si="6"/>
        <v>札幌市豊平区豊平七条</v>
      </c>
      <c r="BD445" s="968" t="s">
        <v>568</v>
      </c>
      <c r="BE445" s="969" t="s">
        <v>946</v>
      </c>
    </row>
    <row r="446" spans="54:57">
      <c r="BB446" s="971">
        <v>620908</v>
      </c>
      <c r="BC446" s="968" t="str">
        <f t="shared" si="6"/>
        <v>札幌市豊平区豊平八条</v>
      </c>
      <c r="BD446" s="968" t="s">
        <v>568</v>
      </c>
      <c r="BE446" s="969" t="s">
        <v>947</v>
      </c>
    </row>
    <row r="447" spans="54:57">
      <c r="BB447" s="971">
        <v>620909</v>
      </c>
      <c r="BC447" s="968" t="str">
        <f t="shared" ref="BC447:BC510" si="7">BD447&amp;BE447</f>
        <v>札幌市豊平区豊平九条</v>
      </c>
      <c r="BD447" s="968" t="s">
        <v>568</v>
      </c>
      <c r="BE447" s="969" t="s">
        <v>948</v>
      </c>
    </row>
    <row r="448" spans="54:57">
      <c r="BB448" s="971">
        <v>620921</v>
      </c>
      <c r="BC448" s="968" t="str">
        <f t="shared" si="7"/>
        <v>札幌市豊平区中の島一条</v>
      </c>
      <c r="BD448" s="968" t="s">
        <v>568</v>
      </c>
      <c r="BE448" s="969" t="s">
        <v>949</v>
      </c>
    </row>
    <row r="449" spans="54:57">
      <c r="BB449" s="971">
        <v>620922</v>
      </c>
      <c r="BC449" s="968" t="str">
        <f t="shared" si="7"/>
        <v>札幌市豊平区中の島二条</v>
      </c>
      <c r="BD449" s="968" t="s">
        <v>568</v>
      </c>
      <c r="BE449" s="969" t="s">
        <v>950</v>
      </c>
    </row>
    <row r="450" spans="54:57">
      <c r="BB450" s="971">
        <v>620039</v>
      </c>
      <c r="BC450" s="968" t="str">
        <f t="shared" si="7"/>
        <v>札幌市豊平区西岡</v>
      </c>
      <c r="BD450" s="968" t="s">
        <v>568</v>
      </c>
      <c r="BE450" s="969" t="s">
        <v>951</v>
      </c>
    </row>
    <row r="451" spans="54:57">
      <c r="BB451" s="971">
        <v>620031</v>
      </c>
      <c r="BC451" s="968" t="str">
        <f t="shared" si="7"/>
        <v>札幌市豊平区西岡一条</v>
      </c>
      <c r="BD451" s="968" t="s">
        <v>568</v>
      </c>
      <c r="BE451" s="969" t="s">
        <v>952</v>
      </c>
    </row>
    <row r="452" spans="54:57">
      <c r="BB452" s="971">
        <v>620032</v>
      </c>
      <c r="BC452" s="968" t="str">
        <f t="shared" si="7"/>
        <v>札幌市豊平区西岡二条</v>
      </c>
      <c r="BD452" s="968" t="s">
        <v>568</v>
      </c>
      <c r="BE452" s="969" t="s">
        <v>953</v>
      </c>
    </row>
    <row r="453" spans="54:57">
      <c r="BB453" s="971">
        <v>620033</v>
      </c>
      <c r="BC453" s="968" t="str">
        <f t="shared" si="7"/>
        <v>札幌市豊平区西岡三条</v>
      </c>
      <c r="BD453" s="968" t="s">
        <v>568</v>
      </c>
      <c r="BE453" s="969" t="s">
        <v>954</v>
      </c>
    </row>
    <row r="454" spans="54:57">
      <c r="BB454" s="971">
        <v>620034</v>
      </c>
      <c r="BC454" s="968" t="str">
        <f t="shared" si="7"/>
        <v>札幌市豊平区西岡四条</v>
      </c>
      <c r="BD454" s="968" t="s">
        <v>568</v>
      </c>
      <c r="BE454" s="969" t="s">
        <v>955</v>
      </c>
    </row>
    <row r="455" spans="54:57">
      <c r="BB455" s="971">
        <v>620035</v>
      </c>
      <c r="BC455" s="968" t="str">
        <f t="shared" si="7"/>
        <v>札幌市豊平区西岡五条</v>
      </c>
      <c r="BD455" s="968" t="s">
        <v>568</v>
      </c>
      <c r="BE455" s="969" t="s">
        <v>956</v>
      </c>
    </row>
    <row r="456" spans="54:57">
      <c r="BB456" s="971">
        <v>620045</v>
      </c>
      <c r="BC456" s="968" t="str">
        <f t="shared" si="7"/>
        <v>札幌市豊平区羊ケ丘</v>
      </c>
      <c r="BD456" s="968" t="s">
        <v>568</v>
      </c>
      <c r="BE456" s="969" t="s">
        <v>957</v>
      </c>
    </row>
    <row r="457" spans="54:57">
      <c r="BB457" s="971">
        <v>620931</v>
      </c>
      <c r="BC457" s="968" t="str">
        <f t="shared" si="7"/>
        <v>札幌市豊平区平岸一条</v>
      </c>
      <c r="BD457" s="968" t="s">
        <v>568</v>
      </c>
      <c r="BE457" s="969" t="s">
        <v>958</v>
      </c>
    </row>
    <row r="458" spans="54:57">
      <c r="BB458" s="971">
        <v>620932</v>
      </c>
      <c r="BC458" s="968" t="str">
        <f t="shared" si="7"/>
        <v>札幌市豊平区平岸二条</v>
      </c>
      <c r="BD458" s="968" t="s">
        <v>568</v>
      </c>
      <c r="BE458" s="969" t="s">
        <v>959</v>
      </c>
    </row>
    <row r="459" spans="54:57">
      <c r="BB459" s="971">
        <v>620933</v>
      </c>
      <c r="BC459" s="968" t="str">
        <f t="shared" si="7"/>
        <v>札幌市豊平区平岸三条</v>
      </c>
      <c r="BD459" s="968" t="s">
        <v>568</v>
      </c>
      <c r="BE459" s="969" t="s">
        <v>960</v>
      </c>
    </row>
    <row r="460" spans="54:57">
      <c r="BB460" s="971">
        <v>620934</v>
      </c>
      <c r="BC460" s="968" t="str">
        <f t="shared" si="7"/>
        <v>札幌市豊平区平岸四条</v>
      </c>
      <c r="BD460" s="968" t="s">
        <v>568</v>
      </c>
      <c r="BE460" s="969" t="s">
        <v>961</v>
      </c>
    </row>
    <row r="461" spans="54:57">
      <c r="BB461" s="971">
        <v>620935</v>
      </c>
      <c r="BC461" s="968" t="str">
        <f t="shared" si="7"/>
        <v>札幌市豊平区平岸五条</v>
      </c>
      <c r="BD461" s="968" t="s">
        <v>568</v>
      </c>
      <c r="BE461" s="969" t="s">
        <v>962</v>
      </c>
    </row>
    <row r="462" spans="54:57">
      <c r="BB462" s="971">
        <v>620936</v>
      </c>
      <c r="BC462" s="968" t="str">
        <f t="shared" si="7"/>
        <v>札幌市豊平区平岸六条</v>
      </c>
      <c r="BD462" s="968" t="s">
        <v>568</v>
      </c>
      <c r="BE462" s="969" t="s">
        <v>963</v>
      </c>
    </row>
    <row r="463" spans="54:57">
      <c r="BB463" s="971">
        <v>620937</v>
      </c>
      <c r="BC463" s="968" t="str">
        <f t="shared" si="7"/>
        <v>札幌市豊平区平岸七条</v>
      </c>
      <c r="BD463" s="968" t="s">
        <v>568</v>
      </c>
      <c r="BE463" s="969" t="s">
        <v>964</v>
      </c>
    </row>
    <row r="464" spans="54:57">
      <c r="BB464" s="971">
        <v>620938</v>
      </c>
      <c r="BC464" s="968" t="str">
        <f t="shared" si="7"/>
        <v>札幌市豊平区平岸八条</v>
      </c>
      <c r="BD464" s="968" t="s">
        <v>568</v>
      </c>
      <c r="BE464" s="969" t="s">
        <v>965</v>
      </c>
    </row>
    <row r="465" spans="54:57">
      <c r="BB465" s="971">
        <v>620041</v>
      </c>
      <c r="BC465" s="968" t="str">
        <f t="shared" si="7"/>
        <v>札幌市豊平区福住一条</v>
      </c>
      <c r="BD465" s="968" t="s">
        <v>568</v>
      </c>
      <c r="BE465" s="969" t="s">
        <v>966</v>
      </c>
    </row>
    <row r="466" spans="54:57">
      <c r="BB466" s="971">
        <v>620042</v>
      </c>
      <c r="BC466" s="968" t="str">
        <f t="shared" si="7"/>
        <v>札幌市豊平区福住二条</v>
      </c>
      <c r="BD466" s="968" t="s">
        <v>568</v>
      </c>
      <c r="BE466" s="969" t="s">
        <v>967</v>
      </c>
    </row>
    <row r="467" spans="54:57">
      <c r="BB467" s="971">
        <v>620043</v>
      </c>
      <c r="BC467" s="968" t="str">
        <f t="shared" si="7"/>
        <v>札幌市豊平区福住三条</v>
      </c>
      <c r="BD467" s="968" t="s">
        <v>568</v>
      </c>
      <c r="BE467" s="969" t="s">
        <v>968</v>
      </c>
    </row>
    <row r="468" spans="54:57">
      <c r="BB468" s="971">
        <v>620001</v>
      </c>
      <c r="BC468" s="968" t="str">
        <f t="shared" si="7"/>
        <v>札幌市豊平区美園一条</v>
      </c>
      <c r="BD468" s="968" t="s">
        <v>568</v>
      </c>
      <c r="BE468" s="969" t="s">
        <v>969</v>
      </c>
    </row>
    <row r="469" spans="54:57">
      <c r="BB469" s="971">
        <v>620002</v>
      </c>
      <c r="BC469" s="968" t="str">
        <f t="shared" si="7"/>
        <v>札幌市豊平区美園二条</v>
      </c>
      <c r="BD469" s="968" t="s">
        <v>568</v>
      </c>
      <c r="BE469" s="969" t="s">
        <v>970</v>
      </c>
    </row>
    <row r="470" spans="54:57">
      <c r="BB470" s="971">
        <v>620003</v>
      </c>
      <c r="BC470" s="968" t="str">
        <f t="shared" si="7"/>
        <v>札幌市豊平区美園三条</v>
      </c>
      <c r="BD470" s="968" t="s">
        <v>568</v>
      </c>
      <c r="BE470" s="969" t="s">
        <v>971</v>
      </c>
    </row>
    <row r="471" spans="54:57">
      <c r="BB471" s="971">
        <v>620004</v>
      </c>
      <c r="BC471" s="968" t="str">
        <f t="shared" si="7"/>
        <v>札幌市豊平区美園四条</v>
      </c>
      <c r="BD471" s="968" t="s">
        <v>568</v>
      </c>
      <c r="BE471" s="969" t="s">
        <v>972</v>
      </c>
    </row>
    <row r="472" spans="54:57">
      <c r="BB472" s="971">
        <v>620005</v>
      </c>
      <c r="BC472" s="968" t="str">
        <f t="shared" si="7"/>
        <v>札幌市豊平区美園五条</v>
      </c>
      <c r="BD472" s="968" t="s">
        <v>568</v>
      </c>
      <c r="BE472" s="969" t="s">
        <v>973</v>
      </c>
    </row>
    <row r="473" spans="54:57">
      <c r="BB473" s="971">
        <v>620006</v>
      </c>
      <c r="BC473" s="968" t="str">
        <f t="shared" si="7"/>
        <v>札幌市豊平区美園六条</v>
      </c>
      <c r="BD473" s="968" t="s">
        <v>568</v>
      </c>
      <c r="BE473" s="969" t="s">
        <v>974</v>
      </c>
    </row>
    <row r="474" spans="54:57">
      <c r="BB474" s="971">
        <v>620007</v>
      </c>
      <c r="BC474" s="968" t="str">
        <f t="shared" si="7"/>
        <v>札幌市豊平区美園七条</v>
      </c>
      <c r="BD474" s="968" t="s">
        <v>568</v>
      </c>
      <c r="BE474" s="969" t="s">
        <v>975</v>
      </c>
    </row>
    <row r="475" spans="54:57">
      <c r="BB475" s="971">
        <v>620008</v>
      </c>
      <c r="BC475" s="968" t="str">
        <f t="shared" si="7"/>
        <v>札幌市豊平区美園八条</v>
      </c>
      <c r="BD475" s="968" t="s">
        <v>568</v>
      </c>
      <c r="BE475" s="969" t="s">
        <v>976</v>
      </c>
    </row>
    <row r="476" spans="54:57">
      <c r="BB476" s="971">
        <v>620009</v>
      </c>
      <c r="BC476" s="968" t="str">
        <f t="shared" si="7"/>
        <v>札幌市豊平区美園九条</v>
      </c>
      <c r="BD476" s="968" t="s">
        <v>568</v>
      </c>
      <c r="BE476" s="969" t="s">
        <v>977</v>
      </c>
    </row>
    <row r="477" spans="54:57">
      <c r="BB477" s="971">
        <v>620010</v>
      </c>
      <c r="BC477" s="968" t="str">
        <f t="shared" si="7"/>
        <v>札幌市豊平区美園十条</v>
      </c>
      <c r="BD477" s="968" t="s">
        <v>568</v>
      </c>
      <c r="BE477" s="969" t="s">
        <v>978</v>
      </c>
    </row>
    <row r="478" spans="54:57">
      <c r="BB478" s="971">
        <v>620011</v>
      </c>
      <c r="BC478" s="968" t="str">
        <f t="shared" si="7"/>
        <v>札幌市豊平区美園十一条</v>
      </c>
      <c r="BD478" s="968" t="s">
        <v>568</v>
      </c>
      <c r="BE478" s="969" t="s">
        <v>979</v>
      </c>
    </row>
    <row r="479" spans="54:57">
      <c r="BB479" s="971">
        <v>620012</v>
      </c>
      <c r="BC479" s="968" t="str">
        <f t="shared" si="7"/>
        <v>札幌市豊平区美園十二条</v>
      </c>
      <c r="BD479" s="968" t="s">
        <v>568</v>
      </c>
      <c r="BE479" s="969" t="s">
        <v>980</v>
      </c>
    </row>
    <row r="480" spans="54:57">
      <c r="BB480" s="971">
        <v>50000</v>
      </c>
      <c r="BC480" s="968" t="str">
        <f t="shared" si="7"/>
        <v>札幌市南区</v>
      </c>
      <c r="BD480" s="968" t="s">
        <v>569</v>
      </c>
    </row>
    <row r="481" spans="54:57">
      <c r="BB481" s="971">
        <v>50849</v>
      </c>
      <c r="BC481" s="968" t="str">
        <f t="shared" si="7"/>
        <v>札幌市南区石山</v>
      </c>
      <c r="BD481" s="968" t="s">
        <v>569</v>
      </c>
      <c r="BE481" s="969" t="s">
        <v>981</v>
      </c>
    </row>
    <row r="482" spans="54:57">
      <c r="BB482" s="971">
        <v>50850</v>
      </c>
      <c r="BC482" s="968" t="str">
        <f t="shared" si="7"/>
        <v>札幌市南区石山東</v>
      </c>
      <c r="BD482" s="968" t="s">
        <v>569</v>
      </c>
      <c r="BE482" s="969" t="s">
        <v>982</v>
      </c>
    </row>
    <row r="483" spans="54:57">
      <c r="BB483" s="971">
        <v>50841</v>
      </c>
      <c r="BC483" s="968" t="str">
        <f t="shared" si="7"/>
        <v>札幌市南区石山一条</v>
      </c>
      <c r="BD483" s="968" t="s">
        <v>569</v>
      </c>
      <c r="BE483" s="969" t="s">
        <v>983</v>
      </c>
    </row>
    <row r="484" spans="54:57">
      <c r="BB484" s="971">
        <v>50842</v>
      </c>
      <c r="BC484" s="968" t="str">
        <f t="shared" si="7"/>
        <v>札幌市南区石山二条</v>
      </c>
      <c r="BD484" s="968" t="s">
        <v>569</v>
      </c>
      <c r="BE484" s="969" t="s">
        <v>984</v>
      </c>
    </row>
    <row r="485" spans="54:57">
      <c r="BB485" s="971">
        <v>50843</v>
      </c>
      <c r="BC485" s="968" t="str">
        <f t="shared" si="7"/>
        <v>札幌市南区石山三条</v>
      </c>
      <c r="BD485" s="968" t="s">
        <v>569</v>
      </c>
      <c r="BE485" s="969" t="s">
        <v>985</v>
      </c>
    </row>
    <row r="486" spans="54:57">
      <c r="BB486" s="971">
        <v>50844</v>
      </c>
      <c r="BC486" s="968" t="str">
        <f t="shared" si="7"/>
        <v>札幌市南区石山四条</v>
      </c>
      <c r="BD486" s="968" t="s">
        <v>569</v>
      </c>
      <c r="BE486" s="969" t="s">
        <v>986</v>
      </c>
    </row>
    <row r="487" spans="54:57">
      <c r="BB487" s="971">
        <v>50801</v>
      </c>
      <c r="BC487" s="968" t="str">
        <f t="shared" si="7"/>
        <v>札幌市南区川沿一条</v>
      </c>
      <c r="BD487" s="968" t="s">
        <v>569</v>
      </c>
      <c r="BE487" s="969" t="s">
        <v>987</v>
      </c>
    </row>
    <row r="488" spans="54:57">
      <c r="BB488" s="971">
        <v>50802</v>
      </c>
      <c r="BC488" s="968" t="str">
        <f t="shared" si="7"/>
        <v>札幌市南区川沿二条</v>
      </c>
      <c r="BD488" s="968" t="s">
        <v>569</v>
      </c>
      <c r="BE488" s="969" t="s">
        <v>988</v>
      </c>
    </row>
    <row r="489" spans="54:57">
      <c r="BB489" s="971">
        <v>50803</v>
      </c>
      <c r="BC489" s="968" t="str">
        <f t="shared" si="7"/>
        <v>札幌市南区川沿三条</v>
      </c>
      <c r="BD489" s="968" t="s">
        <v>569</v>
      </c>
      <c r="BE489" s="969" t="s">
        <v>989</v>
      </c>
    </row>
    <row r="490" spans="54:57">
      <c r="BB490" s="971">
        <v>50804</v>
      </c>
      <c r="BC490" s="968" t="str">
        <f t="shared" si="7"/>
        <v>札幌市南区川沿四条</v>
      </c>
      <c r="BD490" s="968" t="s">
        <v>569</v>
      </c>
      <c r="BE490" s="969" t="s">
        <v>990</v>
      </c>
    </row>
    <row r="491" spans="54:57">
      <c r="BB491" s="971">
        <v>50805</v>
      </c>
      <c r="BC491" s="968" t="str">
        <f t="shared" si="7"/>
        <v>札幌市南区川沿五条</v>
      </c>
      <c r="BD491" s="968" t="s">
        <v>569</v>
      </c>
      <c r="BE491" s="969" t="s">
        <v>991</v>
      </c>
    </row>
    <row r="492" spans="54:57">
      <c r="BB492" s="971">
        <v>50806</v>
      </c>
      <c r="BC492" s="968" t="str">
        <f t="shared" si="7"/>
        <v>札幌市南区川沿六条</v>
      </c>
      <c r="BD492" s="968" t="s">
        <v>569</v>
      </c>
      <c r="BE492" s="969" t="s">
        <v>992</v>
      </c>
    </row>
    <row r="493" spans="54:57">
      <c r="BB493" s="971">
        <v>50807</v>
      </c>
      <c r="BC493" s="968" t="str">
        <f t="shared" si="7"/>
        <v>札幌市南区川沿七条</v>
      </c>
      <c r="BD493" s="968" t="s">
        <v>569</v>
      </c>
      <c r="BE493" s="969" t="s">
        <v>993</v>
      </c>
    </row>
    <row r="494" spans="54:57">
      <c r="BB494" s="971">
        <v>50808</v>
      </c>
      <c r="BC494" s="968" t="str">
        <f t="shared" si="7"/>
        <v>札幌市南区川沿八条</v>
      </c>
      <c r="BD494" s="968" t="s">
        <v>569</v>
      </c>
      <c r="BE494" s="969" t="s">
        <v>994</v>
      </c>
    </row>
    <row r="495" spans="54:57">
      <c r="BB495" s="971">
        <v>50809</v>
      </c>
      <c r="BC495" s="968" t="str">
        <f t="shared" si="7"/>
        <v>札幌市南区川沿九条</v>
      </c>
      <c r="BD495" s="968" t="s">
        <v>569</v>
      </c>
      <c r="BE495" s="969" t="s">
        <v>995</v>
      </c>
    </row>
    <row r="496" spans="54:57">
      <c r="BB496" s="971">
        <v>50810</v>
      </c>
      <c r="BC496" s="968" t="str">
        <f t="shared" si="7"/>
        <v>札幌市南区川沿十条</v>
      </c>
      <c r="BD496" s="968" t="s">
        <v>569</v>
      </c>
      <c r="BE496" s="969" t="s">
        <v>996</v>
      </c>
    </row>
    <row r="497" spans="54:57">
      <c r="BB497" s="971">
        <v>50811</v>
      </c>
      <c r="BC497" s="968" t="str">
        <f t="shared" si="7"/>
        <v>札幌市南区川沿十一条</v>
      </c>
      <c r="BD497" s="968" t="s">
        <v>569</v>
      </c>
      <c r="BE497" s="969" t="s">
        <v>997</v>
      </c>
    </row>
    <row r="498" spans="54:57">
      <c r="BB498" s="971">
        <v>50812</v>
      </c>
      <c r="BC498" s="968" t="str">
        <f t="shared" si="7"/>
        <v>札幌市南区川沿十二条</v>
      </c>
      <c r="BD498" s="968" t="s">
        <v>569</v>
      </c>
      <c r="BE498" s="969" t="s">
        <v>998</v>
      </c>
    </row>
    <row r="499" spans="54:57">
      <c r="BB499" s="971">
        <v>50813</v>
      </c>
      <c r="BC499" s="968" t="str">
        <f t="shared" si="7"/>
        <v>札幌市南区川沿十三条</v>
      </c>
      <c r="BD499" s="968" t="s">
        <v>569</v>
      </c>
      <c r="BE499" s="969" t="s">
        <v>999</v>
      </c>
    </row>
    <row r="500" spans="54:57">
      <c r="BB500" s="971">
        <v>50814</v>
      </c>
      <c r="BC500" s="968" t="str">
        <f t="shared" si="7"/>
        <v>札幌市南区川沿十四条</v>
      </c>
      <c r="BD500" s="968" t="s">
        <v>569</v>
      </c>
      <c r="BE500" s="969" t="s">
        <v>1000</v>
      </c>
    </row>
    <row r="501" spans="54:57">
      <c r="BB501" s="971">
        <v>50815</v>
      </c>
      <c r="BC501" s="968" t="str">
        <f t="shared" si="7"/>
        <v>札幌市南区川沿十五条</v>
      </c>
      <c r="BD501" s="968" t="s">
        <v>569</v>
      </c>
      <c r="BE501" s="969" t="s">
        <v>1001</v>
      </c>
    </row>
    <row r="502" spans="54:57">
      <c r="BB502" s="971">
        <v>50816</v>
      </c>
      <c r="BC502" s="968" t="str">
        <f t="shared" si="7"/>
        <v>札幌市南区川沿十六条</v>
      </c>
      <c r="BD502" s="968" t="s">
        <v>569</v>
      </c>
      <c r="BE502" s="969" t="s">
        <v>1002</v>
      </c>
    </row>
    <row r="503" spans="54:57">
      <c r="BB503" s="971">
        <v>50817</v>
      </c>
      <c r="BC503" s="968" t="str">
        <f t="shared" si="7"/>
        <v>札幌市南区川沿十七条</v>
      </c>
      <c r="BD503" s="968" t="s">
        <v>569</v>
      </c>
      <c r="BE503" s="969" t="s">
        <v>1003</v>
      </c>
    </row>
    <row r="504" spans="54:57">
      <c r="BB504" s="971">
        <v>50818</v>
      </c>
      <c r="BC504" s="968" t="str">
        <f t="shared" si="7"/>
        <v>札幌市南区川沿十八条</v>
      </c>
      <c r="BD504" s="968" t="s">
        <v>569</v>
      </c>
      <c r="BE504" s="969" t="s">
        <v>1004</v>
      </c>
    </row>
    <row r="505" spans="54:57">
      <c r="BB505" s="971">
        <v>50832</v>
      </c>
      <c r="BC505" s="968" t="str">
        <f t="shared" si="7"/>
        <v>札幌市南区北ノ沢</v>
      </c>
      <c r="BD505" s="968" t="s">
        <v>569</v>
      </c>
      <c r="BE505" s="969" t="s">
        <v>1005</v>
      </c>
    </row>
    <row r="506" spans="54:57">
      <c r="BB506" s="971">
        <v>50864</v>
      </c>
      <c r="BC506" s="968" t="str">
        <f t="shared" si="7"/>
        <v>札幌市南区芸術の森</v>
      </c>
      <c r="BD506" s="968" t="s">
        <v>569</v>
      </c>
      <c r="BE506" s="969" t="s">
        <v>1006</v>
      </c>
    </row>
    <row r="507" spans="54:57">
      <c r="BB507" s="971">
        <v>612274</v>
      </c>
      <c r="BC507" s="968" t="str">
        <f t="shared" si="7"/>
        <v>札幌市南区小金湯</v>
      </c>
      <c r="BD507" s="968" t="s">
        <v>569</v>
      </c>
      <c r="BE507" s="969" t="s">
        <v>1007</v>
      </c>
    </row>
    <row r="508" spans="54:57">
      <c r="BB508" s="971">
        <v>612301</v>
      </c>
      <c r="BC508" s="968" t="str">
        <f t="shared" si="7"/>
        <v>札幌市南区定山渓</v>
      </c>
      <c r="BD508" s="968" t="s">
        <v>569</v>
      </c>
      <c r="BE508" s="969" t="s">
        <v>1008</v>
      </c>
    </row>
    <row r="509" spans="54:57">
      <c r="BB509" s="971">
        <v>612302</v>
      </c>
      <c r="BC509" s="968" t="str">
        <f t="shared" si="7"/>
        <v>札幌市南区定山渓温泉東</v>
      </c>
      <c r="BD509" s="968" t="s">
        <v>569</v>
      </c>
      <c r="BE509" s="969" t="s">
        <v>1009</v>
      </c>
    </row>
    <row r="510" spans="54:57">
      <c r="BB510" s="971">
        <v>612303</v>
      </c>
      <c r="BC510" s="968" t="str">
        <f t="shared" si="7"/>
        <v>札幌市南区定山渓温泉西</v>
      </c>
      <c r="BD510" s="968" t="s">
        <v>569</v>
      </c>
      <c r="BE510" s="969" t="s">
        <v>1010</v>
      </c>
    </row>
    <row r="511" spans="54:57">
      <c r="BB511" s="971">
        <v>612276</v>
      </c>
      <c r="BC511" s="968" t="str">
        <f t="shared" ref="BC511:BC574" si="8">BD511&amp;BE511</f>
        <v>札幌市南区白川</v>
      </c>
      <c r="BD511" s="968" t="s">
        <v>569</v>
      </c>
      <c r="BE511" s="969" t="s">
        <v>1011</v>
      </c>
    </row>
    <row r="512" spans="54:57">
      <c r="BB512" s="971">
        <v>50007</v>
      </c>
      <c r="BC512" s="968" t="str">
        <f t="shared" si="8"/>
        <v>札幌市南区澄川</v>
      </c>
      <c r="BD512" s="968" t="s">
        <v>569</v>
      </c>
      <c r="BE512" s="969" t="s">
        <v>1012</v>
      </c>
    </row>
    <row r="513" spans="54:57">
      <c r="BB513" s="971">
        <v>50001</v>
      </c>
      <c r="BC513" s="968" t="str">
        <f t="shared" si="8"/>
        <v>札幌市南区澄川一条</v>
      </c>
      <c r="BD513" s="968" t="s">
        <v>569</v>
      </c>
      <c r="BE513" s="969" t="s">
        <v>1013</v>
      </c>
    </row>
    <row r="514" spans="54:57">
      <c r="BB514" s="971">
        <v>50002</v>
      </c>
      <c r="BC514" s="968" t="str">
        <f t="shared" si="8"/>
        <v>札幌市南区澄川二条</v>
      </c>
      <c r="BD514" s="968" t="s">
        <v>569</v>
      </c>
      <c r="BE514" s="969" t="s">
        <v>1014</v>
      </c>
    </row>
    <row r="515" spans="54:57">
      <c r="BB515" s="971">
        <v>50003</v>
      </c>
      <c r="BC515" s="968" t="str">
        <f t="shared" si="8"/>
        <v>札幌市南区澄川三条</v>
      </c>
      <c r="BD515" s="968" t="s">
        <v>569</v>
      </c>
      <c r="BE515" s="969" t="s">
        <v>1015</v>
      </c>
    </row>
    <row r="516" spans="54:57">
      <c r="BB516" s="971">
        <v>50004</v>
      </c>
      <c r="BC516" s="968" t="str">
        <f t="shared" si="8"/>
        <v>札幌市南区澄川四条</v>
      </c>
      <c r="BD516" s="968" t="s">
        <v>569</v>
      </c>
      <c r="BE516" s="969" t="s">
        <v>1016</v>
      </c>
    </row>
    <row r="517" spans="54:57">
      <c r="BB517" s="971">
        <v>50005</v>
      </c>
      <c r="BC517" s="968" t="str">
        <f t="shared" si="8"/>
        <v>札幌市南区澄川五条</v>
      </c>
      <c r="BD517" s="968" t="s">
        <v>569</v>
      </c>
      <c r="BE517" s="969" t="s">
        <v>1017</v>
      </c>
    </row>
    <row r="518" spans="54:57">
      <c r="BB518" s="971">
        <v>50006</v>
      </c>
      <c r="BC518" s="968" t="str">
        <f t="shared" si="8"/>
        <v>札幌市南区澄川六条</v>
      </c>
      <c r="BD518" s="968" t="s">
        <v>569</v>
      </c>
      <c r="BE518" s="969" t="s">
        <v>1018</v>
      </c>
    </row>
    <row r="519" spans="54:57">
      <c r="BB519" s="971">
        <v>50862</v>
      </c>
      <c r="BC519" s="968" t="str">
        <f t="shared" si="8"/>
        <v>札幌市南区滝野</v>
      </c>
      <c r="BD519" s="968" t="s">
        <v>569</v>
      </c>
      <c r="BE519" s="969" t="s">
        <v>1019</v>
      </c>
    </row>
    <row r="520" spans="54:57">
      <c r="BB520" s="971">
        <v>50830</v>
      </c>
      <c r="BC520" s="968" t="str">
        <f t="shared" si="8"/>
        <v>札幌市南区砥石山</v>
      </c>
      <c r="BD520" s="968" t="s">
        <v>569</v>
      </c>
      <c r="BE520" s="969" t="s">
        <v>1020</v>
      </c>
    </row>
    <row r="521" spans="54:57">
      <c r="BB521" s="971">
        <v>50865</v>
      </c>
      <c r="BC521" s="968" t="str">
        <f t="shared" si="8"/>
        <v>札幌市南区常盤</v>
      </c>
      <c r="BD521" s="968" t="s">
        <v>569</v>
      </c>
      <c r="BE521" s="969" t="s">
        <v>1310</v>
      </c>
    </row>
    <row r="522" spans="54:57">
      <c r="BB522" s="971">
        <v>50863</v>
      </c>
      <c r="BC522" s="968" t="str">
        <f t="shared" si="8"/>
        <v>札幌市南区常盤</v>
      </c>
      <c r="BD522" s="968" t="s">
        <v>569</v>
      </c>
      <c r="BE522" s="969" t="s">
        <v>1310</v>
      </c>
    </row>
    <row r="523" spans="54:57">
      <c r="BB523" s="971">
        <v>50851</v>
      </c>
      <c r="BC523" s="968" t="str">
        <f t="shared" si="8"/>
        <v>札幌市南区常盤一条</v>
      </c>
      <c r="BD523" s="968" t="s">
        <v>569</v>
      </c>
      <c r="BE523" s="969" t="s">
        <v>1021</v>
      </c>
    </row>
    <row r="524" spans="54:57">
      <c r="BB524" s="971">
        <v>50852</v>
      </c>
      <c r="BC524" s="968" t="str">
        <f t="shared" si="8"/>
        <v>札幌市南区常盤二条</v>
      </c>
      <c r="BD524" s="968" t="s">
        <v>569</v>
      </c>
      <c r="BE524" s="969" t="s">
        <v>1022</v>
      </c>
    </row>
    <row r="525" spans="54:57">
      <c r="BB525" s="971">
        <v>50853</v>
      </c>
      <c r="BC525" s="968" t="str">
        <f t="shared" si="8"/>
        <v>札幌市南区常盤三条</v>
      </c>
      <c r="BD525" s="968" t="s">
        <v>569</v>
      </c>
      <c r="BE525" s="969" t="s">
        <v>1023</v>
      </c>
    </row>
    <row r="526" spans="54:57">
      <c r="BB526" s="971">
        <v>50854</v>
      </c>
      <c r="BC526" s="968" t="str">
        <f t="shared" si="8"/>
        <v>札幌市南区常盤四条</v>
      </c>
      <c r="BD526" s="968" t="s">
        <v>569</v>
      </c>
      <c r="BE526" s="969" t="s">
        <v>1024</v>
      </c>
    </row>
    <row r="527" spans="54:57">
      <c r="BB527" s="971">
        <v>50855</v>
      </c>
      <c r="BC527" s="968" t="str">
        <f t="shared" si="8"/>
        <v>札幌市南区常盤五条</v>
      </c>
      <c r="BD527" s="968" t="s">
        <v>569</v>
      </c>
      <c r="BE527" s="969" t="s">
        <v>1025</v>
      </c>
    </row>
    <row r="528" spans="54:57">
      <c r="BB528" s="971">
        <v>50856</v>
      </c>
      <c r="BC528" s="968" t="str">
        <f t="shared" si="8"/>
        <v>札幌市南区常盤六条</v>
      </c>
      <c r="BD528" s="968" t="s">
        <v>569</v>
      </c>
      <c r="BE528" s="969" t="s">
        <v>1026</v>
      </c>
    </row>
    <row r="529" spans="54:57">
      <c r="BB529" s="971">
        <v>612275</v>
      </c>
      <c r="BC529" s="968" t="str">
        <f t="shared" si="8"/>
        <v>札幌市南区砥山</v>
      </c>
      <c r="BD529" s="968" t="s">
        <v>569</v>
      </c>
      <c r="BE529" s="969" t="s">
        <v>1027</v>
      </c>
    </row>
    <row r="530" spans="54:57">
      <c r="BB530" s="971">
        <v>612273</v>
      </c>
      <c r="BC530" s="968" t="str">
        <f t="shared" si="8"/>
        <v>札幌市南区豊滝</v>
      </c>
      <c r="BD530" s="968" t="s">
        <v>569</v>
      </c>
      <c r="BE530" s="969" t="s">
        <v>1028</v>
      </c>
    </row>
    <row r="531" spans="54:57">
      <c r="BB531" s="971">
        <v>50831</v>
      </c>
      <c r="BC531" s="968" t="str">
        <f t="shared" si="8"/>
        <v>札幌市南区中ノ沢</v>
      </c>
      <c r="BD531" s="968" t="s">
        <v>569</v>
      </c>
      <c r="BE531" s="969" t="s">
        <v>1029</v>
      </c>
    </row>
    <row r="532" spans="54:57">
      <c r="BB532" s="971">
        <v>50840</v>
      </c>
      <c r="BC532" s="968" t="str">
        <f t="shared" si="8"/>
        <v>札幌市南区藤野</v>
      </c>
      <c r="BD532" s="968" t="s">
        <v>569</v>
      </c>
      <c r="BE532" s="969" t="s">
        <v>1351</v>
      </c>
    </row>
    <row r="533" spans="54:57">
      <c r="BB533" s="971">
        <v>612271</v>
      </c>
      <c r="BC533" s="968" t="str">
        <f t="shared" si="8"/>
        <v>札幌市南区藤野</v>
      </c>
      <c r="BD533" s="968" t="s">
        <v>569</v>
      </c>
      <c r="BE533" s="969" t="s">
        <v>1352</v>
      </c>
    </row>
    <row r="534" spans="54:57">
      <c r="BB534" s="971">
        <v>612281</v>
      </c>
      <c r="BC534" s="968" t="str">
        <f t="shared" si="8"/>
        <v>札幌市南区藤野一条</v>
      </c>
      <c r="BD534" s="968" t="s">
        <v>569</v>
      </c>
      <c r="BE534" s="969" t="s">
        <v>1030</v>
      </c>
    </row>
    <row r="535" spans="54:57">
      <c r="BB535" s="971">
        <v>612282</v>
      </c>
      <c r="BC535" s="968" t="str">
        <f t="shared" si="8"/>
        <v>札幌市南区藤野二条</v>
      </c>
      <c r="BD535" s="968" t="s">
        <v>569</v>
      </c>
      <c r="BE535" s="969" t="s">
        <v>1031</v>
      </c>
    </row>
    <row r="536" spans="54:57">
      <c r="BB536" s="971">
        <v>612283</v>
      </c>
      <c r="BC536" s="968" t="str">
        <f t="shared" si="8"/>
        <v>札幌市南区藤野三条</v>
      </c>
      <c r="BD536" s="968" t="s">
        <v>569</v>
      </c>
      <c r="BE536" s="969" t="s">
        <v>1032</v>
      </c>
    </row>
    <row r="537" spans="54:57">
      <c r="BB537" s="971">
        <v>612284</v>
      </c>
      <c r="BC537" s="968" t="str">
        <f t="shared" si="8"/>
        <v>札幌市南区藤野四条</v>
      </c>
      <c r="BD537" s="968" t="s">
        <v>569</v>
      </c>
      <c r="BE537" s="969" t="s">
        <v>1033</v>
      </c>
    </row>
    <row r="538" spans="54:57">
      <c r="BB538" s="971">
        <v>612285</v>
      </c>
      <c r="BC538" s="968" t="str">
        <f t="shared" si="8"/>
        <v>札幌市南区藤野五条</v>
      </c>
      <c r="BD538" s="968" t="s">
        <v>569</v>
      </c>
      <c r="BE538" s="969" t="s">
        <v>1034</v>
      </c>
    </row>
    <row r="539" spans="54:57">
      <c r="BB539" s="971">
        <v>612286</v>
      </c>
      <c r="BC539" s="968" t="str">
        <f t="shared" si="8"/>
        <v>札幌市南区藤野六条</v>
      </c>
      <c r="BD539" s="968" t="s">
        <v>569</v>
      </c>
      <c r="BE539" s="969" t="s">
        <v>1035</v>
      </c>
    </row>
    <row r="540" spans="54:57">
      <c r="BB540" s="971">
        <v>50008</v>
      </c>
      <c r="BC540" s="968" t="str">
        <f t="shared" si="8"/>
        <v>札幌市南区真駒内</v>
      </c>
      <c r="BD540" s="968" t="s">
        <v>569</v>
      </c>
      <c r="BE540" s="969" t="s">
        <v>1353</v>
      </c>
    </row>
    <row r="541" spans="54:57">
      <c r="BB541" s="971">
        <v>50861</v>
      </c>
      <c r="BC541" s="968" t="str">
        <f t="shared" si="8"/>
        <v>札幌市南区真駒内</v>
      </c>
      <c r="BD541" s="968" t="s">
        <v>569</v>
      </c>
      <c r="BE541" s="969" t="s">
        <v>1354</v>
      </c>
    </row>
    <row r="542" spans="54:57">
      <c r="BB542" s="971">
        <v>50018</v>
      </c>
      <c r="BC542" s="968" t="str">
        <f t="shared" si="8"/>
        <v>札幌市南区真駒内曙町</v>
      </c>
      <c r="BD542" s="968" t="s">
        <v>569</v>
      </c>
      <c r="BE542" s="969" t="s">
        <v>1036</v>
      </c>
    </row>
    <row r="543" spans="54:57">
      <c r="BB543" s="971">
        <v>50015</v>
      </c>
      <c r="BC543" s="968" t="str">
        <f t="shared" si="8"/>
        <v>札幌市南区真駒内泉町</v>
      </c>
      <c r="BD543" s="968" t="s">
        <v>569</v>
      </c>
      <c r="BE543" s="969" t="s">
        <v>1037</v>
      </c>
    </row>
    <row r="544" spans="54:57">
      <c r="BB544" s="971">
        <v>50022</v>
      </c>
      <c r="BC544" s="968" t="str">
        <f t="shared" si="8"/>
        <v>札幌市南区真駒内柏丘</v>
      </c>
      <c r="BD544" s="968" t="s">
        <v>569</v>
      </c>
      <c r="BE544" s="969" t="s">
        <v>1038</v>
      </c>
    </row>
    <row r="545" spans="54:57">
      <c r="BB545" s="971">
        <v>50012</v>
      </c>
      <c r="BC545" s="968" t="str">
        <f t="shared" si="8"/>
        <v>札幌市南区真駒内上町</v>
      </c>
      <c r="BD545" s="968" t="s">
        <v>569</v>
      </c>
      <c r="BE545" s="969" t="s">
        <v>1039</v>
      </c>
    </row>
    <row r="546" spans="54:57">
      <c r="BB546" s="971">
        <v>50014</v>
      </c>
      <c r="BC546" s="968" t="str">
        <f t="shared" si="8"/>
        <v>札幌市南区真駒内幸町</v>
      </c>
      <c r="BD546" s="968" t="s">
        <v>569</v>
      </c>
      <c r="BE546" s="969" t="s">
        <v>1040</v>
      </c>
    </row>
    <row r="547" spans="54:57">
      <c r="BB547" s="971">
        <v>50011</v>
      </c>
      <c r="BC547" s="968" t="str">
        <f t="shared" si="8"/>
        <v>札幌市南区真駒内東町</v>
      </c>
      <c r="BD547" s="968" t="s">
        <v>569</v>
      </c>
      <c r="BE547" s="969" t="s">
        <v>1041</v>
      </c>
    </row>
    <row r="548" spans="54:57">
      <c r="BB548" s="971">
        <v>50021</v>
      </c>
      <c r="BC548" s="968" t="str">
        <f t="shared" si="8"/>
        <v>札幌市南区真駒内本町</v>
      </c>
      <c r="BD548" s="968" t="s">
        <v>569</v>
      </c>
      <c r="BE548" s="969" t="s">
        <v>1042</v>
      </c>
    </row>
    <row r="549" spans="54:57">
      <c r="BB549" s="971">
        <v>50013</v>
      </c>
      <c r="BC549" s="968" t="str">
        <f t="shared" si="8"/>
        <v>札幌市南区真駒内緑町</v>
      </c>
      <c r="BD549" s="968" t="s">
        <v>569</v>
      </c>
      <c r="BE549" s="969" t="s">
        <v>1043</v>
      </c>
    </row>
    <row r="550" spans="54:57">
      <c r="BB550" s="971">
        <v>50016</v>
      </c>
      <c r="BC550" s="968" t="str">
        <f t="shared" si="8"/>
        <v>札幌市南区真駒内南町</v>
      </c>
      <c r="BD550" s="968" t="s">
        <v>569</v>
      </c>
      <c r="BE550" s="969" t="s">
        <v>1044</v>
      </c>
    </row>
    <row r="551" spans="54:57">
      <c r="BB551" s="971">
        <v>50017</v>
      </c>
      <c r="BC551" s="968" t="str">
        <f t="shared" si="8"/>
        <v>札幌市南区真駒内公園</v>
      </c>
      <c r="BD551" s="968" t="s">
        <v>569</v>
      </c>
      <c r="BE551" s="969" t="s">
        <v>1045</v>
      </c>
    </row>
    <row r="552" spans="54:57">
      <c r="BB552" s="971">
        <v>612261</v>
      </c>
      <c r="BC552" s="968" t="str">
        <f t="shared" si="8"/>
        <v>札幌市南区簾舞一条</v>
      </c>
      <c r="BD552" s="968" t="s">
        <v>569</v>
      </c>
      <c r="BE552" s="969" t="s">
        <v>1046</v>
      </c>
    </row>
    <row r="553" spans="54:57">
      <c r="BB553" s="971">
        <v>612262</v>
      </c>
      <c r="BC553" s="968" t="str">
        <f t="shared" si="8"/>
        <v>札幌市南区簾舞二条</v>
      </c>
      <c r="BD553" s="968" t="s">
        <v>569</v>
      </c>
      <c r="BE553" s="969" t="s">
        <v>1047</v>
      </c>
    </row>
    <row r="554" spans="54:57">
      <c r="BB554" s="971">
        <v>612263</v>
      </c>
      <c r="BC554" s="968" t="str">
        <f t="shared" si="8"/>
        <v>札幌市南区簾舞三条</v>
      </c>
      <c r="BD554" s="968" t="s">
        <v>569</v>
      </c>
      <c r="BE554" s="969" t="s">
        <v>1048</v>
      </c>
    </row>
    <row r="555" spans="54:57">
      <c r="BB555" s="971">
        <v>612264</v>
      </c>
      <c r="BC555" s="968" t="str">
        <f t="shared" si="8"/>
        <v>札幌市南区簾舞四条</v>
      </c>
      <c r="BD555" s="968" t="s">
        <v>569</v>
      </c>
      <c r="BE555" s="969" t="s">
        <v>1049</v>
      </c>
    </row>
    <row r="556" spans="54:57">
      <c r="BB556" s="971">
        <v>612265</v>
      </c>
      <c r="BC556" s="968" t="str">
        <f t="shared" si="8"/>
        <v>札幌市南区簾舞五条</v>
      </c>
      <c r="BD556" s="968" t="s">
        <v>569</v>
      </c>
      <c r="BE556" s="969" t="s">
        <v>1050</v>
      </c>
    </row>
    <row r="557" spans="54:57">
      <c r="BB557" s="971">
        <v>612266</v>
      </c>
      <c r="BC557" s="968" t="str">
        <f t="shared" si="8"/>
        <v>札幌市南区簾舞六条</v>
      </c>
      <c r="BD557" s="968" t="s">
        <v>569</v>
      </c>
      <c r="BE557" s="969" t="s">
        <v>1051</v>
      </c>
    </row>
    <row r="558" spans="54:57">
      <c r="BB558" s="971">
        <v>612272</v>
      </c>
      <c r="BC558" s="968" t="str">
        <f t="shared" si="8"/>
        <v>札幌市南区簾舞</v>
      </c>
      <c r="BD558" s="968" t="s">
        <v>569</v>
      </c>
      <c r="BE558" s="969" t="s">
        <v>1355</v>
      </c>
    </row>
    <row r="559" spans="54:57">
      <c r="BB559" s="971">
        <v>50827</v>
      </c>
      <c r="BC559" s="968" t="str">
        <f t="shared" si="8"/>
        <v>札幌市南区南沢</v>
      </c>
      <c r="BD559" s="968" t="s">
        <v>569</v>
      </c>
      <c r="BE559" s="969" t="s">
        <v>1052</v>
      </c>
    </row>
    <row r="560" spans="54:57">
      <c r="BB560" s="971">
        <v>50821</v>
      </c>
      <c r="BC560" s="968" t="str">
        <f t="shared" si="8"/>
        <v>札幌市南区南沢一条</v>
      </c>
      <c r="BD560" s="968" t="s">
        <v>569</v>
      </c>
      <c r="BE560" s="969" t="s">
        <v>1053</v>
      </c>
    </row>
    <row r="561" spans="54:57">
      <c r="BB561" s="971">
        <v>50822</v>
      </c>
      <c r="BC561" s="968" t="str">
        <f t="shared" si="8"/>
        <v>札幌市南区南沢二条</v>
      </c>
      <c r="BD561" s="968" t="s">
        <v>569</v>
      </c>
      <c r="BE561" s="969" t="s">
        <v>1054</v>
      </c>
    </row>
    <row r="562" spans="54:57">
      <c r="BB562" s="971">
        <v>50823</v>
      </c>
      <c r="BC562" s="968" t="str">
        <f t="shared" si="8"/>
        <v>札幌市南区南沢三条</v>
      </c>
      <c r="BD562" s="968" t="s">
        <v>569</v>
      </c>
      <c r="BE562" s="969" t="s">
        <v>1055</v>
      </c>
    </row>
    <row r="563" spans="54:57">
      <c r="BB563" s="971">
        <v>50824</v>
      </c>
      <c r="BC563" s="968" t="str">
        <f t="shared" si="8"/>
        <v>札幌市南区南沢四条</v>
      </c>
      <c r="BD563" s="968" t="s">
        <v>569</v>
      </c>
      <c r="BE563" s="969" t="s">
        <v>1056</v>
      </c>
    </row>
    <row r="564" spans="54:57">
      <c r="BB564" s="971">
        <v>50825</v>
      </c>
      <c r="BC564" s="968" t="str">
        <f t="shared" si="8"/>
        <v>札幌市南区南沢五条</v>
      </c>
      <c r="BD564" s="968" t="s">
        <v>569</v>
      </c>
      <c r="BE564" s="969" t="s">
        <v>1057</v>
      </c>
    </row>
    <row r="565" spans="54:57">
      <c r="BB565" s="971">
        <v>50826</v>
      </c>
      <c r="BC565" s="968" t="str">
        <f t="shared" si="8"/>
        <v>札幌市南区南沢六条</v>
      </c>
      <c r="BD565" s="968" t="s">
        <v>569</v>
      </c>
      <c r="BE565" s="969" t="s">
        <v>1058</v>
      </c>
    </row>
    <row r="566" spans="54:57">
      <c r="BB566" s="971">
        <v>50030</v>
      </c>
      <c r="BC566" s="968" t="str">
        <f t="shared" si="8"/>
        <v>札幌市南区南三十条西８丁目</v>
      </c>
      <c r="BD566" s="968" t="s">
        <v>569</v>
      </c>
      <c r="BE566" s="969" t="s">
        <v>2298</v>
      </c>
    </row>
    <row r="567" spans="54:57">
      <c r="BB567" s="971">
        <v>50031</v>
      </c>
      <c r="BC567" s="968" t="str">
        <f t="shared" si="8"/>
        <v>札幌市南区南三十一条西</v>
      </c>
      <c r="BD567" s="968" t="s">
        <v>569</v>
      </c>
      <c r="BE567" s="969" t="s">
        <v>1059</v>
      </c>
    </row>
    <row r="568" spans="54:57">
      <c r="BB568" s="971">
        <v>50032</v>
      </c>
      <c r="BC568" s="968" t="str">
        <f t="shared" si="8"/>
        <v>札幌市南区南三十二条西</v>
      </c>
      <c r="BD568" s="968" t="s">
        <v>569</v>
      </c>
      <c r="BE568" s="969" t="s">
        <v>1060</v>
      </c>
    </row>
    <row r="569" spans="54:57">
      <c r="BB569" s="971">
        <v>50033</v>
      </c>
      <c r="BC569" s="968" t="str">
        <f t="shared" si="8"/>
        <v>札幌市南区南三十三条西</v>
      </c>
      <c r="BD569" s="968" t="s">
        <v>569</v>
      </c>
      <c r="BE569" s="969" t="s">
        <v>1061</v>
      </c>
    </row>
    <row r="570" spans="54:57">
      <c r="BB570" s="971">
        <v>50034</v>
      </c>
      <c r="BC570" s="968" t="str">
        <f t="shared" si="8"/>
        <v>札幌市南区南三十四条西</v>
      </c>
      <c r="BD570" s="968" t="s">
        <v>569</v>
      </c>
      <c r="BE570" s="969" t="s">
        <v>1062</v>
      </c>
    </row>
    <row r="571" spans="54:57">
      <c r="BB571" s="971">
        <v>50035</v>
      </c>
      <c r="BC571" s="968" t="str">
        <f t="shared" si="8"/>
        <v>札幌市南区南三十五条西</v>
      </c>
      <c r="BD571" s="968" t="s">
        <v>569</v>
      </c>
      <c r="BE571" s="969" t="s">
        <v>1063</v>
      </c>
    </row>
    <row r="572" spans="54:57">
      <c r="BB572" s="971">
        <v>50036</v>
      </c>
      <c r="BC572" s="968" t="str">
        <f t="shared" si="8"/>
        <v>札幌市南区南三十六条西</v>
      </c>
      <c r="BD572" s="968" t="s">
        <v>569</v>
      </c>
      <c r="BE572" s="969" t="s">
        <v>1064</v>
      </c>
    </row>
    <row r="573" spans="54:57">
      <c r="BB573" s="971">
        <v>50037</v>
      </c>
      <c r="BC573" s="968" t="str">
        <f t="shared" si="8"/>
        <v>札幌市南区南三十七条西</v>
      </c>
      <c r="BD573" s="968" t="s">
        <v>569</v>
      </c>
      <c r="BE573" s="969" t="s">
        <v>1065</v>
      </c>
    </row>
    <row r="574" spans="54:57">
      <c r="BB574" s="971">
        <v>50038</v>
      </c>
      <c r="BC574" s="968" t="str">
        <f t="shared" si="8"/>
        <v>札幌市南区南三十八条西</v>
      </c>
      <c r="BD574" s="968" t="s">
        <v>569</v>
      </c>
      <c r="BE574" s="969" t="s">
        <v>1066</v>
      </c>
    </row>
    <row r="575" spans="54:57">
      <c r="BB575" s="971">
        <v>50039</v>
      </c>
      <c r="BC575" s="968" t="str">
        <f t="shared" ref="BC575:BC638" si="9">BD575&amp;BE575</f>
        <v>札幌市南区南三十九条西</v>
      </c>
      <c r="BD575" s="968" t="s">
        <v>569</v>
      </c>
      <c r="BE575" s="969" t="s">
        <v>1067</v>
      </c>
    </row>
    <row r="576" spans="54:57">
      <c r="BB576" s="971">
        <v>50040</v>
      </c>
      <c r="BC576" s="968" t="str">
        <f t="shared" si="9"/>
        <v>札幌市南区藻岩下</v>
      </c>
      <c r="BD576" s="968" t="s">
        <v>569</v>
      </c>
      <c r="BE576" s="969" t="s">
        <v>1068</v>
      </c>
    </row>
    <row r="577" spans="54:57">
      <c r="BB577" s="971">
        <v>50041</v>
      </c>
      <c r="BC577" s="968" t="str">
        <f t="shared" si="9"/>
        <v>札幌市南区藻岩山</v>
      </c>
      <c r="BD577" s="968" t="s">
        <v>569</v>
      </c>
      <c r="BE577" s="969" t="s">
        <v>1069</v>
      </c>
    </row>
    <row r="578" spans="54:57">
      <c r="BB578" s="971">
        <v>630000</v>
      </c>
      <c r="BC578" s="968" t="str">
        <f t="shared" si="9"/>
        <v>札幌市西区</v>
      </c>
      <c r="BD578" s="968" t="s">
        <v>570</v>
      </c>
    </row>
    <row r="579" spans="54:57">
      <c r="BB579" s="971">
        <v>630811</v>
      </c>
      <c r="BC579" s="968" t="str">
        <f t="shared" si="9"/>
        <v>札幌市西区琴似一条</v>
      </c>
      <c r="BD579" s="968" t="s">
        <v>570</v>
      </c>
      <c r="BE579" s="969" t="s">
        <v>1070</v>
      </c>
    </row>
    <row r="580" spans="54:57">
      <c r="BB580" s="971">
        <v>630812</v>
      </c>
      <c r="BC580" s="968" t="str">
        <f t="shared" si="9"/>
        <v>札幌市西区琴似二条</v>
      </c>
      <c r="BD580" s="968" t="s">
        <v>570</v>
      </c>
      <c r="BE580" s="969" t="s">
        <v>1071</v>
      </c>
    </row>
    <row r="581" spans="54:57">
      <c r="BB581" s="971">
        <v>630813</v>
      </c>
      <c r="BC581" s="968" t="str">
        <f t="shared" si="9"/>
        <v>札幌市西区琴似三条</v>
      </c>
      <c r="BD581" s="968" t="s">
        <v>570</v>
      </c>
      <c r="BE581" s="969" t="s">
        <v>1072</v>
      </c>
    </row>
    <row r="582" spans="54:57">
      <c r="BB582" s="971">
        <v>630814</v>
      </c>
      <c r="BC582" s="968" t="str">
        <f t="shared" si="9"/>
        <v>札幌市西区琴似四条</v>
      </c>
      <c r="BD582" s="968" t="s">
        <v>570</v>
      </c>
      <c r="BE582" s="969" t="s">
        <v>1073</v>
      </c>
    </row>
    <row r="583" spans="54:57">
      <c r="BB583" s="971">
        <v>630011</v>
      </c>
      <c r="BC583" s="968" t="str">
        <f t="shared" si="9"/>
        <v>札幌市西区小別沢</v>
      </c>
      <c r="BD583" s="968" t="s">
        <v>570</v>
      </c>
      <c r="BE583" s="969" t="s">
        <v>1074</v>
      </c>
    </row>
    <row r="584" spans="54:57">
      <c r="BB584" s="971">
        <v>630049</v>
      </c>
      <c r="BC584" s="968" t="str">
        <f t="shared" si="9"/>
        <v>札幌市西区西野</v>
      </c>
      <c r="BD584" s="968" t="s">
        <v>570</v>
      </c>
      <c r="BE584" s="969" t="s">
        <v>1075</v>
      </c>
    </row>
    <row r="585" spans="54:57">
      <c r="BB585" s="971">
        <v>630031</v>
      </c>
      <c r="BC585" s="968" t="str">
        <f t="shared" si="9"/>
        <v>札幌市西区西野一条</v>
      </c>
      <c r="BD585" s="968" t="s">
        <v>570</v>
      </c>
      <c r="BE585" s="969" t="s">
        <v>1076</v>
      </c>
    </row>
    <row r="586" spans="54:57">
      <c r="BB586" s="971">
        <v>630032</v>
      </c>
      <c r="BC586" s="968" t="str">
        <f t="shared" si="9"/>
        <v>札幌市西区西野二条</v>
      </c>
      <c r="BD586" s="968" t="s">
        <v>570</v>
      </c>
      <c r="BE586" s="969" t="s">
        <v>1077</v>
      </c>
    </row>
    <row r="587" spans="54:57">
      <c r="BB587" s="971">
        <v>630033</v>
      </c>
      <c r="BC587" s="968" t="str">
        <f t="shared" si="9"/>
        <v>札幌市西区西野三条</v>
      </c>
      <c r="BD587" s="968" t="s">
        <v>570</v>
      </c>
      <c r="BE587" s="969" t="s">
        <v>1078</v>
      </c>
    </row>
    <row r="588" spans="54:57">
      <c r="BB588" s="971">
        <v>630034</v>
      </c>
      <c r="BC588" s="968" t="str">
        <f t="shared" si="9"/>
        <v>札幌市西区西野四条</v>
      </c>
      <c r="BD588" s="968" t="s">
        <v>570</v>
      </c>
      <c r="BE588" s="969" t="s">
        <v>1079</v>
      </c>
    </row>
    <row r="589" spans="54:57">
      <c r="BB589" s="971">
        <v>630035</v>
      </c>
      <c r="BC589" s="968" t="str">
        <f t="shared" si="9"/>
        <v>札幌市西区西野五条</v>
      </c>
      <c r="BD589" s="968" t="s">
        <v>570</v>
      </c>
      <c r="BE589" s="969" t="s">
        <v>1080</v>
      </c>
    </row>
    <row r="590" spans="54:57">
      <c r="BB590" s="971">
        <v>630036</v>
      </c>
      <c r="BC590" s="968" t="str">
        <f t="shared" si="9"/>
        <v>札幌市西区西野六条</v>
      </c>
      <c r="BD590" s="968" t="s">
        <v>570</v>
      </c>
      <c r="BE590" s="969" t="s">
        <v>1081</v>
      </c>
    </row>
    <row r="591" spans="54:57">
      <c r="BB591" s="971">
        <v>630037</v>
      </c>
      <c r="BC591" s="968" t="str">
        <f t="shared" si="9"/>
        <v>札幌市西区西野七条</v>
      </c>
      <c r="BD591" s="968" t="s">
        <v>570</v>
      </c>
      <c r="BE591" s="969" t="s">
        <v>1082</v>
      </c>
    </row>
    <row r="592" spans="54:57">
      <c r="BB592" s="971">
        <v>630038</v>
      </c>
      <c r="BC592" s="968" t="str">
        <f t="shared" si="9"/>
        <v>札幌市西区西野八条</v>
      </c>
      <c r="BD592" s="968" t="s">
        <v>570</v>
      </c>
      <c r="BE592" s="969" t="s">
        <v>1083</v>
      </c>
    </row>
    <row r="593" spans="54:57">
      <c r="BB593" s="971">
        <v>630039</v>
      </c>
      <c r="BC593" s="968" t="str">
        <f t="shared" si="9"/>
        <v>札幌市西区西野九条</v>
      </c>
      <c r="BD593" s="968" t="s">
        <v>570</v>
      </c>
      <c r="BE593" s="969" t="s">
        <v>1084</v>
      </c>
    </row>
    <row r="594" spans="54:57">
      <c r="BB594" s="971">
        <v>630040</v>
      </c>
      <c r="BC594" s="968" t="str">
        <f t="shared" si="9"/>
        <v>札幌市西区西野十条</v>
      </c>
      <c r="BD594" s="968" t="s">
        <v>570</v>
      </c>
      <c r="BE594" s="969" t="s">
        <v>1085</v>
      </c>
    </row>
    <row r="595" spans="54:57">
      <c r="BB595" s="971">
        <v>630041</v>
      </c>
      <c r="BC595" s="968" t="str">
        <f t="shared" si="9"/>
        <v>札幌市西区西野十一条</v>
      </c>
      <c r="BD595" s="968" t="s">
        <v>570</v>
      </c>
      <c r="BE595" s="969" t="s">
        <v>1086</v>
      </c>
    </row>
    <row r="596" spans="54:57">
      <c r="BB596" s="971">
        <v>630042</v>
      </c>
      <c r="BC596" s="968" t="str">
        <f t="shared" si="9"/>
        <v>札幌市西区西野十二条</v>
      </c>
      <c r="BD596" s="968" t="s">
        <v>570</v>
      </c>
      <c r="BE596" s="969" t="s">
        <v>1087</v>
      </c>
    </row>
    <row r="597" spans="54:57">
      <c r="BB597" s="971">
        <v>630043</v>
      </c>
      <c r="BC597" s="968" t="str">
        <f t="shared" si="9"/>
        <v>札幌市西区西野十三条</v>
      </c>
      <c r="BD597" s="968" t="s">
        <v>570</v>
      </c>
      <c r="BE597" s="969" t="s">
        <v>1088</v>
      </c>
    </row>
    <row r="598" spans="54:57">
      <c r="BB598" s="971">
        <v>630044</v>
      </c>
      <c r="BC598" s="968" t="str">
        <f t="shared" si="9"/>
        <v>札幌市西区西野十四条</v>
      </c>
      <c r="BD598" s="968" t="s">
        <v>570</v>
      </c>
      <c r="BE598" s="969" t="s">
        <v>1089</v>
      </c>
    </row>
    <row r="599" spans="54:57">
      <c r="BB599" s="971">
        <v>630062</v>
      </c>
      <c r="BC599" s="968" t="str">
        <f t="shared" si="9"/>
        <v>札幌市西区西町南</v>
      </c>
      <c r="BD599" s="968" t="s">
        <v>570</v>
      </c>
      <c r="BE599" s="969" t="s">
        <v>1090</v>
      </c>
    </row>
    <row r="600" spans="54:57">
      <c r="BB600" s="971">
        <v>630061</v>
      </c>
      <c r="BC600" s="968" t="str">
        <f t="shared" si="9"/>
        <v>札幌市西区西町北</v>
      </c>
      <c r="BD600" s="968" t="s">
        <v>570</v>
      </c>
      <c r="BE600" s="969" t="s">
        <v>1091</v>
      </c>
    </row>
    <row r="601" spans="54:57">
      <c r="BB601" s="971">
        <v>630801</v>
      </c>
      <c r="BC601" s="968" t="str">
        <f t="shared" si="9"/>
        <v>札幌市西区二十四軒一条</v>
      </c>
      <c r="BD601" s="968" t="s">
        <v>570</v>
      </c>
      <c r="BE601" s="969" t="s">
        <v>1092</v>
      </c>
    </row>
    <row r="602" spans="54:57">
      <c r="BB602" s="971">
        <v>630802</v>
      </c>
      <c r="BC602" s="968" t="str">
        <f t="shared" si="9"/>
        <v>札幌市西区二十四軒二条</v>
      </c>
      <c r="BD602" s="968" t="s">
        <v>570</v>
      </c>
      <c r="BE602" s="969" t="s">
        <v>1093</v>
      </c>
    </row>
    <row r="603" spans="54:57">
      <c r="BB603" s="971">
        <v>630803</v>
      </c>
      <c r="BC603" s="968" t="str">
        <f t="shared" si="9"/>
        <v>札幌市西区二十四軒三条</v>
      </c>
      <c r="BD603" s="968" t="s">
        <v>570</v>
      </c>
      <c r="BE603" s="969" t="s">
        <v>1094</v>
      </c>
    </row>
    <row r="604" spans="54:57">
      <c r="BB604" s="971">
        <v>630804</v>
      </c>
      <c r="BC604" s="968" t="str">
        <f t="shared" si="9"/>
        <v>札幌市西区二十四軒四条</v>
      </c>
      <c r="BD604" s="968" t="s">
        <v>570</v>
      </c>
      <c r="BE604" s="969" t="s">
        <v>1095</v>
      </c>
    </row>
    <row r="605" spans="54:57">
      <c r="BB605" s="971">
        <v>630861</v>
      </c>
      <c r="BC605" s="968" t="str">
        <f t="shared" si="9"/>
        <v>札幌市西区八軒一条東</v>
      </c>
      <c r="BD605" s="968" t="s">
        <v>570</v>
      </c>
      <c r="BE605" s="969" t="s">
        <v>1096</v>
      </c>
    </row>
    <row r="606" spans="54:57">
      <c r="BB606" s="971">
        <v>630841</v>
      </c>
      <c r="BC606" s="968" t="str">
        <f t="shared" si="9"/>
        <v>札幌市西区八軒一条西</v>
      </c>
      <c r="BD606" s="968" t="s">
        <v>570</v>
      </c>
      <c r="BE606" s="969" t="s">
        <v>1097</v>
      </c>
    </row>
    <row r="607" spans="54:57">
      <c r="BB607" s="971">
        <v>630862</v>
      </c>
      <c r="BC607" s="968" t="str">
        <f t="shared" si="9"/>
        <v>札幌市西区八軒二条東</v>
      </c>
      <c r="BD607" s="968" t="s">
        <v>570</v>
      </c>
      <c r="BE607" s="969" t="s">
        <v>1098</v>
      </c>
    </row>
    <row r="608" spans="54:57">
      <c r="BB608" s="971">
        <v>630842</v>
      </c>
      <c r="BC608" s="968" t="str">
        <f t="shared" si="9"/>
        <v>札幌市西区八軒二条西</v>
      </c>
      <c r="BD608" s="968" t="s">
        <v>570</v>
      </c>
      <c r="BE608" s="969" t="s">
        <v>1099</v>
      </c>
    </row>
    <row r="609" spans="54:57">
      <c r="BB609" s="971">
        <v>630863</v>
      </c>
      <c r="BC609" s="968" t="str">
        <f t="shared" si="9"/>
        <v>札幌市西区八軒三条東</v>
      </c>
      <c r="BD609" s="968" t="s">
        <v>570</v>
      </c>
      <c r="BE609" s="969" t="s">
        <v>1100</v>
      </c>
    </row>
    <row r="610" spans="54:57">
      <c r="BB610" s="971">
        <v>630843</v>
      </c>
      <c r="BC610" s="968" t="str">
        <f t="shared" si="9"/>
        <v>札幌市西区八軒三条西</v>
      </c>
      <c r="BD610" s="968" t="s">
        <v>570</v>
      </c>
      <c r="BE610" s="969" t="s">
        <v>1101</v>
      </c>
    </row>
    <row r="611" spans="54:57">
      <c r="BB611" s="971">
        <v>630864</v>
      </c>
      <c r="BC611" s="968" t="str">
        <f t="shared" si="9"/>
        <v>札幌市西区八軒四条東</v>
      </c>
      <c r="BD611" s="968" t="s">
        <v>570</v>
      </c>
      <c r="BE611" s="969" t="s">
        <v>1102</v>
      </c>
    </row>
    <row r="612" spans="54:57">
      <c r="BB612" s="971">
        <v>630844</v>
      </c>
      <c r="BC612" s="968" t="str">
        <f t="shared" si="9"/>
        <v>札幌市西区八軒四条西</v>
      </c>
      <c r="BD612" s="968" t="s">
        <v>570</v>
      </c>
      <c r="BE612" s="969" t="s">
        <v>1103</v>
      </c>
    </row>
    <row r="613" spans="54:57">
      <c r="BB613" s="971">
        <v>630865</v>
      </c>
      <c r="BC613" s="968" t="str">
        <f t="shared" si="9"/>
        <v>札幌市西区八軒五条東</v>
      </c>
      <c r="BD613" s="968" t="s">
        <v>570</v>
      </c>
      <c r="BE613" s="969" t="s">
        <v>1104</v>
      </c>
    </row>
    <row r="614" spans="54:57">
      <c r="BB614" s="971">
        <v>630845</v>
      </c>
      <c r="BC614" s="968" t="str">
        <f t="shared" si="9"/>
        <v>札幌市西区八軒五条西</v>
      </c>
      <c r="BD614" s="968" t="s">
        <v>570</v>
      </c>
      <c r="BE614" s="969" t="s">
        <v>1105</v>
      </c>
    </row>
    <row r="615" spans="54:57">
      <c r="BB615" s="971">
        <v>630866</v>
      </c>
      <c r="BC615" s="968" t="str">
        <f t="shared" si="9"/>
        <v>札幌市西区八軒六条東</v>
      </c>
      <c r="BD615" s="968" t="s">
        <v>570</v>
      </c>
      <c r="BE615" s="969" t="s">
        <v>1106</v>
      </c>
    </row>
    <row r="616" spans="54:57">
      <c r="BB616" s="971">
        <v>630846</v>
      </c>
      <c r="BC616" s="968" t="str">
        <f t="shared" si="9"/>
        <v>札幌市西区八軒六条西</v>
      </c>
      <c r="BD616" s="968" t="s">
        <v>570</v>
      </c>
      <c r="BE616" s="969" t="s">
        <v>1107</v>
      </c>
    </row>
    <row r="617" spans="54:57">
      <c r="BB617" s="971">
        <v>630867</v>
      </c>
      <c r="BC617" s="968" t="str">
        <f t="shared" si="9"/>
        <v>札幌市西区八軒七条東</v>
      </c>
      <c r="BD617" s="968" t="s">
        <v>570</v>
      </c>
      <c r="BE617" s="969" t="s">
        <v>1108</v>
      </c>
    </row>
    <row r="618" spans="54:57">
      <c r="BB618" s="971">
        <v>630847</v>
      </c>
      <c r="BC618" s="968" t="str">
        <f t="shared" si="9"/>
        <v>札幌市西区八軒七条西</v>
      </c>
      <c r="BD618" s="968" t="s">
        <v>570</v>
      </c>
      <c r="BE618" s="969" t="s">
        <v>1109</v>
      </c>
    </row>
    <row r="619" spans="54:57">
      <c r="BB619" s="971">
        <v>630868</v>
      </c>
      <c r="BC619" s="968" t="str">
        <f t="shared" si="9"/>
        <v>札幌市西区八軒八条東</v>
      </c>
      <c r="BD619" s="968" t="s">
        <v>570</v>
      </c>
      <c r="BE619" s="969" t="s">
        <v>1110</v>
      </c>
    </row>
    <row r="620" spans="54:57">
      <c r="BB620" s="971">
        <v>630848</v>
      </c>
      <c r="BC620" s="968" t="str">
        <f t="shared" si="9"/>
        <v>札幌市西区八軒八条西</v>
      </c>
      <c r="BD620" s="968" t="s">
        <v>570</v>
      </c>
      <c r="BE620" s="969" t="s">
        <v>1111</v>
      </c>
    </row>
    <row r="621" spans="54:57">
      <c r="BB621" s="971">
        <v>630869</v>
      </c>
      <c r="BC621" s="968" t="str">
        <f t="shared" si="9"/>
        <v>札幌市西区八軒九条東</v>
      </c>
      <c r="BD621" s="968" t="s">
        <v>570</v>
      </c>
      <c r="BE621" s="969" t="s">
        <v>1112</v>
      </c>
    </row>
    <row r="622" spans="54:57">
      <c r="BB622" s="971">
        <v>630849</v>
      </c>
      <c r="BC622" s="968" t="str">
        <f t="shared" si="9"/>
        <v>札幌市西区八軒九条西</v>
      </c>
      <c r="BD622" s="968" t="s">
        <v>570</v>
      </c>
      <c r="BE622" s="969" t="s">
        <v>1113</v>
      </c>
    </row>
    <row r="623" spans="54:57">
      <c r="BB623" s="971">
        <v>630870</v>
      </c>
      <c r="BC623" s="968" t="str">
        <f t="shared" si="9"/>
        <v>札幌市西区八軒十条東</v>
      </c>
      <c r="BD623" s="968" t="s">
        <v>570</v>
      </c>
      <c r="BE623" s="969" t="s">
        <v>1114</v>
      </c>
    </row>
    <row r="624" spans="54:57">
      <c r="BB624" s="971">
        <v>630850</v>
      </c>
      <c r="BC624" s="968" t="str">
        <f t="shared" si="9"/>
        <v>札幌市西区八軒十条西</v>
      </c>
      <c r="BD624" s="968" t="s">
        <v>570</v>
      </c>
      <c r="BE624" s="969" t="s">
        <v>1115</v>
      </c>
    </row>
    <row r="625" spans="54:57">
      <c r="BB625" s="971">
        <v>630821</v>
      </c>
      <c r="BC625" s="968" t="str">
        <f t="shared" si="9"/>
        <v>札幌市西区発寒一条</v>
      </c>
      <c r="BD625" s="968" t="s">
        <v>570</v>
      </c>
      <c r="BE625" s="969" t="s">
        <v>1116</v>
      </c>
    </row>
    <row r="626" spans="54:57">
      <c r="BB626" s="971">
        <v>630822</v>
      </c>
      <c r="BC626" s="968" t="str">
        <f t="shared" si="9"/>
        <v>札幌市西区発寒二条</v>
      </c>
      <c r="BD626" s="968" t="s">
        <v>570</v>
      </c>
      <c r="BE626" s="969" t="s">
        <v>1117</v>
      </c>
    </row>
    <row r="627" spans="54:57">
      <c r="BB627" s="971">
        <v>630823</v>
      </c>
      <c r="BC627" s="968" t="str">
        <f t="shared" si="9"/>
        <v>札幌市西区発寒三条</v>
      </c>
      <c r="BD627" s="968" t="s">
        <v>570</v>
      </c>
      <c r="BE627" s="969" t="s">
        <v>1118</v>
      </c>
    </row>
    <row r="628" spans="54:57">
      <c r="BB628" s="971">
        <v>630824</v>
      </c>
      <c r="BC628" s="968" t="str">
        <f t="shared" si="9"/>
        <v>札幌市西区発寒四条</v>
      </c>
      <c r="BD628" s="968" t="s">
        <v>570</v>
      </c>
      <c r="BE628" s="969" t="s">
        <v>1119</v>
      </c>
    </row>
    <row r="629" spans="54:57">
      <c r="BB629" s="971">
        <v>630825</v>
      </c>
      <c r="BC629" s="968" t="str">
        <f t="shared" si="9"/>
        <v>札幌市西区発寒五条</v>
      </c>
      <c r="BD629" s="968" t="s">
        <v>570</v>
      </c>
      <c r="BE629" s="969" t="s">
        <v>1120</v>
      </c>
    </row>
    <row r="630" spans="54:57">
      <c r="BB630" s="971">
        <v>630826</v>
      </c>
      <c r="BC630" s="968" t="str">
        <f t="shared" si="9"/>
        <v>札幌市西区発寒六条</v>
      </c>
      <c r="BD630" s="968" t="s">
        <v>570</v>
      </c>
      <c r="BE630" s="969" t="s">
        <v>1121</v>
      </c>
    </row>
    <row r="631" spans="54:57">
      <c r="BB631" s="971">
        <v>630827</v>
      </c>
      <c r="BC631" s="968" t="str">
        <f t="shared" si="9"/>
        <v>札幌市西区発寒七条</v>
      </c>
      <c r="BD631" s="968" t="s">
        <v>570</v>
      </c>
      <c r="BE631" s="969" t="s">
        <v>1122</v>
      </c>
    </row>
    <row r="632" spans="54:57">
      <c r="BB632" s="971">
        <v>630828</v>
      </c>
      <c r="BC632" s="968" t="str">
        <f t="shared" si="9"/>
        <v>札幌市西区発寒八条</v>
      </c>
      <c r="BD632" s="968" t="s">
        <v>570</v>
      </c>
      <c r="BE632" s="969" t="s">
        <v>1123</v>
      </c>
    </row>
    <row r="633" spans="54:57">
      <c r="BB633" s="971">
        <v>630829</v>
      </c>
      <c r="BC633" s="968" t="str">
        <f t="shared" si="9"/>
        <v>札幌市西区発寒九条</v>
      </c>
      <c r="BD633" s="968" t="s">
        <v>570</v>
      </c>
      <c r="BE633" s="969" t="s">
        <v>1124</v>
      </c>
    </row>
    <row r="634" spans="54:57">
      <c r="BB634" s="971">
        <v>630830</v>
      </c>
      <c r="BC634" s="968" t="str">
        <f t="shared" si="9"/>
        <v>札幌市西区発寒十条</v>
      </c>
      <c r="BD634" s="968" t="s">
        <v>570</v>
      </c>
      <c r="BE634" s="969" t="s">
        <v>1125</v>
      </c>
    </row>
    <row r="635" spans="54:57">
      <c r="BB635" s="971">
        <v>630831</v>
      </c>
      <c r="BC635" s="968" t="str">
        <f t="shared" si="9"/>
        <v>札幌市西区発寒十一条</v>
      </c>
      <c r="BD635" s="968" t="s">
        <v>570</v>
      </c>
      <c r="BE635" s="969" t="s">
        <v>1126</v>
      </c>
    </row>
    <row r="636" spans="54:57">
      <c r="BB636" s="971">
        <v>630832</v>
      </c>
      <c r="BC636" s="968" t="str">
        <f t="shared" si="9"/>
        <v>札幌市西区発寒十二条</v>
      </c>
      <c r="BD636" s="968" t="s">
        <v>570</v>
      </c>
      <c r="BE636" s="969" t="s">
        <v>1127</v>
      </c>
    </row>
    <row r="637" spans="54:57">
      <c r="BB637" s="971">
        <v>630833</v>
      </c>
      <c r="BC637" s="968" t="str">
        <f t="shared" si="9"/>
        <v>札幌市西区発寒十三条</v>
      </c>
      <c r="BD637" s="968" t="s">
        <v>570</v>
      </c>
      <c r="BE637" s="969" t="s">
        <v>1128</v>
      </c>
    </row>
    <row r="638" spans="54:57">
      <c r="BB638" s="971">
        <v>630834</v>
      </c>
      <c r="BC638" s="968" t="str">
        <f t="shared" si="9"/>
        <v>札幌市西区発寒十四条</v>
      </c>
      <c r="BD638" s="968" t="s">
        <v>570</v>
      </c>
      <c r="BE638" s="969" t="s">
        <v>1129</v>
      </c>
    </row>
    <row r="639" spans="54:57">
      <c r="BB639" s="971">
        <v>630835</v>
      </c>
      <c r="BC639" s="968" t="str">
        <f t="shared" ref="BC639:BC702" si="10">BD639&amp;BE639</f>
        <v>札幌市西区発寒十五条</v>
      </c>
      <c r="BD639" s="968" t="s">
        <v>570</v>
      </c>
      <c r="BE639" s="969" t="s">
        <v>1130</v>
      </c>
    </row>
    <row r="640" spans="54:57">
      <c r="BB640" s="971">
        <v>630836</v>
      </c>
      <c r="BC640" s="968" t="str">
        <f t="shared" si="10"/>
        <v>札幌市西区発寒十六条</v>
      </c>
      <c r="BD640" s="968" t="s">
        <v>570</v>
      </c>
      <c r="BE640" s="969" t="s">
        <v>1131</v>
      </c>
    </row>
    <row r="641" spans="54:57">
      <c r="BB641" s="971">
        <v>630837</v>
      </c>
      <c r="BC641" s="968" t="str">
        <f t="shared" si="10"/>
        <v>札幌市西区発寒十七条</v>
      </c>
      <c r="BD641" s="968" t="s">
        <v>570</v>
      </c>
      <c r="BE641" s="969" t="s">
        <v>1132</v>
      </c>
    </row>
    <row r="642" spans="54:57">
      <c r="BB642" s="971">
        <v>630012</v>
      </c>
      <c r="BC642" s="968" t="str">
        <f t="shared" si="10"/>
        <v>札幌市西区福井</v>
      </c>
      <c r="BD642" s="968" t="s">
        <v>570</v>
      </c>
      <c r="BE642" s="969" t="s">
        <v>1133</v>
      </c>
    </row>
    <row r="643" spans="54:57">
      <c r="BB643" s="971">
        <v>630029</v>
      </c>
      <c r="BC643" s="968" t="str">
        <f t="shared" si="10"/>
        <v>札幌市西区平和</v>
      </c>
      <c r="BD643" s="968" t="s">
        <v>570</v>
      </c>
      <c r="BE643" s="969" t="s">
        <v>1134</v>
      </c>
    </row>
    <row r="644" spans="54:57">
      <c r="BB644" s="971">
        <v>630021</v>
      </c>
      <c r="BC644" s="968" t="str">
        <f t="shared" si="10"/>
        <v>札幌市西区平和一条</v>
      </c>
      <c r="BD644" s="968" t="s">
        <v>570</v>
      </c>
      <c r="BE644" s="969" t="s">
        <v>1135</v>
      </c>
    </row>
    <row r="645" spans="54:57">
      <c r="BB645" s="971">
        <v>630022</v>
      </c>
      <c r="BC645" s="968" t="str">
        <f t="shared" si="10"/>
        <v>札幌市西区平和二条</v>
      </c>
      <c r="BD645" s="968" t="s">
        <v>570</v>
      </c>
      <c r="BE645" s="969" t="s">
        <v>1136</v>
      </c>
    </row>
    <row r="646" spans="54:57">
      <c r="BB646" s="971">
        <v>630023</v>
      </c>
      <c r="BC646" s="968" t="str">
        <f t="shared" si="10"/>
        <v>札幌市西区平和三条</v>
      </c>
      <c r="BD646" s="968" t="s">
        <v>570</v>
      </c>
      <c r="BE646" s="969" t="s">
        <v>1137</v>
      </c>
    </row>
    <row r="647" spans="54:57">
      <c r="BB647" s="971">
        <v>630059</v>
      </c>
      <c r="BC647" s="968" t="str">
        <f t="shared" si="10"/>
        <v>札幌市西区宮の沢</v>
      </c>
      <c r="BD647" s="968" t="s">
        <v>570</v>
      </c>
      <c r="BE647" s="969" t="s">
        <v>1138</v>
      </c>
    </row>
    <row r="648" spans="54:57">
      <c r="BB648" s="971">
        <v>630051</v>
      </c>
      <c r="BC648" s="968" t="str">
        <f t="shared" si="10"/>
        <v>札幌市西区宮の沢一条</v>
      </c>
      <c r="BD648" s="968" t="s">
        <v>570</v>
      </c>
      <c r="BE648" s="969" t="s">
        <v>1139</v>
      </c>
    </row>
    <row r="649" spans="54:57">
      <c r="BB649" s="971">
        <v>630052</v>
      </c>
      <c r="BC649" s="968" t="str">
        <f t="shared" si="10"/>
        <v>札幌市西区宮の沢二条</v>
      </c>
      <c r="BD649" s="968" t="s">
        <v>570</v>
      </c>
      <c r="BE649" s="969" t="s">
        <v>1140</v>
      </c>
    </row>
    <row r="650" spans="54:57">
      <c r="BB650" s="971">
        <v>630053</v>
      </c>
      <c r="BC650" s="968" t="str">
        <f t="shared" si="10"/>
        <v>札幌市西区宮の沢三条</v>
      </c>
      <c r="BD650" s="968" t="s">
        <v>570</v>
      </c>
      <c r="BE650" s="969" t="s">
        <v>1141</v>
      </c>
    </row>
    <row r="651" spans="54:57">
      <c r="BB651" s="971">
        <v>630054</v>
      </c>
      <c r="BC651" s="968" t="str">
        <f t="shared" si="10"/>
        <v>札幌市西区宮の沢四条</v>
      </c>
      <c r="BD651" s="968" t="s">
        <v>570</v>
      </c>
      <c r="BE651" s="969" t="s">
        <v>1142</v>
      </c>
    </row>
    <row r="652" spans="54:57">
      <c r="BB652" s="971">
        <v>630009</v>
      </c>
      <c r="BC652" s="968" t="str">
        <f t="shared" si="10"/>
        <v>札幌市西区山の手</v>
      </c>
      <c r="BD652" s="968" t="s">
        <v>570</v>
      </c>
      <c r="BE652" s="969" t="s">
        <v>1143</v>
      </c>
    </row>
    <row r="653" spans="54:57">
      <c r="BB653" s="971">
        <v>630001</v>
      </c>
      <c r="BC653" s="968" t="str">
        <f t="shared" si="10"/>
        <v>札幌市西区山の手一条</v>
      </c>
      <c r="BD653" s="968" t="s">
        <v>570</v>
      </c>
      <c r="BE653" s="969" t="s">
        <v>1144</v>
      </c>
    </row>
    <row r="654" spans="54:57">
      <c r="BB654" s="971">
        <v>630002</v>
      </c>
      <c r="BC654" s="968" t="str">
        <f t="shared" si="10"/>
        <v>札幌市西区山の手二条</v>
      </c>
      <c r="BD654" s="968" t="s">
        <v>570</v>
      </c>
      <c r="BE654" s="969" t="s">
        <v>1145</v>
      </c>
    </row>
    <row r="655" spans="54:57">
      <c r="BB655" s="971">
        <v>630003</v>
      </c>
      <c r="BC655" s="968" t="str">
        <f t="shared" si="10"/>
        <v>札幌市西区山の手三条</v>
      </c>
      <c r="BD655" s="968" t="s">
        <v>570</v>
      </c>
      <c r="BE655" s="969" t="s">
        <v>1146</v>
      </c>
    </row>
    <row r="656" spans="54:57">
      <c r="BB656" s="971">
        <v>630004</v>
      </c>
      <c r="BC656" s="968" t="str">
        <f t="shared" si="10"/>
        <v>札幌市西区山の手四条</v>
      </c>
      <c r="BD656" s="968" t="s">
        <v>570</v>
      </c>
      <c r="BE656" s="969" t="s">
        <v>1147</v>
      </c>
    </row>
    <row r="657" spans="54:57">
      <c r="BB657" s="971">
        <v>630005</v>
      </c>
      <c r="BC657" s="968" t="str">
        <f t="shared" si="10"/>
        <v>札幌市西区山の手五条</v>
      </c>
      <c r="BD657" s="968" t="s">
        <v>570</v>
      </c>
      <c r="BE657" s="969" t="s">
        <v>1148</v>
      </c>
    </row>
    <row r="658" spans="54:57">
      <c r="BB658" s="971">
        <v>630006</v>
      </c>
      <c r="BC658" s="968" t="str">
        <f t="shared" si="10"/>
        <v>札幌市西区山の手六条</v>
      </c>
      <c r="BD658" s="968" t="s">
        <v>570</v>
      </c>
      <c r="BE658" s="969" t="s">
        <v>1149</v>
      </c>
    </row>
    <row r="659" spans="54:57">
      <c r="BB659" s="971">
        <v>630007</v>
      </c>
      <c r="BC659" s="968" t="str">
        <f t="shared" si="10"/>
        <v>札幌市西区山の手七条</v>
      </c>
      <c r="BD659" s="968" t="s">
        <v>570</v>
      </c>
      <c r="BE659" s="969" t="s">
        <v>1150</v>
      </c>
    </row>
    <row r="660" spans="54:57">
      <c r="BB660" s="971">
        <v>40000</v>
      </c>
      <c r="BC660" s="968" t="str">
        <f t="shared" si="10"/>
        <v>札幌市厚別区</v>
      </c>
      <c r="BD660" s="968" t="s">
        <v>571</v>
      </c>
    </row>
    <row r="661" spans="54:57">
      <c r="BB661" s="971">
        <v>40021</v>
      </c>
      <c r="BC661" s="968" t="str">
        <f t="shared" si="10"/>
        <v>札幌市厚別区青葉町</v>
      </c>
      <c r="BD661" s="968" t="s">
        <v>571</v>
      </c>
      <c r="BE661" s="969" t="s">
        <v>1151</v>
      </c>
    </row>
    <row r="662" spans="54:57">
      <c r="BB662" s="971">
        <v>40071</v>
      </c>
      <c r="BC662" s="968" t="str">
        <f t="shared" si="10"/>
        <v>札幌市厚別区厚別北一条</v>
      </c>
      <c r="BD662" s="968" t="s">
        <v>571</v>
      </c>
      <c r="BE662" s="969" t="s">
        <v>1152</v>
      </c>
    </row>
    <row r="663" spans="54:57">
      <c r="BB663" s="971">
        <v>40072</v>
      </c>
      <c r="BC663" s="968" t="str">
        <f t="shared" si="10"/>
        <v>札幌市厚別区厚別北二条</v>
      </c>
      <c r="BD663" s="968" t="s">
        <v>571</v>
      </c>
      <c r="BE663" s="969" t="s">
        <v>1153</v>
      </c>
    </row>
    <row r="664" spans="54:57">
      <c r="BB664" s="971">
        <v>40073</v>
      </c>
      <c r="BC664" s="968" t="str">
        <f t="shared" si="10"/>
        <v>札幌市厚別区厚別北三条</v>
      </c>
      <c r="BD664" s="968" t="s">
        <v>571</v>
      </c>
      <c r="BE664" s="969" t="s">
        <v>1154</v>
      </c>
    </row>
    <row r="665" spans="54:57">
      <c r="BB665" s="971">
        <v>40074</v>
      </c>
      <c r="BC665" s="968" t="str">
        <f t="shared" si="10"/>
        <v>札幌市厚別区厚別北四条</v>
      </c>
      <c r="BD665" s="968" t="s">
        <v>571</v>
      </c>
      <c r="BE665" s="969" t="s">
        <v>1155</v>
      </c>
    </row>
    <row r="666" spans="54:57">
      <c r="BB666" s="971">
        <v>40075</v>
      </c>
      <c r="BC666" s="968" t="str">
        <f t="shared" si="10"/>
        <v>札幌市厚別区厚別北五条</v>
      </c>
      <c r="BD666" s="968" t="s">
        <v>571</v>
      </c>
      <c r="BE666" s="969" t="s">
        <v>1156</v>
      </c>
    </row>
    <row r="667" spans="54:57">
      <c r="BB667" s="971">
        <v>40076</v>
      </c>
      <c r="BC667" s="968" t="str">
        <f t="shared" si="10"/>
        <v>札幌市厚別区厚別北六条</v>
      </c>
      <c r="BD667" s="968" t="s">
        <v>571</v>
      </c>
      <c r="BE667" s="969" t="s">
        <v>1157</v>
      </c>
    </row>
    <row r="668" spans="54:57">
      <c r="BB668" s="971">
        <v>40051</v>
      </c>
      <c r="BC668" s="968" t="str">
        <f t="shared" si="10"/>
        <v>札幌市厚別区厚別中央一条</v>
      </c>
      <c r="BD668" s="968" t="s">
        <v>571</v>
      </c>
      <c r="BE668" s="969" t="s">
        <v>1158</v>
      </c>
    </row>
    <row r="669" spans="54:57">
      <c r="BB669" s="971">
        <v>40052</v>
      </c>
      <c r="BC669" s="968" t="str">
        <f t="shared" si="10"/>
        <v>札幌市厚別区厚別中央二条</v>
      </c>
      <c r="BD669" s="968" t="s">
        <v>571</v>
      </c>
      <c r="BE669" s="969" t="s">
        <v>1159</v>
      </c>
    </row>
    <row r="670" spans="54:57">
      <c r="BB670" s="971">
        <v>40053</v>
      </c>
      <c r="BC670" s="968" t="str">
        <f t="shared" si="10"/>
        <v>札幌市厚別区厚別中央三条</v>
      </c>
      <c r="BD670" s="968" t="s">
        <v>571</v>
      </c>
      <c r="BE670" s="969" t="s">
        <v>1160</v>
      </c>
    </row>
    <row r="671" spans="54:57">
      <c r="BB671" s="971">
        <v>40054</v>
      </c>
      <c r="BC671" s="968" t="str">
        <f t="shared" si="10"/>
        <v>札幌市厚別区厚別中央四条</v>
      </c>
      <c r="BD671" s="968" t="s">
        <v>571</v>
      </c>
      <c r="BE671" s="969" t="s">
        <v>1161</v>
      </c>
    </row>
    <row r="672" spans="54:57">
      <c r="BB672" s="971">
        <v>40055</v>
      </c>
      <c r="BC672" s="968" t="str">
        <f t="shared" si="10"/>
        <v>札幌市厚別区厚別中央五条</v>
      </c>
      <c r="BD672" s="968" t="s">
        <v>571</v>
      </c>
      <c r="BE672" s="969" t="s">
        <v>1162</v>
      </c>
    </row>
    <row r="673" spans="54:57">
      <c r="BB673" s="971">
        <v>40039</v>
      </c>
      <c r="BC673" s="968" t="str">
        <f t="shared" si="10"/>
        <v>札幌市厚別区厚別町上野幌</v>
      </c>
      <c r="BD673" s="968" t="s">
        <v>571</v>
      </c>
      <c r="BE673" s="969" t="s">
        <v>1163</v>
      </c>
    </row>
    <row r="674" spans="54:57">
      <c r="BB674" s="971">
        <v>40007</v>
      </c>
      <c r="BC674" s="968" t="str">
        <f t="shared" si="10"/>
        <v>札幌市厚別区厚別町下野幌</v>
      </c>
      <c r="BD674" s="968" t="s">
        <v>571</v>
      </c>
      <c r="BE674" s="969" t="s">
        <v>1164</v>
      </c>
    </row>
    <row r="675" spans="54:57">
      <c r="BB675" s="971">
        <v>40006</v>
      </c>
      <c r="BC675" s="968" t="str">
        <f t="shared" si="10"/>
        <v>札幌市厚別区厚別町小野幌</v>
      </c>
      <c r="BD675" s="968" t="s">
        <v>571</v>
      </c>
      <c r="BE675" s="969" t="s">
        <v>1165</v>
      </c>
    </row>
    <row r="676" spans="54:57">
      <c r="BB676" s="971">
        <v>40069</v>
      </c>
      <c r="BC676" s="968" t="str">
        <f t="shared" si="10"/>
        <v>札幌市厚別区厚別町山本</v>
      </c>
      <c r="BD676" s="968" t="s">
        <v>571</v>
      </c>
      <c r="BE676" s="969" t="s">
        <v>1166</v>
      </c>
    </row>
    <row r="677" spans="54:57">
      <c r="BB677" s="971">
        <v>40068</v>
      </c>
      <c r="BC677" s="968" t="str">
        <f t="shared" si="10"/>
        <v>札幌市厚別区厚別西</v>
      </c>
      <c r="BD677" s="968" t="s">
        <v>571</v>
      </c>
      <c r="BE677" s="969" t="s">
        <v>1167</v>
      </c>
    </row>
    <row r="678" spans="54:57">
      <c r="BB678" s="971">
        <v>40061</v>
      </c>
      <c r="BC678" s="968" t="str">
        <f t="shared" si="10"/>
        <v>札幌市厚別区厚別西一条</v>
      </c>
      <c r="BD678" s="968" t="s">
        <v>571</v>
      </c>
      <c r="BE678" s="969" t="s">
        <v>1168</v>
      </c>
    </row>
    <row r="679" spans="54:57">
      <c r="BB679" s="971">
        <v>40062</v>
      </c>
      <c r="BC679" s="968" t="str">
        <f t="shared" si="10"/>
        <v>札幌市厚別区厚別西二条</v>
      </c>
      <c r="BD679" s="968" t="s">
        <v>571</v>
      </c>
      <c r="BE679" s="969" t="s">
        <v>1169</v>
      </c>
    </row>
    <row r="680" spans="54:57">
      <c r="BB680" s="971">
        <v>40063</v>
      </c>
      <c r="BC680" s="968" t="str">
        <f t="shared" si="10"/>
        <v>札幌市厚別区厚別西三条</v>
      </c>
      <c r="BD680" s="968" t="s">
        <v>571</v>
      </c>
      <c r="BE680" s="969" t="s">
        <v>1170</v>
      </c>
    </row>
    <row r="681" spans="54:57">
      <c r="BB681" s="971">
        <v>40064</v>
      </c>
      <c r="BC681" s="968" t="str">
        <f t="shared" si="10"/>
        <v>札幌市厚別区厚別西四条</v>
      </c>
      <c r="BD681" s="968" t="s">
        <v>571</v>
      </c>
      <c r="BE681" s="969" t="s">
        <v>1171</v>
      </c>
    </row>
    <row r="682" spans="54:57">
      <c r="BB682" s="971">
        <v>40065</v>
      </c>
      <c r="BC682" s="968" t="str">
        <f t="shared" si="10"/>
        <v>札幌市厚別区厚別西五条</v>
      </c>
      <c r="BD682" s="968" t="s">
        <v>571</v>
      </c>
      <c r="BE682" s="969" t="s">
        <v>1172</v>
      </c>
    </row>
    <row r="683" spans="54:57">
      <c r="BB683" s="971">
        <v>40001</v>
      </c>
      <c r="BC683" s="968" t="str">
        <f t="shared" si="10"/>
        <v>札幌市厚別区厚別東一条</v>
      </c>
      <c r="BD683" s="968" t="s">
        <v>571</v>
      </c>
      <c r="BE683" s="969" t="s">
        <v>1173</v>
      </c>
    </row>
    <row r="684" spans="54:57">
      <c r="BB684" s="971">
        <v>40002</v>
      </c>
      <c r="BC684" s="968" t="str">
        <f t="shared" si="10"/>
        <v>札幌市厚別区厚別東二条</v>
      </c>
      <c r="BD684" s="968" t="s">
        <v>571</v>
      </c>
      <c r="BE684" s="969" t="s">
        <v>1174</v>
      </c>
    </row>
    <row r="685" spans="54:57">
      <c r="BB685" s="971">
        <v>40003</v>
      </c>
      <c r="BC685" s="968" t="str">
        <f t="shared" si="10"/>
        <v>札幌市厚別区厚別東三条</v>
      </c>
      <c r="BD685" s="968" t="s">
        <v>571</v>
      </c>
      <c r="BE685" s="969" t="s">
        <v>1175</v>
      </c>
    </row>
    <row r="686" spans="54:57">
      <c r="BB686" s="971">
        <v>40004</v>
      </c>
      <c r="BC686" s="968" t="str">
        <f t="shared" si="10"/>
        <v>札幌市厚別区厚別東四条</v>
      </c>
      <c r="BD686" s="968" t="s">
        <v>571</v>
      </c>
      <c r="BE686" s="969" t="s">
        <v>1176</v>
      </c>
    </row>
    <row r="687" spans="54:57">
      <c r="BB687" s="971">
        <v>40005</v>
      </c>
      <c r="BC687" s="968" t="str">
        <f t="shared" si="10"/>
        <v>札幌市厚別区厚別東五条</v>
      </c>
      <c r="BD687" s="968" t="s">
        <v>571</v>
      </c>
      <c r="BE687" s="969" t="s">
        <v>1177</v>
      </c>
    </row>
    <row r="688" spans="54:57">
      <c r="BB688" s="971">
        <v>40022</v>
      </c>
      <c r="BC688" s="968" t="str">
        <f t="shared" si="10"/>
        <v>札幌市厚別区厚別南</v>
      </c>
      <c r="BD688" s="968" t="s">
        <v>571</v>
      </c>
      <c r="BE688" s="969" t="s">
        <v>1178</v>
      </c>
    </row>
    <row r="689" spans="54:57">
      <c r="BB689" s="971">
        <v>40041</v>
      </c>
      <c r="BC689" s="968" t="str">
        <f t="shared" si="10"/>
        <v>札幌市厚別区大谷地東</v>
      </c>
      <c r="BD689" s="968" t="s">
        <v>571</v>
      </c>
      <c r="BE689" s="969" t="s">
        <v>1179</v>
      </c>
    </row>
    <row r="690" spans="54:57">
      <c r="BB690" s="971">
        <v>40042</v>
      </c>
      <c r="BC690" s="968" t="str">
        <f t="shared" si="10"/>
        <v>札幌市厚別区大谷地西</v>
      </c>
      <c r="BD690" s="968" t="s">
        <v>571</v>
      </c>
      <c r="BE690" s="969" t="s">
        <v>1180</v>
      </c>
    </row>
    <row r="691" spans="54:57">
      <c r="BB691" s="971">
        <v>40031</v>
      </c>
      <c r="BC691" s="968" t="str">
        <f t="shared" si="10"/>
        <v>札幌市厚別区上野幌一条</v>
      </c>
      <c r="BD691" s="968" t="s">
        <v>571</v>
      </c>
      <c r="BE691" s="969" t="s">
        <v>1181</v>
      </c>
    </row>
    <row r="692" spans="54:57">
      <c r="BB692" s="971">
        <v>40032</v>
      </c>
      <c r="BC692" s="968" t="str">
        <f t="shared" si="10"/>
        <v>札幌市厚別区上野幌二条</v>
      </c>
      <c r="BD692" s="968" t="s">
        <v>571</v>
      </c>
      <c r="BE692" s="969" t="s">
        <v>1182</v>
      </c>
    </row>
    <row r="693" spans="54:57">
      <c r="BB693" s="971">
        <v>40033</v>
      </c>
      <c r="BC693" s="968" t="str">
        <f t="shared" si="10"/>
        <v>札幌市厚別区上野幌三条</v>
      </c>
      <c r="BD693" s="968" t="s">
        <v>571</v>
      </c>
      <c r="BE693" s="969" t="s">
        <v>1183</v>
      </c>
    </row>
    <row r="694" spans="54:57">
      <c r="BB694" s="971">
        <v>40015</v>
      </c>
      <c r="BC694" s="968" t="str">
        <f t="shared" si="10"/>
        <v>札幌市厚別区下野幌テクノパーク</v>
      </c>
      <c r="BD694" s="968" t="s">
        <v>571</v>
      </c>
      <c r="BE694" s="969" t="s">
        <v>1184</v>
      </c>
    </row>
    <row r="695" spans="54:57">
      <c r="BB695" s="971">
        <v>40011</v>
      </c>
      <c r="BC695" s="968" t="str">
        <f t="shared" si="10"/>
        <v>札幌市厚別区もみじ台東</v>
      </c>
      <c r="BD695" s="968" t="s">
        <v>571</v>
      </c>
      <c r="BE695" s="969" t="s">
        <v>1185</v>
      </c>
    </row>
    <row r="696" spans="54:57">
      <c r="BB696" s="971">
        <v>40013</v>
      </c>
      <c r="BC696" s="968" t="str">
        <f t="shared" si="10"/>
        <v>札幌市厚別区もみじ台西</v>
      </c>
      <c r="BD696" s="968" t="s">
        <v>571</v>
      </c>
      <c r="BE696" s="969" t="s">
        <v>1186</v>
      </c>
    </row>
    <row r="697" spans="54:57">
      <c r="BB697" s="971">
        <v>40012</v>
      </c>
      <c r="BC697" s="968" t="str">
        <f t="shared" si="10"/>
        <v>札幌市厚別区もみじ台南</v>
      </c>
      <c r="BD697" s="968" t="s">
        <v>571</v>
      </c>
      <c r="BE697" s="969" t="s">
        <v>1187</v>
      </c>
    </row>
    <row r="698" spans="54:57">
      <c r="BB698" s="971">
        <v>40014</v>
      </c>
      <c r="BC698" s="968" t="str">
        <f t="shared" si="10"/>
        <v>札幌市厚別区もみじ台北</v>
      </c>
      <c r="BD698" s="968" t="s">
        <v>571</v>
      </c>
      <c r="BE698" s="969" t="s">
        <v>1188</v>
      </c>
    </row>
    <row r="699" spans="54:57">
      <c r="BB699" s="971">
        <v>60000</v>
      </c>
      <c r="BC699" s="968" t="str">
        <f t="shared" si="10"/>
        <v>札幌市手稲区</v>
      </c>
      <c r="BD699" s="968" t="s">
        <v>572</v>
      </c>
    </row>
    <row r="700" spans="54:57">
      <c r="BB700" s="971">
        <v>60831</v>
      </c>
      <c r="BC700" s="968" t="str">
        <f t="shared" si="10"/>
        <v>札幌市手稲区曙一条</v>
      </c>
      <c r="BD700" s="968" t="s">
        <v>572</v>
      </c>
      <c r="BE700" s="969" t="s">
        <v>1189</v>
      </c>
    </row>
    <row r="701" spans="54:57">
      <c r="BB701" s="971">
        <v>60832</v>
      </c>
      <c r="BC701" s="968" t="str">
        <f t="shared" si="10"/>
        <v>札幌市手稲区曙二条</v>
      </c>
      <c r="BD701" s="968" t="s">
        <v>572</v>
      </c>
      <c r="BE701" s="969" t="s">
        <v>1190</v>
      </c>
    </row>
    <row r="702" spans="54:57">
      <c r="BB702" s="971">
        <v>60833</v>
      </c>
      <c r="BC702" s="968" t="str">
        <f t="shared" si="10"/>
        <v>札幌市手稲区曙三条</v>
      </c>
      <c r="BD702" s="968" t="s">
        <v>572</v>
      </c>
      <c r="BE702" s="969" t="s">
        <v>1191</v>
      </c>
    </row>
    <row r="703" spans="54:57">
      <c r="BB703" s="971">
        <v>60834</v>
      </c>
      <c r="BC703" s="968" t="str">
        <f t="shared" ref="BC703:BC766" si="11">BD703&amp;BE703</f>
        <v>札幌市手稲区曙四条</v>
      </c>
      <c r="BD703" s="968" t="s">
        <v>572</v>
      </c>
      <c r="BE703" s="969" t="s">
        <v>1192</v>
      </c>
    </row>
    <row r="704" spans="54:57">
      <c r="BB704" s="971">
        <v>60835</v>
      </c>
      <c r="BC704" s="968" t="str">
        <f t="shared" si="11"/>
        <v>札幌市手稲区曙五条</v>
      </c>
      <c r="BD704" s="968" t="s">
        <v>572</v>
      </c>
      <c r="BE704" s="969" t="s">
        <v>1193</v>
      </c>
    </row>
    <row r="705" spans="54:57">
      <c r="BB705" s="971">
        <v>60836</v>
      </c>
      <c r="BC705" s="968" t="str">
        <f t="shared" si="11"/>
        <v>札幌市手稲区曙六条</v>
      </c>
      <c r="BD705" s="968" t="s">
        <v>572</v>
      </c>
      <c r="BE705" s="969" t="s">
        <v>1194</v>
      </c>
    </row>
    <row r="706" spans="54:57">
      <c r="BB706" s="971">
        <v>60837</v>
      </c>
      <c r="BC706" s="968" t="str">
        <f t="shared" si="11"/>
        <v>札幌市手稲区曙七条</v>
      </c>
      <c r="BD706" s="968" t="s">
        <v>572</v>
      </c>
      <c r="BE706" s="969" t="s">
        <v>1195</v>
      </c>
    </row>
    <row r="707" spans="54:57">
      <c r="BB707" s="971">
        <v>60838</v>
      </c>
      <c r="BC707" s="968" t="str">
        <f t="shared" si="11"/>
        <v>札幌市手稲区曙八条</v>
      </c>
      <c r="BD707" s="968" t="s">
        <v>572</v>
      </c>
      <c r="BE707" s="969" t="s">
        <v>1196</v>
      </c>
    </row>
    <row r="708" spans="54:57">
      <c r="BB708" s="971">
        <v>60839</v>
      </c>
      <c r="BC708" s="968" t="str">
        <f t="shared" si="11"/>
        <v>札幌市手稲区曙九条</v>
      </c>
      <c r="BD708" s="968" t="s">
        <v>572</v>
      </c>
      <c r="BE708" s="969" t="s">
        <v>1197</v>
      </c>
    </row>
    <row r="709" spans="54:57">
      <c r="BB709" s="971">
        <v>60840</v>
      </c>
      <c r="BC709" s="968" t="str">
        <f t="shared" si="11"/>
        <v>札幌市手稲区曙十条</v>
      </c>
      <c r="BD709" s="968" t="s">
        <v>572</v>
      </c>
      <c r="BE709" s="969" t="s">
        <v>1198</v>
      </c>
    </row>
    <row r="710" spans="54:57">
      <c r="BB710" s="971">
        <v>60841</v>
      </c>
      <c r="BC710" s="968" t="str">
        <f t="shared" si="11"/>
        <v>札幌市手稲区曙十一条</v>
      </c>
      <c r="BD710" s="968" t="s">
        <v>572</v>
      </c>
      <c r="BE710" s="969" t="s">
        <v>1199</v>
      </c>
    </row>
    <row r="711" spans="54:57">
      <c r="BB711" s="971">
        <v>60842</v>
      </c>
      <c r="BC711" s="968" t="str">
        <f t="shared" si="11"/>
        <v>札幌市手稲区曙十二条</v>
      </c>
      <c r="BD711" s="968" t="s">
        <v>572</v>
      </c>
      <c r="BE711" s="969" t="s">
        <v>1200</v>
      </c>
    </row>
    <row r="712" spans="54:57">
      <c r="BB712" s="971">
        <v>60861</v>
      </c>
      <c r="BC712" s="968" t="str">
        <f t="shared" si="11"/>
        <v>札幌市手稲区明日風</v>
      </c>
      <c r="BD712" s="968" t="s">
        <v>572</v>
      </c>
      <c r="BE712" s="969" t="s">
        <v>1201</v>
      </c>
    </row>
    <row r="713" spans="54:57">
      <c r="BB713" s="971">
        <v>60031</v>
      </c>
      <c r="BC713" s="968" t="str">
        <f t="shared" si="11"/>
        <v>札幌市手稲区稲穂一条</v>
      </c>
      <c r="BD713" s="968" t="s">
        <v>572</v>
      </c>
      <c r="BE713" s="969" t="s">
        <v>1202</v>
      </c>
    </row>
    <row r="714" spans="54:57">
      <c r="BB714" s="971">
        <v>60032</v>
      </c>
      <c r="BC714" s="968" t="str">
        <f t="shared" si="11"/>
        <v>札幌市手稲区稲穂二条</v>
      </c>
      <c r="BD714" s="968" t="s">
        <v>572</v>
      </c>
      <c r="BE714" s="969" t="s">
        <v>1203</v>
      </c>
    </row>
    <row r="715" spans="54:57">
      <c r="BB715" s="971">
        <v>60033</v>
      </c>
      <c r="BC715" s="968" t="str">
        <f t="shared" si="11"/>
        <v>札幌市手稲区稲穂三条</v>
      </c>
      <c r="BD715" s="968" t="s">
        <v>572</v>
      </c>
      <c r="BE715" s="969" t="s">
        <v>1204</v>
      </c>
    </row>
    <row r="716" spans="54:57">
      <c r="BB716" s="971">
        <v>60034</v>
      </c>
      <c r="BC716" s="968" t="str">
        <f t="shared" si="11"/>
        <v>札幌市手稲区稲穂四条</v>
      </c>
      <c r="BD716" s="968" t="s">
        <v>572</v>
      </c>
      <c r="BE716" s="969" t="s">
        <v>1205</v>
      </c>
    </row>
    <row r="717" spans="54:57">
      <c r="BB717" s="971">
        <v>60035</v>
      </c>
      <c r="BC717" s="968" t="str">
        <f t="shared" si="11"/>
        <v>札幌市手稲区稲穂五条</v>
      </c>
      <c r="BD717" s="968" t="s">
        <v>572</v>
      </c>
      <c r="BE717" s="969" t="s">
        <v>1206</v>
      </c>
    </row>
    <row r="718" spans="54:57">
      <c r="BB718" s="971">
        <v>60041</v>
      </c>
      <c r="BC718" s="968" t="str">
        <f t="shared" si="11"/>
        <v>札幌市手稲区金山一条</v>
      </c>
      <c r="BD718" s="968" t="s">
        <v>572</v>
      </c>
      <c r="BE718" s="969" t="s">
        <v>1207</v>
      </c>
    </row>
    <row r="719" spans="54:57">
      <c r="BB719" s="971">
        <v>60042</v>
      </c>
      <c r="BC719" s="968" t="str">
        <f t="shared" si="11"/>
        <v>札幌市手稲区金山二条</v>
      </c>
      <c r="BD719" s="968" t="s">
        <v>572</v>
      </c>
      <c r="BE719" s="969" t="s">
        <v>1208</v>
      </c>
    </row>
    <row r="720" spans="54:57">
      <c r="BB720" s="971">
        <v>60043</v>
      </c>
      <c r="BC720" s="968" t="str">
        <f t="shared" si="11"/>
        <v>札幌市手稲区金山三条</v>
      </c>
      <c r="BD720" s="968" t="s">
        <v>572</v>
      </c>
      <c r="BE720" s="969" t="s">
        <v>1209</v>
      </c>
    </row>
    <row r="721" spans="54:57">
      <c r="BB721" s="971">
        <v>60801</v>
      </c>
      <c r="BC721" s="968" t="str">
        <f t="shared" si="11"/>
        <v>札幌市手稲区新発寒一条</v>
      </c>
      <c r="BD721" s="968" t="s">
        <v>572</v>
      </c>
      <c r="BE721" s="969" t="s">
        <v>1210</v>
      </c>
    </row>
    <row r="722" spans="54:57">
      <c r="BB722" s="971">
        <v>60802</v>
      </c>
      <c r="BC722" s="968" t="str">
        <f t="shared" si="11"/>
        <v>札幌市手稲区新発寒二条</v>
      </c>
      <c r="BD722" s="968" t="s">
        <v>572</v>
      </c>
      <c r="BE722" s="969" t="s">
        <v>1211</v>
      </c>
    </row>
    <row r="723" spans="54:57">
      <c r="BB723" s="971">
        <v>60803</v>
      </c>
      <c r="BC723" s="968" t="str">
        <f t="shared" si="11"/>
        <v>札幌市手稲区新発寒三条</v>
      </c>
      <c r="BD723" s="968" t="s">
        <v>572</v>
      </c>
      <c r="BE723" s="969" t="s">
        <v>1212</v>
      </c>
    </row>
    <row r="724" spans="54:57">
      <c r="BB724" s="971">
        <v>60804</v>
      </c>
      <c r="BC724" s="968" t="str">
        <f t="shared" si="11"/>
        <v>札幌市手稲区新発寒四条</v>
      </c>
      <c r="BD724" s="968" t="s">
        <v>572</v>
      </c>
      <c r="BE724" s="969" t="s">
        <v>1213</v>
      </c>
    </row>
    <row r="725" spans="54:57">
      <c r="BB725" s="971">
        <v>60805</v>
      </c>
      <c r="BC725" s="968" t="str">
        <f t="shared" si="11"/>
        <v>札幌市手稲区新発寒五条</v>
      </c>
      <c r="BD725" s="968" t="s">
        <v>572</v>
      </c>
      <c r="BE725" s="969" t="s">
        <v>1214</v>
      </c>
    </row>
    <row r="726" spans="54:57">
      <c r="BB726" s="971">
        <v>60806</v>
      </c>
      <c r="BC726" s="968" t="str">
        <f t="shared" si="11"/>
        <v>札幌市手稲区新発寒六条</v>
      </c>
      <c r="BD726" s="968" t="s">
        <v>572</v>
      </c>
      <c r="BE726" s="969" t="s">
        <v>1215</v>
      </c>
    </row>
    <row r="727" spans="54:57">
      <c r="BB727" s="971">
        <v>60807</v>
      </c>
      <c r="BC727" s="968" t="str">
        <f t="shared" si="11"/>
        <v>札幌市手稲区新発寒七条</v>
      </c>
      <c r="BD727" s="968" t="s">
        <v>572</v>
      </c>
      <c r="BE727" s="969" t="s">
        <v>1216</v>
      </c>
    </row>
    <row r="728" spans="54:57">
      <c r="BB728" s="971">
        <v>60039</v>
      </c>
      <c r="BC728" s="968" t="str">
        <f t="shared" si="11"/>
        <v>札幌市手稲区手稲稲穂</v>
      </c>
      <c r="BD728" s="968" t="s">
        <v>572</v>
      </c>
      <c r="BE728" s="969" t="s">
        <v>1217</v>
      </c>
    </row>
    <row r="729" spans="54:57">
      <c r="BB729" s="971">
        <v>60049</v>
      </c>
      <c r="BC729" s="968" t="str">
        <f t="shared" si="11"/>
        <v>札幌市手稲区手稲金山</v>
      </c>
      <c r="BD729" s="968" t="s">
        <v>572</v>
      </c>
      <c r="BE729" s="969" t="s">
        <v>1218</v>
      </c>
    </row>
    <row r="730" spans="54:57">
      <c r="BB730" s="971">
        <v>60019</v>
      </c>
      <c r="BC730" s="968" t="str">
        <f t="shared" si="11"/>
        <v>札幌市手稲区手稲富丘</v>
      </c>
      <c r="BD730" s="968" t="s">
        <v>572</v>
      </c>
      <c r="BE730" s="969" t="s">
        <v>1219</v>
      </c>
    </row>
    <row r="731" spans="54:57">
      <c r="BB731" s="971">
        <v>60859</v>
      </c>
      <c r="BC731" s="968" t="str">
        <f t="shared" si="11"/>
        <v>札幌市手稲区手稲星置</v>
      </c>
      <c r="BD731" s="968" t="s">
        <v>572</v>
      </c>
      <c r="BE731" s="969" t="s">
        <v>1220</v>
      </c>
    </row>
    <row r="732" spans="54:57">
      <c r="BB732" s="971">
        <v>60829</v>
      </c>
      <c r="BC732" s="968" t="str">
        <f t="shared" si="11"/>
        <v>札幌市手稲区手稲前田</v>
      </c>
      <c r="BD732" s="968" t="s">
        <v>572</v>
      </c>
      <c r="BE732" s="969" t="s">
        <v>1221</v>
      </c>
    </row>
    <row r="733" spans="54:57">
      <c r="BB733" s="971">
        <v>60860</v>
      </c>
      <c r="BC733" s="968" t="str">
        <f t="shared" si="11"/>
        <v>札幌市手稲区手稲山口</v>
      </c>
      <c r="BD733" s="968" t="s">
        <v>572</v>
      </c>
      <c r="BE733" s="969" t="s">
        <v>1222</v>
      </c>
    </row>
    <row r="734" spans="54:57">
      <c r="BB734" s="971">
        <v>60029</v>
      </c>
      <c r="BC734" s="968" t="str">
        <f t="shared" si="11"/>
        <v>札幌市手稲区手稲本町</v>
      </c>
      <c r="BD734" s="968" t="s">
        <v>572</v>
      </c>
      <c r="BE734" s="969" t="s">
        <v>1223</v>
      </c>
    </row>
    <row r="735" spans="54:57">
      <c r="BB735" s="971">
        <v>60021</v>
      </c>
      <c r="BC735" s="968" t="str">
        <f t="shared" si="11"/>
        <v>札幌市手稲区手稲本町一条</v>
      </c>
      <c r="BD735" s="968" t="s">
        <v>572</v>
      </c>
      <c r="BE735" s="969" t="s">
        <v>1224</v>
      </c>
    </row>
    <row r="736" spans="54:57">
      <c r="BB736" s="971">
        <v>60022</v>
      </c>
      <c r="BC736" s="968" t="str">
        <f t="shared" si="11"/>
        <v>札幌市手稲区手稲本町二条</v>
      </c>
      <c r="BD736" s="968" t="s">
        <v>572</v>
      </c>
      <c r="BE736" s="969" t="s">
        <v>1225</v>
      </c>
    </row>
    <row r="737" spans="54:57">
      <c r="BB737" s="971">
        <v>60023</v>
      </c>
      <c r="BC737" s="968" t="str">
        <f t="shared" si="11"/>
        <v>札幌市手稲区手稲本町三条</v>
      </c>
      <c r="BD737" s="968" t="s">
        <v>572</v>
      </c>
      <c r="BE737" s="969" t="s">
        <v>1226</v>
      </c>
    </row>
    <row r="738" spans="54:57">
      <c r="BB738" s="971">
        <v>60024</v>
      </c>
      <c r="BC738" s="968" t="str">
        <f t="shared" si="11"/>
        <v>札幌市手稲区手稲本町四条</v>
      </c>
      <c r="BD738" s="968" t="s">
        <v>572</v>
      </c>
      <c r="BE738" s="969" t="s">
        <v>1227</v>
      </c>
    </row>
    <row r="739" spans="54:57">
      <c r="BB739" s="971">
        <v>60025</v>
      </c>
      <c r="BC739" s="968" t="str">
        <f t="shared" si="11"/>
        <v>札幌市手稲区手稲本町五条</v>
      </c>
      <c r="BD739" s="968" t="s">
        <v>572</v>
      </c>
      <c r="BE739" s="969" t="s">
        <v>1228</v>
      </c>
    </row>
    <row r="740" spans="54:57">
      <c r="BB740" s="971">
        <v>60026</v>
      </c>
      <c r="BC740" s="968" t="str">
        <f t="shared" si="11"/>
        <v>札幌市手稲区手稲本町六条</v>
      </c>
      <c r="BD740" s="968" t="s">
        <v>572</v>
      </c>
      <c r="BE740" s="969" t="s">
        <v>1229</v>
      </c>
    </row>
    <row r="741" spans="54:57">
      <c r="BB741" s="971">
        <v>60011</v>
      </c>
      <c r="BC741" s="968" t="str">
        <f t="shared" si="11"/>
        <v>札幌市手稲区富丘一条</v>
      </c>
      <c r="BD741" s="968" t="s">
        <v>572</v>
      </c>
      <c r="BE741" s="969" t="s">
        <v>1230</v>
      </c>
    </row>
    <row r="742" spans="54:57">
      <c r="BB742" s="971">
        <v>60012</v>
      </c>
      <c r="BC742" s="968" t="str">
        <f t="shared" si="11"/>
        <v>札幌市手稲区富丘二条</v>
      </c>
      <c r="BD742" s="968" t="s">
        <v>572</v>
      </c>
      <c r="BE742" s="969" t="s">
        <v>1231</v>
      </c>
    </row>
    <row r="743" spans="54:57">
      <c r="BB743" s="971">
        <v>60013</v>
      </c>
      <c r="BC743" s="968" t="str">
        <f t="shared" si="11"/>
        <v>札幌市手稲区富丘三条</v>
      </c>
      <c r="BD743" s="968" t="s">
        <v>572</v>
      </c>
      <c r="BE743" s="969" t="s">
        <v>1232</v>
      </c>
    </row>
    <row r="744" spans="54:57">
      <c r="BB744" s="971">
        <v>60014</v>
      </c>
      <c r="BC744" s="968" t="str">
        <f t="shared" si="11"/>
        <v>札幌市手稲区富丘四条</v>
      </c>
      <c r="BD744" s="968" t="s">
        <v>572</v>
      </c>
      <c r="BE744" s="969" t="s">
        <v>1233</v>
      </c>
    </row>
    <row r="745" spans="54:57">
      <c r="BB745" s="971">
        <v>60015</v>
      </c>
      <c r="BC745" s="968" t="str">
        <f t="shared" si="11"/>
        <v>札幌市手稲区富丘五条</v>
      </c>
      <c r="BD745" s="968" t="s">
        <v>572</v>
      </c>
      <c r="BE745" s="969" t="s">
        <v>1234</v>
      </c>
    </row>
    <row r="746" spans="54:57">
      <c r="BB746" s="971">
        <v>60016</v>
      </c>
      <c r="BC746" s="968" t="str">
        <f t="shared" si="11"/>
        <v>札幌市手稲区富丘六条</v>
      </c>
      <c r="BD746" s="968" t="s">
        <v>572</v>
      </c>
      <c r="BE746" s="969" t="s">
        <v>1235</v>
      </c>
    </row>
    <row r="747" spans="54:57">
      <c r="BB747" s="971">
        <v>60009</v>
      </c>
      <c r="BC747" s="968" t="str">
        <f t="shared" si="11"/>
        <v>札幌市手稲区西宮の沢</v>
      </c>
      <c r="BD747" s="968" t="s">
        <v>572</v>
      </c>
      <c r="BE747" s="969" t="s">
        <v>1236</v>
      </c>
    </row>
    <row r="748" spans="54:57">
      <c r="BB748" s="971">
        <v>60001</v>
      </c>
      <c r="BC748" s="968" t="str">
        <f t="shared" si="11"/>
        <v>札幌市手稲区西宮の沢一条</v>
      </c>
      <c r="BD748" s="968" t="s">
        <v>572</v>
      </c>
      <c r="BE748" s="969" t="s">
        <v>1237</v>
      </c>
    </row>
    <row r="749" spans="54:57">
      <c r="BB749" s="971">
        <v>60002</v>
      </c>
      <c r="BC749" s="968" t="str">
        <f t="shared" si="11"/>
        <v>札幌市手稲区西宮の沢二条</v>
      </c>
      <c r="BD749" s="968" t="s">
        <v>572</v>
      </c>
      <c r="BE749" s="969" t="s">
        <v>1238</v>
      </c>
    </row>
    <row r="750" spans="54:57">
      <c r="BB750" s="971">
        <v>60003</v>
      </c>
      <c r="BC750" s="968" t="str">
        <f t="shared" si="11"/>
        <v>札幌市手稲区西宮の沢三条</v>
      </c>
      <c r="BD750" s="968" t="s">
        <v>572</v>
      </c>
      <c r="BE750" s="969" t="s">
        <v>1239</v>
      </c>
    </row>
    <row r="751" spans="54:57">
      <c r="BB751" s="971">
        <v>60004</v>
      </c>
      <c r="BC751" s="968" t="str">
        <f t="shared" si="11"/>
        <v>札幌市手稲区西宮の沢四条</v>
      </c>
      <c r="BD751" s="968" t="s">
        <v>572</v>
      </c>
      <c r="BE751" s="969" t="s">
        <v>1240</v>
      </c>
    </row>
    <row r="752" spans="54:57">
      <c r="BB752" s="971">
        <v>60005</v>
      </c>
      <c r="BC752" s="968" t="str">
        <f t="shared" si="11"/>
        <v>札幌市手稲区西宮の沢五条</v>
      </c>
      <c r="BD752" s="968" t="s">
        <v>572</v>
      </c>
      <c r="BE752" s="969" t="s">
        <v>1241</v>
      </c>
    </row>
    <row r="753" spans="54:57">
      <c r="BB753" s="971">
        <v>60006</v>
      </c>
      <c r="BC753" s="968" t="str">
        <f t="shared" si="11"/>
        <v>札幌市手稲区西宮の沢六条</v>
      </c>
      <c r="BD753" s="968" t="s">
        <v>572</v>
      </c>
      <c r="BE753" s="969" t="s">
        <v>1242</v>
      </c>
    </row>
    <row r="754" spans="54:57">
      <c r="BB754" s="971">
        <v>60851</v>
      </c>
      <c r="BC754" s="968" t="str">
        <f t="shared" si="11"/>
        <v>札幌市手稲区星置一条</v>
      </c>
      <c r="BD754" s="968" t="s">
        <v>572</v>
      </c>
      <c r="BE754" s="969" t="s">
        <v>1243</v>
      </c>
    </row>
    <row r="755" spans="54:57">
      <c r="BB755" s="971">
        <v>60852</v>
      </c>
      <c r="BC755" s="968" t="str">
        <f t="shared" si="11"/>
        <v>札幌市手稲区星置二条</v>
      </c>
      <c r="BD755" s="968" t="s">
        <v>572</v>
      </c>
      <c r="BE755" s="969" t="s">
        <v>1244</v>
      </c>
    </row>
    <row r="756" spans="54:57">
      <c r="BB756" s="971">
        <v>60853</v>
      </c>
      <c r="BC756" s="968" t="str">
        <f t="shared" si="11"/>
        <v>札幌市手稲区星置三条</v>
      </c>
      <c r="BD756" s="968" t="s">
        <v>572</v>
      </c>
      <c r="BE756" s="969" t="s">
        <v>1245</v>
      </c>
    </row>
    <row r="757" spans="54:57">
      <c r="BB757" s="971">
        <v>60050</v>
      </c>
      <c r="BC757" s="968" t="str">
        <f t="shared" si="11"/>
        <v>札幌市手稲区星置南</v>
      </c>
      <c r="BD757" s="968" t="s">
        <v>572</v>
      </c>
      <c r="BE757" s="969" t="s">
        <v>1246</v>
      </c>
    </row>
    <row r="758" spans="54:57">
      <c r="BB758" s="971">
        <v>60811</v>
      </c>
      <c r="BC758" s="968" t="str">
        <f t="shared" si="11"/>
        <v>札幌市手稲区前田一条</v>
      </c>
      <c r="BD758" s="968" t="s">
        <v>572</v>
      </c>
      <c r="BE758" s="969" t="s">
        <v>1247</v>
      </c>
    </row>
    <row r="759" spans="54:57">
      <c r="BB759" s="971">
        <v>60812</v>
      </c>
      <c r="BC759" s="968" t="str">
        <f t="shared" si="11"/>
        <v>札幌市手稲区前田二条</v>
      </c>
      <c r="BD759" s="968" t="s">
        <v>572</v>
      </c>
      <c r="BE759" s="969" t="s">
        <v>1248</v>
      </c>
    </row>
    <row r="760" spans="54:57">
      <c r="BB760" s="971">
        <v>60813</v>
      </c>
      <c r="BC760" s="968" t="str">
        <f t="shared" si="11"/>
        <v>札幌市手稲区前田三条</v>
      </c>
      <c r="BD760" s="968" t="s">
        <v>572</v>
      </c>
      <c r="BE760" s="969" t="s">
        <v>1249</v>
      </c>
    </row>
    <row r="761" spans="54:57">
      <c r="BB761" s="971">
        <v>60814</v>
      </c>
      <c r="BC761" s="968" t="str">
        <f t="shared" si="11"/>
        <v>札幌市手稲区前田四条</v>
      </c>
      <c r="BD761" s="968" t="s">
        <v>572</v>
      </c>
      <c r="BE761" s="969" t="s">
        <v>1250</v>
      </c>
    </row>
    <row r="762" spans="54:57">
      <c r="BB762" s="971">
        <v>60815</v>
      </c>
      <c r="BC762" s="968" t="str">
        <f t="shared" si="11"/>
        <v>札幌市手稲区前田五条</v>
      </c>
      <c r="BD762" s="968" t="s">
        <v>572</v>
      </c>
      <c r="BE762" s="969" t="s">
        <v>1251</v>
      </c>
    </row>
    <row r="763" spans="54:57">
      <c r="BB763" s="971">
        <v>60816</v>
      </c>
      <c r="BC763" s="968" t="str">
        <f t="shared" si="11"/>
        <v>札幌市手稲区前田六条</v>
      </c>
      <c r="BD763" s="968" t="s">
        <v>572</v>
      </c>
      <c r="BE763" s="969" t="s">
        <v>1252</v>
      </c>
    </row>
    <row r="764" spans="54:57">
      <c r="BB764" s="971">
        <v>60817</v>
      </c>
      <c r="BC764" s="968" t="str">
        <f t="shared" si="11"/>
        <v>札幌市手稲区前田七条</v>
      </c>
      <c r="BD764" s="968" t="s">
        <v>572</v>
      </c>
      <c r="BE764" s="969" t="s">
        <v>1253</v>
      </c>
    </row>
    <row r="765" spans="54:57">
      <c r="BB765" s="971">
        <v>60818</v>
      </c>
      <c r="BC765" s="968" t="str">
        <f t="shared" si="11"/>
        <v>札幌市手稲区前田八条</v>
      </c>
      <c r="BD765" s="968" t="s">
        <v>572</v>
      </c>
      <c r="BE765" s="969" t="s">
        <v>1254</v>
      </c>
    </row>
    <row r="766" spans="54:57">
      <c r="BB766" s="971">
        <v>60819</v>
      </c>
      <c r="BC766" s="968" t="str">
        <f t="shared" si="11"/>
        <v>札幌市手稲区前田九条</v>
      </c>
      <c r="BD766" s="968" t="s">
        <v>572</v>
      </c>
      <c r="BE766" s="969" t="s">
        <v>1255</v>
      </c>
    </row>
    <row r="767" spans="54:57">
      <c r="BB767" s="971">
        <v>60820</v>
      </c>
      <c r="BC767" s="968" t="str">
        <f t="shared" ref="BC767:BC821" si="12">BD767&amp;BE767</f>
        <v>札幌市手稲区前田十条</v>
      </c>
      <c r="BD767" s="968" t="s">
        <v>572</v>
      </c>
      <c r="BE767" s="969" t="s">
        <v>1256</v>
      </c>
    </row>
    <row r="768" spans="54:57">
      <c r="BB768" s="971">
        <v>60821</v>
      </c>
      <c r="BC768" s="968" t="str">
        <f t="shared" si="12"/>
        <v>札幌市手稲区前田十一条</v>
      </c>
      <c r="BD768" s="968" t="s">
        <v>572</v>
      </c>
      <c r="BE768" s="969" t="s">
        <v>1257</v>
      </c>
    </row>
    <row r="769" spans="54:57">
      <c r="BB769" s="971">
        <v>60822</v>
      </c>
      <c r="BC769" s="968" t="str">
        <f t="shared" si="12"/>
        <v>札幌市手稲区前田十二条</v>
      </c>
      <c r="BD769" s="968" t="s">
        <v>572</v>
      </c>
      <c r="BE769" s="969" t="s">
        <v>1258</v>
      </c>
    </row>
    <row r="770" spans="54:57">
      <c r="BB770" s="971">
        <v>60823</v>
      </c>
      <c r="BC770" s="968" t="str">
        <f t="shared" si="12"/>
        <v>札幌市手稲区前田十三条</v>
      </c>
      <c r="BD770" s="968" t="s">
        <v>572</v>
      </c>
      <c r="BE770" s="969" t="s">
        <v>1259</v>
      </c>
    </row>
    <row r="771" spans="54:57">
      <c r="BB771" s="971">
        <v>40000</v>
      </c>
      <c r="BC771" s="968" t="str">
        <f t="shared" si="12"/>
        <v>札幌市清田区</v>
      </c>
      <c r="BD771" s="968" t="s">
        <v>573</v>
      </c>
    </row>
    <row r="772" spans="54:57">
      <c r="BB772" s="971">
        <v>40821</v>
      </c>
      <c r="BC772" s="968" t="str">
        <f t="shared" si="12"/>
        <v>札幌市清田区有明</v>
      </c>
      <c r="BD772" s="968" t="s">
        <v>573</v>
      </c>
      <c r="BE772" s="969" t="s">
        <v>1260</v>
      </c>
    </row>
    <row r="773" spans="54:57">
      <c r="BB773" s="971">
        <v>40811</v>
      </c>
      <c r="BC773" s="968" t="str">
        <f t="shared" si="12"/>
        <v>札幌市清田区美しが丘一条</v>
      </c>
      <c r="BD773" s="968" t="s">
        <v>573</v>
      </c>
      <c r="BE773" s="969" t="s">
        <v>1261</v>
      </c>
    </row>
    <row r="774" spans="54:57">
      <c r="BB774" s="971">
        <v>40812</v>
      </c>
      <c r="BC774" s="968" t="str">
        <f t="shared" si="12"/>
        <v>札幌市清田区美しが丘二条</v>
      </c>
      <c r="BD774" s="968" t="s">
        <v>573</v>
      </c>
      <c r="BE774" s="969" t="s">
        <v>1262</v>
      </c>
    </row>
    <row r="775" spans="54:57">
      <c r="BB775" s="971">
        <v>40813</v>
      </c>
      <c r="BC775" s="968" t="str">
        <f t="shared" si="12"/>
        <v>札幌市清田区美しが丘三条</v>
      </c>
      <c r="BD775" s="968" t="s">
        <v>573</v>
      </c>
      <c r="BE775" s="969" t="s">
        <v>1263</v>
      </c>
    </row>
    <row r="776" spans="54:57">
      <c r="BB776" s="971">
        <v>40814</v>
      </c>
      <c r="BC776" s="968" t="str">
        <f t="shared" si="12"/>
        <v>札幌市清田区美しが丘四条</v>
      </c>
      <c r="BD776" s="968" t="s">
        <v>573</v>
      </c>
      <c r="BE776" s="969" t="s">
        <v>1264</v>
      </c>
    </row>
    <row r="777" spans="54:57">
      <c r="BB777" s="971">
        <v>40815</v>
      </c>
      <c r="BC777" s="968" t="str">
        <f t="shared" si="12"/>
        <v>札幌市清田区美しが丘五条</v>
      </c>
      <c r="BD777" s="968" t="s">
        <v>573</v>
      </c>
      <c r="BE777" s="969" t="s">
        <v>1265</v>
      </c>
    </row>
    <row r="778" spans="54:57">
      <c r="BB778" s="971">
        <v>40861</v>
      </c>
      <c r="BC778" s="968" t="str">
        <f t="shared" si="12"/>
        <v>札幌市清田区北野一条</v>
      </c>
      <c r="BD778" s="968" t="s">
        <v>573</v>
      </c>
      <c r="BE778" s="969" t="s">
        <v>1266</v>
      </c>
    </row>
    <row r="779" spans="54:57">
      <c r="BB779" s="971">
        <v>40862</v>
      </c>
      <c r="BC779" s="968" t="str">
        <f t="shared" si="12"/>
        <v>札幌市清田区北野二条</v>
      </c>
      <c r="BD779" s="968" t="s">
        <v>573</v>
      </c>
      <c r="BE779" s="969" t="s">
        <v>1267</v>
      </c>
    </row>
    <row r="780" spans="54:57">
      <c r="BB780" s="971">
        <v>40863</v>
      </c>
      <c r="BC780" s="968" t="str">
        <f t="shared" si="12"/>
        <v>札幌市清田区北野三条</v>
      </c>
      <c r="BD780" s="968" t="s">
        <v>573</v>
      </c>
      <c r="BE780" s="969" t="s">
        <v>1268</v>
      </c>
    </row>
    <row r="781" spans="54:57">
      <c r="BB781" s="971">
        <v>40864</v>
      </c>
      <c r="BC781" s="968" t="str">
        <f t="shared" si="12"/>
        <v>札幌市清田区北野四条</v>
      </c>
      <c r="BD781" s="968" t="s">
        <v>573</v>
      </c>
      <c r="BE781" s="969" t="s">
        <v>1269</v>
      </c>
    </row>
    <row r="782" spans="54:57">
      <c r="BB782" s="971">
        <v>40865</v>
      </c>
      <c r="BC782" s="968" t="str">
        <f t="shared" si="12"/>
        <v>札幌市清田区北野五条</v>
      </c>
      <c r="BD782" s="968" t="s">
        <v>573</v>
      </c>
      <c r="BE782" s="969" t="s">
        <v>1270</v>
      </c>
    </row>
    <row r="783" spans="54:57">
      <c r="BB783" s="971">
        <v>40866</v>
      </c>
      <c r="BC783" s="968" t="str">
        <f t="shared" si="12"/>
        <v>札幌市清田区北野六条</v>
      </c>
      <c r="BD783" s="968" t="s">
        <v>573</v>
      </c>
      <c r="BE783" s="969" t="s">
        <v>1271</v>
      </c>
    </row>
    <row r="784" spans="54:57">
      <c r="BB784" s="971">
        <v>40867</v>
      </c>
      <c r="BC784" s="968" t="str">
        <f t="shared" si="12"/>
        <v>札幌市清田区北野七条</v>
      </c>
      <c r="BD784" s="968" t="s">
        <v>573</v>
      </c>
      <c r="BE784" s="969" t="s">
        <v>1272</v>
      </c>
    </row>
    <row r="785" spans="54:57">
      <c r="BB785" s="971">
        <v>40859</v>
      </c>
      <c r="BC785" s="968" t="str">
        <f t="shared" si="12"/>
        <v>札幌市清田区清田</v>
      </c>
      <c r="BD785" s="968" t="s">
        <v>573</v>
      </c>
      <c r="BE785" s="969" t="s">
        <v>1273</v>
      </c>
    </row>
    <row r="786" spans="54:57">
      <c r="BB786" s="971">
        <v>40841</v>
      </c>
      <c r="BC786" s="968" t="str">
        <f t="shared" si="12"/>
        <v>札幌市清田区清田一条</v>
      </c>
      <c r="BD786" s="968" t="s">
        <v>573</v>
      </c>
      <c r="BE786" s="969" t="s">
        <v>1274</v>
      </c>
    </row>
    <row r="787" spans="54:57">
      <c r="BB787" s="971">
        <v>40842</v>
      </c>
      <c r="BC787" s="968" t="str">
        <f t="shared" si="12"/>
        <v>札幌市清田区清田二条</v>
      </c>
      <c r="BD787" s="968" t="s">
        <v>573</v>
      </c>
      <c r="BE787" s="969" t="s">
        <v>1275</v>
      </c>
    </row>
    <row r="788" spans="54:57">
      <c r="BB788" s="971">
        <v>40843</v>
      </c>
      <c r="BC788" s="968" t="str">
        <f t="shared" si="12"/>
        <v>札幌市清田区清田三条</v>
      </c>
      <c r="BD788" s="968" t="s">
        <v>573</v>
      </c>
      <c r="BE788" s="969" t="s">
        <v>1276</v>
      </c>
    </row>
    <row r="789" spans="54:57">
      <c r="BB789" s="971">
        <v>40844</v>
      </c>
      <c r="BC789" s="968" t="str">
        <f t="shared" si="12"/>
        <v>札幌市清田区清田四条</v>
      </c>
      <c r="BD789" s="968" t="s">
        <v>573</v>
      </c>
      <c r="BE789" s="969" t="s">
        <v>1277</v>
      </c>
    </row>
    <row r="790" spans="54:57">
      <c r="BB790" s="971">
        <v>40845</v>
      </c>
      <c r="BC790" s="968" t="str">
        <f t="shared" si="12"/>
        <v>札幌市清田区清田五条</v>
      </c>
      <c r="BD790" s="968" t="s">
        <v>573</v>
      </c>
      <c r="BE790" s="969" t="s">
        <v>1278</v>
      </c>
    </row>
    <row r="791" spans="54:57">
      <c r="BB791" s="971">
        <v>40846</v>
      </c>
      <c r="BC791" s="968" t="str">
        <f t="shared" si="12"/>
        <v>札幌市清田区清田六条</v>
      </c>
      <c r="BD791" s="968" t="s">
        <v>573</v>
      </c>
      <c r="BE791" s="969" t="s">
        <v>1279</v>
      </c>
    </row>
    <row r="792" spans="54:57">
      <c r="BB792" s="971">
        <v>40847</v>
      </c>
      <c r="BC792" s="968" t="str">
        <f t="shared" si="12"/>
        <v>札幌市清田区清田七条</v>
      </c>
      <c r="BD792" s="968" t="s">
        <v>573</v>
      </c>
      <c r="BE792" s="969" t="s">
        <v>1280</v>
      </c>
    </row>
    <row r="793" spans="54:57">
      <c r="BB793" s="971">
        <v>40848</v>
      </c>
      <c r="BC793" s="968" t="str">
        <f t="shared" si="12"/>
        <v>札幌市清田区清田八条</v>
      </c>
      <c r="BD793" s="968" t="s">
        <v>573</v>
      </c>
      <c r="BE793" s="969" t="s">
        <v>1281</v>
      </c>
    </row>
    <row r="794" spans="54:57">
      <c r="BB794" s="971">
        <v>40849</v>
      </c>
      <c r="BC794" s="968" t="str">
        <f t="shared" si="12"/>
        <v>札幌市清田区清田九条</v>
      </c>
      <c r="BD794" s="968" t="s">
        <v>573</v>
      </c>
      <c r="BE794" s="969" t="s">
        <v>1282</v>
      </c>
    </row>
    <row r="795" spans="54:57">
      <c r="BB795" s="971">
        <v>40840</v>
      </c>
      <c r="BC795" s="968" t="str">
        <f t="shared" si="12"/>
        <v>札幌市清田区清田十条</v>
      </c>
      <c r="BD795" s="968" t="s">
        <v>573</v>
      </c>
      <c r="BE795" s="969" t="s">
        <v>1283</v>
      </c>
    </row>
    <row r="796" spans="54:57">
      <c r="BB796" s="971">
        <v>40809</v>
      </c>
      <c r="BC796" s="968" t="str">
        <f t="shared" si="12"/>
        <v>札幌市清田区里塚</v>
      </c>
      <c r="BD796" s="968" t="s">
        <v>573</v>
      </c>
      <c r="BE796" s="969" t="s">
        <v>1284</v>
      </c>
    </row>
    <row r="797" spans="54:57">
      <c r="BB797" s="971">
        <v>40801</v>
      </c>
      <c r="BC797" s="968" t="str">
        <f t="shared" si="12"/>
        <v>札幌市清田区里塚一条</v>
      </c>
      <c r="BD797" s="968" t="s">
        <v>573</v>
      </c>
      <c r="BE797" s="969" t="s">
        <v>1285</v>
      </c>
    </row>
    <row r="798" spans="54:57">
      <c r="BB798" s="971">
        <v>40802</v>
      </c>
      <c r="BC798" s="968" t="str">
        <f t="shared" si="12"/>
        <v>札幌市清田区里塚二条</v>
      </c>
      <c r="BD798" s="968" t="s">
        <v>573</v>
      </c>
      <c r="BE798" s="969" t="s">
        <v>1286</v>
      </c>
    </row>
    <row r="799" spans="54:57">
      <c r="BB799" s="971">
        <v>40803</v>
      </c>
      <c r="BC799" s="968" t="str">
        <f t="shared" si="12"/>
        <v>札幌市清田区里塚三条</v>
      </c>
      <c r="BD799" s="968" t="s">
        <v>573</v>
      </c>
      <c r="BE799" s="969" t="s">
        <v>1287</v>
      </c>
    </row>
    <row r="800" spans="54:57">
      <c r="BB800" s="971">
        <v>40804</v>
      </c>
      <c r="BC800" s="968" t="str">
        <f t="shared" si="12"/>
        <v>札幌市清田区里塚四条</v>
      </c>
      <c r="BD800" s="968" t="s">
        <v>573</v>
      </c>
      <c r="BE800" s="969" t="s">
        <v>1288</v>
      </c>
    </row>
    <row r="801" spans="54:57">
      <c r="BB801" s="971">
        <v>40805</v>
      </c>
      <c r="BC801" s="968" t="str">
        <f t="shared" si="12"/>
        <v>札幌市清田区里塚緑ケ丘</v>
      </c>
      <c r="BD801" s="968" t="s">
        <v>573</v>
      </c>
      <c r="BE801" s="969" t="s">
        <v>1289</v>
      </c>
    </row>
    <row r="802" spans="54:57">
      <c r="BB802" s="971">
        <v>40839</v>
      </c>
      <c r="BC802" s="968" t="str">
        <f t="shared" si="12"/>
        <v>札幌市清田区真栄</v>
      </c>
      <c r="BD802" s="968" t="s">
        <v>573</v>
      </c>
      <c r="BE802" s="969" t="s">
        <v>1290</v>
      </c>
    </row>
    <row r="803" spans="54:57">
      <c r="BB803" s="971">
        <v>40831</v>
      </c>
      <c r="BC803" s="968" t="str">
        <f t="shared" si="12"/>
        <v>札幌市清田区真栄一条</v>
      </c>
      <c r="BD803" s="968" t="s">
        <v>573</v>
      </c>
      <c r="BE803" s="969" t="s">
        <v>1291</v>
      </c>
    </row>
    <row r="804" spans="54:57">
      <c r="BB804" s="971">
        <v>40832</v>
      </c>
      <c r="BC804" s="968" t="str">
        <f t="shared" si="12"/>
        <v>札幌市清田区真栄二条</v>
      </c>
      <c r="BD804" s="968" t="s">
        <v>573</v>
      </c>
      <c r="BE804" s="969" t="s">
        <v>1309</v>
      </c>
    </row>
    <row r="805" spans="54:57">
      <c r="BB805" s="971">
        <v>40833</v>
      </c>
      <c r="BC805" s="968" t="str">
        <f t="shared" si="12"/>
        <v>札幌市清田区真栄三条</v>
      </c>
      <c r="BD805" s="968" t="s">
        <v>573</v>
      </c>
      <c r="BE805" s="969" t="s">
        <v>1292</v>
      </c>
    </row>
    <row r="806" spans="54:57">
      <c r="BB806" s="971">
        <v>40834</v>
      </c>
      <c r="BC806" s="968" t="str">
        <f t="shared" si="12"/>
        <v>札幌市清田区真栄四条</v>
      </c>
      <c r="BD806" s="968" t="s">
        <v>573</v>
      </c>
      <c r="BE806" s="969" t="s">
        <v>1293</v>
      </c>
    </row>
    <row r="807" spans="54:57">
      <c r="BB807" s="971">
        <v>40835</v>
      </c>
      <c r="BC807" s="968" t="str">
        <f t="shared" si="12"/>
        <v>札幌市清田区真栄五条</v>
      </c>
      <c r="BD807" s="968" t="s">
        <v>573</v>
      </c>
      <c r="BE807" s="969" t="s">
        <v>1294</v>
      </c>
    </row>
    <row r="808" spans="54:57">
      <c r="BB808" s="971">
        <v>40836</v>
      </c>
      <c r="BC808" s="968" t="str">
        <f t="shared" si="12"/>
        <v>札幌市清田区真栄六条</v>
      </c>
      <c r="BD808" s="968" t="s">
        <v>573</v>
      </c>
      <c r="BE808" s="969" t="s">
        <v>1295</v>
      </c>
    </row>
    <row r="809" spans="54:57">
      <c r="BB809" s="971">
        <v>40889</v>
      </c>
      <c r="BC809" s="968" t="str">
        <f t="shared" si="12"/>
        <v>札幌市清田区平岡</v>
      </c>
      <c r="BD809" s="968" t="s">
        <v>573</v>
      </c>
      <c r="BE809" s="969" t="s">
        <v>1296</v>
      </c>
    </row>
    <row r="810" spans="54:57">
      <c r="BB810" s="971">
        <v>40871</v>
      </c>
      <c r="BC810" s="968" t="str">
        <f t="shared" si="12"/>
        <v>札幌市清田区平岡一条</v>
      </c>
      <c r="BD810" s="968" t="s">
        <v>573</v>
      </c>
      <c r="BE810" s="969" t="s">
        <v>1297</v>
      </c>
    </row>
    <row r="811" spans="54:57">
      <c r="BB811" s="971">
        <v>40872</v>
      </c>
      <c r="BC811" s="968" t="str">
        <f t="shared" si="12"/>
        <v>札幌市清田区平岡二条</v>
      </c>
      <c r="BD811" s="968" t="s">
        <v>573</v>
      </c>
      <c r="BE811" s="969" t="s">
        <v>1298</v>
      </c>
    </row>
    <row r="812" spans="54:57">
      <c r="BB812" s="971">
        <v>40873</v>
      </c>
      <c r="BC812" s="968" t="str">
        <f t="shared" si="12"/>
        <v>札幌市清田区平岡三条</v>
      </c>
      <c r="BD812" s="968" t="s">
        <v>573</v>
      </c>
      <c r="BE812" s="969" t="s">
        <v>1299</v>
      </c>
    </row>
    <row r="813" spans="54:57">
      <c r="BB813" s="971">
        <v>40874</v>
      </c>
      <c r="BC813" s="968" t="str">
        <f t="shared" si="12"/>
        <v>札幌市清田区平岡四条</v>
      </c>
      <c r="BD813" s="968" t="s">
        <v>573</v>
      </c>
      <c r="BE813" s="969" t="s">
        <v>1300</v>
      </c>
    </row>
    <row r="814" spans="54:57">
      <c r="BB814" s="971">
        <v>40875</v>
      </c>
      <c r="BC814" s="968" t="str">
        <f t="shared" si="12"/>
        <v>札幌市清田区平岡五条</v>
      </c>
      <c r="BD814" s="968" t="s">
        <v>573</v>
      </c>
      <c r="BE814" s="969" t="s">
        <v>1301</v>
      </c>
    </row>
    <row r="815" spans="54:57">
      <c r="BB815" s="971">
        <v>40876</v>
      </c>
      <c r="BC815" s="968" t="str">
        <f t="shared" si="12"/>
        <v>札幌市清田区平岡六条</v>
      </c>
      <c r="BD815" s="968" t="s">
        <v>573</v>
      </c>
      <c r="BE815" s="969" t="s">
        <v>1302</v>
      </c>
    </row>
    <row r="816" spans="54:57">
      <c r="BB816" s="971">
        <v>40877</v>
      </c>
      <c r="BC816" s="968" t="str">
        <f t="shared" si="12"/>
        <v>札幌市清田区平岡七条</v>
      </c>
      <c r="BD816" s="968" t="s">
        <v>573</v>
      </c>
      <c r="BE816" s="969" t="s">
        <v>1303</v>
      </c>
    </row>
    <row r="817" spans="54:57">
      <c r="BB817" s="971">
        <v>40878</v>
      </c>
      <c r="BC817" s="968" t="str">
        <f t="shared" si="12"/>
        <v>札幌市清田区平岡八条</v>
      </c>
      <c r="BD817" s="968" t="s">
        <v>573</v>
      </c>
      <c r="BE817" s="969" t="s">
        <v>1304</v>
      </c>
    </row>
    <row r="818" spans="54:57">
      <c r="BB818" s="971">
        <v>40879</v>
      </c>
      <c r="BC818" s="968" t="str">
        <f t="shared" si="12"/>
        <v>札幌市清田区平岡九条</v>
      </c>
      <c r="BD818" s="968" t="s">
        <v>573</v>
      </c>
      <c r="BE818" s="969" t="s">
        <v>1305</v>
      </c>
    </row>
    <row r="819" spans="54:57">
      <c r="BB819" s="971">
        <v>40880</v>
      </c>
      <c r="BC819" s="968" t="str">
        <f t="shared" si="12"/>
        <v>札幌市清田区平岡十条</v>
      </c>
      <c r="BD819" s="968" t="s">
        <v>573</v>
      </c>
      <c r="BE819" s="969" t="s">
        <v>1306</v>
      </c>
    </row>
    <row r="820" spans="54:57">
      <c r="BB820" s="971">
        <v>40881</v>
      </c>
      <c r="BC820" s="968" t="str">
        <f t="shared" si="12"/>
        <v>札幌市清田区平岡公園</v>
      </c>
      <c r="BD820" s="968" t="s">
        <v>573</v>
      </c>
      <c r="BE820" s="969" t="s">
        <v>1307</v>
      </c>
    </row>
    <row r="821" spans="54:57">
      <c r="BB821" s="971">
        <v>40882</v>
      </c>
      <c r="BC821" s="968" t="str">
        <f t="shared" si="12"/>
        <v>札幌市清田区平岡公園東</v>
      </c>
      <c r="BD821" s="968" t="s">
        <v>573</v>
      </c>
      <c r="BE821" s="969" t="s">
        <v>1308</v>
      </c>
    </row>
    <row r="822" spans="54:57">
      <c r="BC822" s="999"/>
    </row>
  </sheetData>
  <sheetProtection algorithmName="SHA-512" hashValue="RlOs9BD5QtnvA2OeOBKsgNkD3ohteXUB7E5lT+OUz7em7e5X9cJA6y8vxF4GUxT6H2ujgZRKV/nMytb1pre9tg==" saltValue="yOhNtDIQsmAPIkOULe0p6w==" spinCount="100000" sheet="1" selectLockedCells="1"/>
  <mergeCells count="237">
    <mergeCell ref="BV204:BV205"/>
    <mergeCell ref="AA18:AA19"/>
    <mergeCell ref="AA35:AQ35"/>
    <mergeCell ref="AU35:AW36"/>
    <mergeCell ref="AX35:AZ36"/>
    <mergeCell ref="AA36:AQ36"/>
    <mergeCell ref="AR34:AT34"/>
    <mergeCell ref="AF30:AM30"/>
    <mergeCell ref="AR35:AT36"/>
    <mergeCell ref="AA34:AB34"/>
    <mergeCell ref="AC34:AQ34"/>
    <mergeCell ref="AU34:AW34"/>
    <mergeCell ref="AO20:AZ30"/>
    <mergeCell ref="AC21:AN21"/>
    <mergeCell ref="AC22:AN22"/>
    <mergeCell ref="AX34:AZ34"/>
    <mergeCell ref="AC28:AN28"/>
    <mergeCell ref="AA33:AB33"/>
    <mergeCell ref="AC33:AQ33"/>
    <mergeCell ref="AR33:AZ33"/>
    <mergeCell ref="AA32:AQ32"/>
    <mergeCell ref="AR32:AS32"/>
    <mergeCell ref="AU32:AV32"/>
    <mergeCell ref="AX32:AY32"/>
    <mergeCell ref="BQ204:BQ205"/>
    <mergeCell ref="BS204:BS205"/>
    <mergeCell ref="BT204:BT205"/>
    <mergeCell ref="BU204:BU205"/>
    <mergeCell ref="AL12:AU12"/>
    <mergeCell ref="AV12:AZ12"/>
    <mergeCell ref="AK14:AK15"/>
    <mergeCell ref="AN19:AO19"/>
    <mergeCell ref="AL14:AP16"/>
    <mergeCell ref="AA31:AZ31"/>
    <mergeCell ref="AC23:AN23"/>
    <mergeCell ref="AC24:AN24"/>
    <mergeCell ref="AC25:AN25"/>
    <mergeCell ref="AA20:AA30"/>
    <mergeCell ref="AC26:AN26"/>
    <mergeCell ref="AC30:AE30"/>
    <mergeCell ref="AC29:AN29"/>
    <mergeCell ref="AE18:AF19"/>
    <mergeCell ref="AG18:AJ18"/>
    <mergeCell ref="AK18:AM18"/>
    <mergeCell ref="AN18:AO18"/>
    <mergeCell ref="AX19:AZ19"/>
    <mergeCell ref="AX18:AZ18"/>
    <mergeCell ref="AC27:AN27"/>
    <mergeCell ref="AG19:AJ19"/>
    <mergeCell ref="AK19:AM19"/>
    <mergeCell ref="AM17:AS17"/>
    <mergeCell ref="AT17:AU17"/>
    <mergeCell ref="AX17:AY17"/>
    <mergeCell ref="AQ18:AV19"/>
    <mergeCell ref="AB16:AB17"/>
    <mergeCell ref="AE16:AE17"/>
    <mergeCell ref="AC16:AD17"/>
    <mergeCell ref="AF16:AG17"/>
    <mergeCell ref="AH16:AH17"/>
    <mergeCell ref="AC20:AF20"/>
    <mergeCell ref="AG20:AN20"/>
    <mergeCell ref="AI16:AI17"/>
    <mergeCell ref="AJ16:AJ17"/>
    <mergeCell ref="AK16:AK17"/>
    <mergeCell ref="AA5:AA11"/>
    <mergeCell ref="AB5:AC5"/>
    <mergeCell ref="AD5:AM5"/>
    <mergeCell ref="AN5:AP6"/>
    <mergeCell ref="AD11:AZ11"/>
    <mergeCell ref="AB11:AC11"/>
    <mergeCell ref="AS13:AT13"/>
    <mergeCell ref="AV13:AX13"/>
    <mergeCell ref="AB14:AB15"/>
    <mergeCell ref="AE14:AE15"/>
    <mergeCell ref="AB18:AD19"/>
    <mergeCell ref="AH12:AK13"/>
    <mergeCell ref="AV14:AZ16"/>
    <mergeCell ref="AY13:AZ13"/>
    <mergeCell ref="AJ14:AJ15"/>
    <mergeCell ref="AC14:AD15"/>
    <mergeCell ref="AO13:AP13"/>
    <mergeCell ref="AL13:AN13"/>
    <mergeCell ref="AB12:AG13"/>
    <mergeCell ref="AQ5:AR5"/>
    <mergeCell ref="AY10:AZ10"/>
    <mergeCell ref="AB9:AC9"/>
    <mergeCell ref="AS5:AZ5"/>
    <mergeCell ref="AB6:AC6"/>
    <mergeCell ref="AD6:AM6"/>
    <mergeCell ref="AO9:AP9"/>
    <mergeCell ref="AQ9:AR9"/>
    <mergeCell ref="AB7:AC8"/>
    <mergeCell ref="AB10:AC10"/>
    <mergeCell ref="AY9:AZ9"/>
    <mergeCell ref="AE7:AK7"/>
    <mergeCell ref="AL7:AZ7"/>
    <mergeCell ref="AE8:AO8"/>
    <mergeCell ref="AP8:AQ8"/>
    <mergeCell ref="AR8:AZ8"/>
    <mergeCell ref="AD9:AN9"/>
    <mergeCell ref="AD10:AN10"/>
    <mergeCell ref="Q9:R9"/>
    <mergeCell ref="E7:K7"/>
    <mergeCell ref="G18:J18"/>
    <mergeCell ref="C26:N26"/>
    <mergeCell ref="K16:K17"/>
    <mergeCell ref="J16:J17"/>
    <mergeCell ref="G20:N20"/>
    <mergeCell ref="E8:O8"/>
    <mergeCell ref="L7:Z7"/>
    <mergeCell ref="P8:Q8"/>
    <mergeCell ref="R8:Z8"/>
    <mergeCell ref="B12:G13"/>
    <mergeCell ref="H14:H15"/>
    <mergeCell ref="E14:E15"/>
    <mergeCell ref="F14:G15"/>
    <mergeCell ref="C14:D15"/>
    <mergeCell ref="V13:X13"/>
    <mergeCell ref="S13:T13"/>
    <mergeCell ref="F16:G17"/>
    <mergeCell ref="X17:Y17"/>
    <mergeCell ref="C24:N24"/>
    <mergeCell ref="C25:N25"/>
    <mergeCell ref="W19:Z19"/>
    <mergeCell ref="W18:Z18"/>
    <mergeCell ref="A18:A19"/>
    <mergeCell ref="AQ6:AR6"/>
    <mergeCell ref="AS6:AZ6"/>
    <mergeCell ref="AA1:AZ1"/>
    <mergeCell ref="AA2:AC2"/>
    <mergeCell ref="AD2:AZ2"/>
    <mergeCell ref="AA3:AA4"/>
    <mergeCell ref="AB3:AC3"/>
    <mergeCell ref="A1:Z1"/>
    <mergeCell ref="D5:M5"/>
    <mergeCell ref="AD3:AZ3"/>
    <mergeCell ref="AB4:AC4"/>
    <mergeCell ref="AD4:AZ4"/>
    <mergeCell ref="Q18:V19"/>
    <mergeCell ref="B18:D19"/>
    <mergeCell ref="N18:O18"/>
    <mergeCell ref="K18:M18"/>
    <mergeCell ref="K19:M19"/>
    <mergeCell ref="E18:F19"/>
    <mergeCell ref="E16:E17"/>
    <mergeCell ref="B5:C5"/>
    <mergeCell ref="A3:A4"/>
    <mergeCell ref="B4:C4"/>
    <mergeCell ref="A5:A11"/>
    <mergeCell ref="A34:B34"/>
    <mergeCell ref="U35:W36"/>
    <mergeCell ref="A20:A30"/>
    <mergeCell ref="C21:N21"/>
    <mergeCell ref="C22:N22"/>
    <mergeCell ref="O20:Z30"/>
    <mergeCell ref="C23:N23"/>
    <mergeCell ref="C27:N27"/>
    <mergeCell ref="A33:B33"/>
    <mergeCell ref="R33:Z33"/>
    <mergeCell ref="X35:Z36"/>
    <mergeCell ref="C20:F20"/>
    <mergeCell ref="C30:E30"/>
    <mergeCell ref="F30:M30"/>
    <mergeCell ref="C28:N28"/>
    <mergeCell ref="C29:N29"/>
    <mergeCell ref="D3:Z3"/>
    <mergeCell ref="D4:Z4"/>
    <mergeCell ref="X38:Y38"/>
    <mergeCell ref="Q6:R6"/>
    <mergeCell ref="I16:I17"/>
    <mergeCell ref="N5:P6"/>
    <mergeCell ref="B16:B17"/>
    <mergeCell ref="B10:C10"/>
    <mergeCell ref="B6:C6"/>
    <mergeCell ref="B7:C8"/>
    <mergeCell ref="B11:C11"/>
    <mergeCell ref="B9:C9"/>
    <mergeCell ref="B14:B15"/>
    <mergeCell ref="D11:Z11"/>
    <mergeCell ref="H12:K13"/>
    <mergeCell ref="L12:U12"/>
    <mergeCell ref="S5:Z5"/>
    <mergeCell ref="S6:Z6"/>
    <mergeCell ref="I14:I15"/>
    <mergeCell ref="O13:P13"/>
    <mergeCell ref="D6:M6"/>
    <mergeCell ref="Q5:R5"/>
    <mergeCell ref="O9:P9"/>
    <mergeCell ref="U34:W34"/>
    <mergeCell ref="BG154:BG174"/>
    <mergeCell ref="BG175:BG204"/>
    <mergeCell ref="BG1:BO1"/>
    <mergeCell ref="BG3:BG17"/>
    <mergeCell ref="BG18:BG37"/>
    <mergeCell ref="BG38:BG52"/>
    <mergeCell ref="H16:H17"/>
    <mergeCell ref="K14:K15"/>
    <mergeCell ref="J14:J15"/>
    <mergeCell ref="T17:U17"/>
    <mergeCell ref="AF14:AG15"/>
    <mergeCell ref="AH14:AH15"/>
    <mergeCell ref="AI14:AI15"/>
    <mergeCell ref="AA12:AA17"/>
    <mergeCell ref="L13:N13"/>
    <mergeCell ref="V14:Z16"/>
    <mergeCell ref="Q14:U16"/>
    <mergeCell ref="L14:P16"/>
    <mergeCell ref="L17:S17"/>
    <mergeCell ref="A31:Z31"/>
    <mergeCell ref="X32:Y32"/>
    <mergeCell ref="U32:V32"/>
    <mergeCell ref="A12:A17"/>
    <mergeCell ref="B3:C3"/>
    <mergeCell ref="D9:N9"/>
    <mergeCell ref="D10:N10"/>
    <mergeCell ref="BG53:BG68"/>
    <mergeCell ref="BG69:BG83"/>
    <mergeCell ref="BG84:BG111"/>
    <mergeCell ref="BG112:BG133"/>
    <mergeCell ref="BG134:BG153"/>
    <mergeCell ref="A32:Q32"/>
    <mergeCell ref="G19:J19"/>
    <mergeCell ref="Q13:R13"/>
    <mergeCell ref="Y13:Z13"/>
    <mergeCell ref="Y10:Z10"/>
    <mergeCell ref="C16:D17"/>
    <mergeCell ref="V12:Z12"/>
    <mergeCell ref="N19:O19"/>
    <mergeCell ref="X34:Z34"/>
    <mergeCell ref="A35:Q35"/>
    <mergeCell ref="A36:Q36"/>
    <mergeCell ref="R34:T34"/>
    <mergeCell ref="AQ14:AU16"/>
    <mergeCell ref="AQ13:AR13"/>
    <mergeCell ref="R35:T36"/>
    <mergeCell ref="C33:Q33"/>
    <mergeCell ref="C34:Q34"/>
  </mergeCells>
  <phoneticPr fontId="8"/>
  <conditionalFormatting sqref="E8 P8 D9:D11">
    <cfRule type="cellIs" priority="59" stopIfTrue="1" operator="equal">
      <formula>""</formula>
    </cfRule>
  </conditionalFormatting>
  <conditionalFormatting sqref="E8 P8 D9:D11">
    <cfRule type="cellIs" dxfId="554" priority="58" stopIfTrue="1" operator="equal">
      <formula>""</formula>
    </cfRule>
  </conditionalFormatting>
  <conditionalFormatting sqref="B18:D19 R32:S32 U32:V32 X32:Y32">
    <cfRule type="cellIs" dxfId="553" priority="57" stopIfTrue="1" operator="equal">
      <formula>""</formula>
    </cfRule>
  </conditionalFormatting>
  <conditionalFormatting sqref="C14:D15 F14:G15 J14:J15">
    <cfRule type="cellIs" priority="51" stopIfTrue="1" operator="equal">
      <formula>""</formula>
    </cfRule>
  </conditionalFormatting>
  <conditionalFormatting sqref="C14:D15 F14:G15 J14:J15">
    <cfRule type="cellIs" dxfId="552" priority="50" stopIfTrue="1" operator="equal">
      <formula>""</formula>
    </cfRule>
  </conditionalFormatting>
  <conditionalFormatting sqref="C16:D17">
    <cfRule type="cellIs" priority="47" stopIfTrue="1" operator="equal">
      <formula>""</formula>
    </cfRule>
  </conditionalFormatting>
  <conditionalFormatting sqref="C16:D17">
    <cfRule type="cellIs" dxfId="551" priority="46" stopIfTrue="1" operator="equal">
      <formula>""</formula>
    </cfRule>
  </conditionalFormatting>
  <conditionalFormatting sqref="F16:G17">
    <cfRule type="cellIs" priority="45" stopIfTrue="1" operator="equal">
      <formula>""</formula>
    </cfRule>
  </conditionalFormatting>
  <conditionalFormatting sqref="F16:G17">
    <cfRule type="cellIs" dxfId="550" priority="44" stopIfTrue="1" operator="equal">
      <formula>""</formula>
    </cfRule>
  </conditionalFormatting>
  <conditionalFormatting sqref="J16:J17">
    <cfRule type="cellIs" priority="43" stopIfTrue="1" operator="equal">
      <formula>""</formula>
    </cfRule>
  </conditionalFormatting>
  <conditionalFormatting sqref="J16:J17">
    <cfRule type="cellIs" dxfId="549" priority="42" stopIfTrue="1" operator="equal">
      <formula>""</formula>
    </cfRule>
  </conditionalFormatting>
  <conditionalFormatting sqref="Q13 V13">
    <cfRule type="containsBlanks" dxfId="548" priority="228" stopIfTrue="1">
      <formula>LEN(TRIM(Q13))=0</formula>
    </cfRule>
  </conditionalFormatting>
  <conditionalFormatting sqref="E7:K7">
    <cfRule type="containsBlanks" dxfId="547" priority="229" stopIfTrue="1">
      <formula>LEN(TRIM(E7))=0</formula>
    </cfRule>
  </conditionalFormatting>
  <conditionalFormatting sqref="R8:Z8">
    <cfRule type="containsBlanks" dxfId="546" priority="230" stopIfTrue="1">
      <formula>LEN(TRIM(R8))=0</formula>
    </cfRule>
  </conditionalFormatting>
  <conditionalFormatting sqref="L13:N13">
    <cfRule type="containsBlanks" dxfId="545" priority="231">
      <formula>LEN(TRIM(L13))=0</formula>
    </cfRule>
  </conditionalFormatting>
  <conditionalFormatting sqref="T17:U17 X17:Y17">
    <cfRule type="containsBlanks" dxfId="544" priority="232">
      <formula>LEN(TRIM(T17))=0</formula>
    </cfRule>
  </conditionalFormatting>
  <conditionalFormatting sqref="D4:Z4">
    <cfRule type="cellIs" dxfId="543" priority="22" stopIfTrue="1" operator="equal">
      <formula>""</formula>
    </cfRule>
  </conditionalFormatting>
  <conditionalFormatting sqref="D3:Z3">
    <cfRule type="cellIs" dxfId="542" priority="21" stopIfTrue="1" operator="equal">
      <formula>""</formula>
    </cfRule>
  </conditionalFormatting>
  <conditionalFormatting sqref="D5:M6">
    <cfRule type="cellIs" priority="20" stopIfTrue="1" operator="equal">
      <formula>""</formula>
    </cfRule>
  </conditionalFormatting>
  <conditionalFormatting sqref="D5:M6">
    <cfRule type="cellIs" dxfId="541" priority="19" stopIfTrue="1" operator="equal">
      <formula>""</formula>
    </cfRule>
  </conditionalFormatting>
  <conditionalFormatting sqref="S5:Z6">
    <cfRule type="cellIs" priority="18" stopIfTrue="1" operator="equal">
      <formula>""</formula>
    </cfRule>
  </conditionalFormatting>
  <conditionalFormatting sqref="S5:Z6">
    <cfRule type="cellIs" dxfId="540" priority="17" stopIfTrue="1" operator="equal">
      <formula>""</formula>
    </cfRule>
  </conditionalFormatting>
  <conditionalFormatting sqref="AE8 AP8">
    <cfRule type="cellIs" priority="16" stopIfTrue="1" operator="equal">
      <formula>""</formula>
    </cfRule>
  </conditionalFormatting>
  <conditionalFormatting sqref="AE8 AP8">
    <cfRule type="cellIs" dxfId="539" priority="15" stopIfTrue="1" operator="equal">
      <formula>""</formula>
    </cfRule>
  </conditionalFormatting>
  <conditionalFormatting sqref="AE7:AK7">
    <cfRule type="containsBlanks" dxfId="538" priority="233" stopIfTrue="1">
      <formula>LEN(TRIM(AE7))=0</formula>
    </cfRule>
  </conditionalFormatting>
  <conditionalFormatting sqref="AR8:AZ8">
    <cfRule type="containsBlanks" dxfId="537" priority="234" stopIfTrue="1">
      <formula>LEN(TRIM(AR8))=0</formula>
    </cfRule>
  </conditionalFormatting>
  <conditionalFormatting sqref="AD9:AD10">
    <cfRule type="cellIs" priority="12" stopIfTrue="1" operator="equal">
      <formula>""</formula>
    </cfRule>
  </conditionalFormatting>
  <conditionalFormatting sqref="AD9:AD10">
    <cfRule type="cellIs" dxfId="536" priority="11" stopIfTrue="1" operator="equal">
      <formula>""</formula>
    </cfRule>
  </conditionalFormatting>
  <conditionalFormatting sqref="AQ13">
    <cfRule type="containsBlanks" dxfId="535" priority="235" stopIfTrue="1">
      <formula>LEN(TRIM(AQ13))=0</formula>
    </cfRule>
  </conditionalFormatting>
  <conditionalFormatting sqref="AL13:AN13">
    <cfRule type="containsBlanks" dxfId="534" priority="236">
      <formula>LEN(TRIM(AL13))=0</formula>
    </cfRule>
  </conditionalFormatting>
  <conditionalFormatting sqref="AV13">
    <cfRule type="containsBlanks" dxfId="533" priority="237" stopIfTrue="1">
      <formula>LEN(TRIM(AV13))=0</formula>
    </cfRule>
  </conditionalFormatting>
  <conditionalFormatting sqref="AT17:AU17">
    <cfRule type="containsBlanks" dxfId="532" priority="238">
      <formula>LEN(TRIM(AT17))=0</formula>
    </cfRule>
  </conditionalFormatting>
  <conditionalFormatting sqref="AX17:AY17">
    <cfRule type="containsBlanks" dxfId="531" priority="239">
      <formula>LEN(TRIM(AX17))=0</formula>
    </cfRule>
  </conditionalFormatting>
  <conditionalFormatting sqref="W18:Z18">
    <cfRule type="expression" dxfId="530" priority="222">
      <formula>$X$38=TRUE</formula>
    </cfRule>
  </conditionalFormatting>
  <conditionalFormatting sqref="L17:S17">
    <cfRule type="expression" dxfId="529" priority="226">
      <formula>$U$40=TRUE</formula>
    </cfRule>
  </conditionalFormatting>
  <conditionalFormatting sqref="AB12">
    <cfRule type="containsBlanks" dxfId="528" priority="2" stopIfTrue="1">
      <formula>LEN(TRIM(AB12))=0</formula>
    </cfRule>
  </conditionalFormatting>
  <conditionalFormatting sqref="B12:G13">
    <cfRule type="containsBlanks" dxfId="527" priority="1" stopIfTrue="1">
      <formula>LEN(TRIM(B12))=0</formula>
    </cfRule>
  </conditionalFormatting>
  <dataValidations count="11">
    <dataValidation type="list" allowBlank="1" showInputMessage="1" showErrorMessage="1" sqref="X32:Y32 F14:G17" xr:uid="{00000000-0002-0000-0100-000000000000}">
      <formula1>$BA$1:$BA$31</formula1>
    </dataValidation>
    <dataValidation type="list" allowBlank="1" showInputMessage="1" showErrorMessage="1" sqref="C14:D17 U32:V32" xr:uid="{00000000-0002-0000-0100-000001000000}">
      <formula1>$BA$1:$BA$12</formula1>
    </dataValidation>
    <dataValidation type="list" allowBlank="1" showInputMessage="1" showErrorMessage="1" sqref="J14:J17" xr:uid="{00000000-0002-0000-0100-000002000000}">
      <formula1>$BF$3:$BF$9</formula1>
    </dataValidation>
    <dataValidation type="list" allowBlank="1" showInputMessage="1" showErrorMessage="1" sqref="V13:X13 AV13:AX13" xr:uid="{00000000-0002-0000-0100-000003000000}">
      <formula1>$BA$1</formula1>
    </dataValidation>
    <dataValidation type="list" allowBlank="1" showInputMessage="1" showErrorMessage="1" sqref="T17:U17 AT17:AU17" xr:uid="{00000000-0002-0000-0100-000004000000}">
      <formula1>$BA$10:$BA$13</formula1>
    </dataValidation>
    <dataValidation type="list" allowBlank="1" showInputMessage="1" showErrorMessage="1" sqref="N18:O18" xr:uid="{00000000-0002-0000-0100-000006000000}">
      <formula1>$BA$1:$BA$17</formula1>
    </dataValidation>
    <dataValidation type="list" allowBlank="1" showInputMessage="1" showErrorMessage="1" sqref="N19:O19" xr:uid="{00000000-0002-0000-0100-000007000000}">
      <formula1>$BA$1:$BA$6</formula1>
    </dataValidation>
    <dataValidation allowBlank="1" sqref="AB12" xr:uid="{00000000-0002-0000-0100-000008000000}"/>
    <dataValidation type="list" allowBlank="1" showInputMessage="1" showErrorMessage="1" sqref="L13:N13 AL13:AN13" xr:uid="{00000000-0002-0000-0100-000009000000}">
      <formula1>$BH$3</formula1>
    </dataValidation>
    <dataValidation type="list" allowBlank="1" showInputMessage="1" showErrorMessage="1" sqref="X17:Y17 AX17:AY17" xr:uid="{00000000-0002-0000-0100-000005000000}">
      <formula1>$BA$13:$BA$17</formula1>
    </dataValidation>
    <dataValidation type="list" allowBlank="1" sqref="B12:G13" xr:uid="{1FB2BB3F-F576-46A2-8FEE-6C134663E831}">
      <formula1>$A$37:$A$39</formula1>
    </dataValidation>
  </dataValidations>
  <hyperlinks>
    <hyperlink ref="BQ175" r:id="rId1" display="http://www.kitakujo-e.sapporo-c.ed.jp/" xr:uid="{00000000-0004-0000-0100-000000000000}"/>
    <hyperlink ref="BQ176" r:id="rId2" display="http://www.kohoku-e.sapporo-c.ed.jp/" xr:uid="{00000000-0004-0000-0100-000001000000}"/>
    <hyperlink ref="BQ177" r:id="rId3" display="http://www.hakuyo-e.sapporo-c.ed.jp/" xr:uid="{00000000-0004-0000-0100-000002000000}"/>
    <hyperlink ref="BQ178" r:id="rId4" display="http://www.shinkotoni-e.sapporo-c.ed.jp/" xr:uid="{00000000-0004-0000-0100-000003000000}"/>
    <hyperlink ref="BQ179" r:id="rId5" display="http://www.tonden-e.sapporo-c.ed.jp/" xr:uid="{00000000-0004-0000-0100-000004000000}"/>
    <hyperlink ref="BQ180" r:id="rId6" display="http://www.shinkawa-e.sapporo-c.ed.jp/" xr:uid="{00000000-0004-0000-0100-000005000000}"/>
    <hyperlink ref="BQ181" r:id="rId7" display="http://www.shinoro-e.sapporo-c.ed.jp/" xr:uid="{00000000-0004-0000-0100-000006000000}"/>
    <hyperlink ref="BQ182" r:id="rId8" display="http://www.barato-e.sapporo-c.ed.jp/" xr:uid="{00000000-0004-0000-0100-000007000000}"/>
    <hyperlink ref="BQ183" r:id="rId9" display="http://www.kojo-e.sapporo-c.ed.jp/" xr:uid="{00000000-0004-0000-0100-000008000000}"/>
    <hyperlink ref="BQ184" r:id="rId10" display="http://www.wako-e.sapporo-c.ed.jp/" xr:uid="{00000000-0004-0000-0100-000009000000}"/>
    <hyperlink ref="BQ185" r:id="rId11" display="http://www.koyo-e.sapporo-c.ed.jp/" xr:uid="{00000000-0004-0000-0100-00000A000000}"/>
    <hyperlink ref="BQ186" r:id="rId12" display="http://www.shinyo-e.sapporo-c.ed.jp/" xr:uid="{00000000-0004-0000-0100-00000B000000}"/>
    <hyperlink ref="BQ187" r:id="rId13" display="http://www.shinkotonikita-e.sapporo-c.ed.jp/" xr:uid="{00000000-0004-0000-0100-00000C000000}"/>
    <hyperlink ref="BQ188" r:id="rId14" display="http://www.shinkawachuo-e.sapporo-c.ed.jp/" xr:uid="{00000000-0004-0000-0100-00000D000000}"/>
    <hyperlink ref="BQ189" r:id="rId15" display="http://www.shinkotoninishi-e.sapporo-c.ed.jp/" xr:uid="{00000000-0004-0000-0100-00000E000000}"/>
    <hyperlink ref="BQ190" r:id="rId16" display="http://www.taihei-e.sapporo-c.ed.jp/" xr:uid="{00000000-0004-0000-0100-00000F000000}"/>
    <hyperlink ref="BQ191" r:id="rId17" display="http://www.shinkotoniminami-e.sapporo-c.ed.jp/" xr:uid="{00000000-0004-0000-0100-000010000000}"/>
    <hyperlink ref="BQ192" r:id="rId18" display="http://www.shinoronishi-e.sapporo-c.ed.jp/" xr:uid="{00000000-0004-0000-0100-000011000000}"/>
    <hyperlink ref="BQ193" r:id="rId19" display="http://www.shinko-e.sapporo-c.ed.jp/" xr:uid="{00000000-0004-0000-0100-000012000000}"/>
    <hyperlink ref="BQ194" r:id="rId20" display="http://www.takuhoku-e.sapporo-c.ed.jp/" xr:uid="{00000000-0004-0000-0100-000013000000}"/>
    <hyperlink ref="BQ195" r:id="rId21" display="http://www.tondenminami-e.sapporo-c.ed.jp/" xr:uid="{00000000-0004-0000-0100-000014000000}"/>
    <hyperlink ref="BQ196" r:id="rId22" display="http://www.hokuyo-e.sapporo-c.ed.jp/" xr:uid="{00000000-0004-0000-0100-000015000000}"/>
    <hyperlink ref="BQ197" r:id="rId23" display="http://www.shinkotonimidori-e.sapporo-c.ed.jp/" xr:uid="{00000000-0004-0000-0100-000016000000}"/>
    <hyperlink ref="BQ198" r:id="rId24" display="http://www.taiheiminami-e.sapporo-c.ed.jp/" xr:uid="{00000000-0004-0000-0100-000017000000}"/>
    <hyperlink ref="BQ199" r:id="rId25" display="http://www.ainosatonishi-e.sapporo-c.ed.jp/" xr:uid="{00000000-0004-0000-0100-000018000000}"/>
    <hyperlink ref="BQ200" r:id="rId26" display="http://www.tondennishi-e.sapporo-c.ed.jp/" xr:uid="{00000000-0004-0000-0100-000019000000}"/>
    <hyperlink ref="BQ201" r:id="rId27" display="http://www.ainosatohigashi-e.sapporo-c.ed.jp/" xr:uid="{00000000-0004-0000-0100-00001A000000}"/>
    <hyperlink ref="BQ202" r:id="rId28" display="http://www.yurigahara-e.sapporo-c.ed.jp/" xr:uid="{00000000-0004-0000-0100-00001B000000}"/>
    <hyperlink ref="BQ203" r:id="rId29" display="http://www.tondenkita-e.sapporo-c.ed.jp/" xr:uid="{00000000-0004-0000-0100-00001C000000}"/>
    <hyperlink ref="BQ204" r:id="rId30" display="http://www.himawari-ej.sapporo-c.ed.jp/" xr:uid="{00000000-0004-0000-0100-00001D000000}"/>
  </hyperlinks>
  <printOptions horizontalCentered="1" verticalCentered="1"/>
  <pageMargins left="0.39370078740157483" right="0.39370078740157483" top="0.39370078740157483" bottom="0.39370078740157483" header="0" footer="0"/>
  <pageSetup paperSize="9" scale="99" orientation="portrait" r:id="rId31"/>
  <headerFooter>
    <oddFooter>&amp;R&amp;D &amp;T</oddFooter>
  </headerFooter>
  <colBreaks count="1" manualBreakCount="1">
    <brk id="26" max="38" man="1"/>
  </colBreaks>
  <ignoredErrors>
    <ignoredError sqref="R8 D10" unlockedFormula="1"/>
  </ignoredErrors>
  <drawing r:id="rId32"/>
  <legacyDrawing r:id="rId33"/>
  <mc:AlternateContent xmlns:mc="http://schemas.openxmlformats.org/markup-compatibility/2006">
    <mc:Choice Requires="x14">
      <controls>
        <mc:AlternateContent xmlns:mc="http://schemas.openxmlformats.org/markup-compatibility/2006">
          <mc:Choice Requires="x14">
            <control shapeId="1027" r:id="rId34" name="Check Box 3">
              <controlPr defaultSize="0" autoFill="0" autoLine="0" autoPict="0">
                <anchor moveWithCells="1">
                  <from>
                    <xdr:col>1</xdr:col>
                    <xdr:colOff>38100</xdr:colOff>
                    <xdr:row>19</xdr:row>
                    <xdr:rowOff>19050</xdr:rowOff>
                  </from>
                  <to>
                    <xdr:col>2</xdr:col>
                    <xdr:colOff>57150</xdr:colOff>
                    <xdr:row>19</xdr:row>
                    <xdr:rowOff>247650</xdr:rowOff>
                  </to>
                </anchor>
              </controlPr>
            </control>
          </mc:Choice>
        </mc:AlternateContent>
        <mc:AlternateContent xmlns:mc="http://schemas.openxmlformats.org/markup-compatibility/2006">
          <mc:Choice Requires="x14">
            <control shapeId="1028" r:id="rId35" name="Check Box 4">
              <controlPr defaultSize="0" autoFill="0" autoLine="0" autoPict="0">
                <anchor moveWithCells="1">
                  <from>
                    <xdr:col>1</xdr:col>
                    <xdr:colOff>38100</xdr:colOff>
                    <xdr:row>20</xdr:row>
                    <xdr:rowOff>19050</xdr:rowOff>
                  </from>
                  <to>
                    <xdr:col>2</xdr:col>
                    <xdr:colOff>57150</xdr:colOff>
                    <xdr:row>20</xdr:row>
                    <xdr:rowOff>247650</xdr:rowOff>
                  </to>
                </anchor>
              </controlPr>
            </control>
          </mc:Choice>
        </mc:AlternateContent>
        <mc:AlternateContent xmlns:mc="http://schemas.openxmlformats.org/markup-compatibility/2006">
          <mc:Choice Requires="x14">
            <control shapeId="1029" r:id="rId36" name="Check Box 5">
              <controlPr defaultSize="0" autoFill="0" autoLine="0" autoPict="0">
                <anchor moveWithCells="1">
                  <from>
                    <xdr:col>1</xdr:col>
                    <xdr:colOff>38100</xdr:colOff>
                    <xdr:row>21</xdr:row>
                    <xdr:rowOff>28575</xdr:rowOff>
                  </from>
                  <to>
                    <xdr:col>2</xdr:col>
                    <xdr:colOff>57150</xdr:colOff>
                    <xdr:row>21</xdr:row>
                    <xdr:rowOff>247650</xdr:rowOff>
                  </to>
                </anchor>
              </controlPr>
            </control>
          </mc:Choice>
        </mc:AlternateContent>
        <mc:AlternateContent xmlns:mc="http://schemas.openxmlformats.org/markup-compatibility/2006">
          <mc:Choice Requires="x14">
            <control shapeId="1030" r:id="rId37" name="Check Box 6">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1031" r:id="rId38" name="Check Box 7">
              <controlPr defaultSize="0" autoFill="0" autoLine="0" autoPict="0">
                <anchor moveWithCells="1">
                  <from>
                    <xdr:col>1</xdr:col>
                    <xdr:colOff>38100</xdr:colOff>
                    <xdr:row>23</xdr:row>
                    <xdr:rowOff>19050</xdr:rowOff>
                  </from>
                  <to>
                    <xdr:col>2</xdr:col>
                    <xdr:colOff>57150</xdr:colOff>
                    <xdr:row>23</xdr:row>
                    <xdr:rowOff>247650</xdr:rowOff>
                  </to>
                </anchor>
              </controlPr>
            </control>
          </mc:Choice>
        </mc:AlternateContent>
        <mc:AlternateContent xmlns:mc="http://schemas.openxmlformats.org/markup-compatibility/2006">
          <mc:Choice Requires="x14">
            <control shapeId="1032" r:id="rId39" name="Check Box 8">
              <controlPr defaultSize="0" autoFill="0" autoLine="0" autoPict="0">
                <anchor moveWithCells="1">
                  <from>
                    <xdr:col>1</xdr:col>
                    <xdr:colOff>38100</xdr:colOff>
                    <xdr:row>24</xdr:row>
                    <xdr:rowOff>19050</xdr:rowOff>
                  </from>
                  <to>
                    <xdr:col>2</xdr:col>
                    <xdr:colOff>57150</xdr:colOff>
                    <xdr:row>24</xdr:row>
                    <xdr:rowOff>247650</xdr:rowOff>
                  </to>
                </anchor>
              </controlPr>
            </control>
          </mc:Choice>
        </mc:AlternateContent>
        <mc:AlternateContent xmlns:mc="http://schemas.openxmlformats.org/markup-compatibility/2006">
          <mc:Choice Requires="x14">
            <control shapeId="1033" r:id="rId40" name="Check Box 9">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1034" r:id="rId41" name="Check Box 10">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1046" r:id="rId42" name="Check Box 22">
              <controlPr defaultSize="0" autoFill="0" autoLine="0" autoPict="0">
                <anchor moveWithCells="1">
                  <from>
                    <xdr:col>47</xdr:col>
                    <xdr:colOff>76200</xdr:colOff>
                    <xdr:row>14</xdr:row>
                    <xdr:rowOff>19050</xdr:rowOff>
                  </from>
                  <to>
                    <xdr:col>48</xdr:col>
                    <xdr:colOff>114300</xdr:colOff>
                    <xdr:row>14</xdr:row>
                    <xdr:rowOff>228600</xdr:rowOff>
                  </to>
                </anchor>
              </controlPr>
            </control>
          </mc:Choice>
        </mc:AlternateContent>
        <mc:AlternateContent xmlns:mc="http://schemas.openxmlformats.org/markup-compatibility/2006">
          <mc:Choice Requires="x14">
            <control shapeId="1047" r:id="rId43" name="Check Box 23">
              <controlPr defaultSize="0" autoFill="0" autoLine="0" autoPict="0">
                <anchor moveWithCells="1">
                  <from>
                    <xdr:col>48</xdr:col>
                    <xdr:colOff>38100</xdr:colOff>
                    <xdr:row>18</xdr:row>
                    <xdr:rowOff>0</xdr:rowOff>
                  </from>
                  <to>
                    <xdr:col>49</xdr:col>
                    <xdr:colOff>57150</xdr:colOff>
                    <xdr:row>18</xdr:row>
                    <xdr:rowOff>219075</xdr:rowOff>
                  </to>
                </anchor>
              </controlPr>
            </control>
          </mc:Choice>
        </mc:AlternateContent>
        <mc:AlternateContent xmlns:mc="http://schemas.openxmlformats.org/markup-compatibility/2006">
          <mc:Choice Requires="x14">
            <control shapeId="1048" r:id="rId44" name="Check Box 24">
              <controlPr defaultSize="0" autoFill="0" autoLine="0" autoPict="0">
                <anchor moveWithCells="1">
                  <from>
                    <xdr:col>48</xdr:col>
                    <xdr:colOff>28575</xdr:colOff>
                    <xdr:row>17</xdr:row>
                    <xdr:rowOff>9525</xdr:rowOff>
                  </from>
                  <to>
                    <xdr:col>49</xdr:col>
                    <xdr:colOff>57150</xdr:colOff>
                    <xdr:row>18</xdr:row>
                    <xdr:rowOff>0</xdr:rowOff>
                  </to>
                </anchor>
              </controlPr>
            </control>
          </mc:Choice>
        </mc:AlternateContent>
        <mc:AlternateContent xmlns:mc="http://schemas.openxmlformats.org/markup-compatibility/2006">
          <mc:Choice Requires="x14">
            <control shapeId="1062" r:id="rId45" name="Check Box 38">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1063" r:id="rId46" name="Check Box 39">
              <controlPr defaultSize="0" autoFill="0" autoLine="0" autoPict="0">
                <anchor moveWithCells="1">
                  <from>
                    <xdr:col>27</xdr:col>
                    <xdr:colOff>38100</xdr:colOff>
                    <xdr:row>20</xdr:row>
                    <xdr:rowOff>19050</xdr:rowOff>
                  </from>
                  <to>
                    <xdr:col>28</xdr:col>
                    <xdr:colOff>57150</xdr:colOff>
                    <xdr:row>20</xdr:row>
                    <xdr:rowOff>247650</xdr:rowOff>
                  </to>
                </anchor>
              </controlPr>
            </control>
          </mc:Choice>
        </mc:AlternateContent>
        <mc:AlternateContent xmlns:mc="http://schemas.openxmlformats.org/markup-compatibility/2006">
          <mc:Choice Requires="x14">
            <control shapeId="1064" r:id="rId47" name="Check Box 40">
              <controlPr defaultSize="0" autoFill="0" autoLine="0" autoPict="0">
                <anchor moveWithCells="1">
                  <from>
                    <xdr:col>27</xdr:col>
                    <xdr:colOff>38100</xdr:colOff>
                    <xdr:row>21</xdr:row>
                    <xdr:rowOff>28575</xdr:rowOff>
                  </from>
                  <to>
                    <xdr:col>28</xdr:col>
                    <xdr:colOff>57150</xdr:colOff>
                    <xdr:row>21</xdr:row>
                    <xdr:rowOff>247650</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from>
                    <xdr:col>37</xdr:col>
                    <xdr:colOff>114300</xdr:colOff>
                    <xdr:row>16</xdr:row>
                    <xdr:rowOff>9525</xdr:rowOff>
                  </from>
                  <to>
                    <xdr:col>38</xdr:col>
                    <xdr:colOff>152400</xdr:colOff>
                    <xdr:row>16</xdr:row>
                    <xdr:rowOff>219075</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from>
                    <xdr:col>21</xdr:col>
                    <xdr:colOff>76200</xdr:colOff>
                    <xdr:row>14</xdr:row>
                    <xdr:rowOff>19050</xdr:rowOff>
                  </from>
                  <to>
                    <xdr:col>22</xdr:col>
                    <xdr:colOff>114300</xdr:colOff>
                    <xdr:row>14</xdr:row>
                    <xdr:rowOff>238125</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from>
                    <xdr:col>11</xdr:col>
                    <xdr:colOff>76200</xdr:colOff>
                    <xdr:row>14</xdr:row>
                    <xdr:rowOff>57150</xdr:rowOff>
                  </from>
                  <to>
                    <xdr:col>12</xdr:col>
                    <xdr:colOff>114300</xdr:colOff>
                    <xdr:row>15</xdr:row>
                    <xdr:rowOff>38100</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16</xdr:col>
                    <xdr:colOff>66675</xdr:colOff>
                    <xdr:row>14</xdr:row>
                    <xdr:rowOff>47625</xdr:rowOff>
                  </from>
                  <to>
                    <xdr:col>17</xdr:col>
                    <xdr:colOff>95250</xdr:colOff>
                    <xdr:row>15</xdr:row>
                    <xdr:rowOff>28575</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from>
                    <xdr:col>11</xdr:col>
                    <xdr:colOff>76200</xdr:colOff>
                    <xdr:row>16</xdr:row>
                    <xdr:rowOff>19050</xdr:rowOff>
                  </from>
                  <to>
                    <xdr:col>12</xdr:col>
                    <xdr:colOff>114300</xdr:colOff>
                    <xdr:row>16</xdr:row>
                    <xdr:rowOff>238125</xdr:rowOff>
                  </to>
                </anchor>
              </controlPr>
            </control>
          </mc:Choice>
        </mc:AlternateContent>
        <mc:AlternateContent xmlns:mc="http://schemas.openxmlformats.org/markup-compatibility/2006">
          <mc:Choice Requires="x14">
            <control shapeId="1172" r:id="rId53" name="Check Box 148">
              <controlPr defaultSize="0" autoFill="0" autoLine="0" autoPict="0">
                <anchor moveWithCells="1">
                  <from>
                    <xdr:col>22</xdr:col>
                    <xdr:colOff>38100</xdr:colOff>
                    <xdr:row>17</xdr:row>
                    <xdr:rowOff>38100</xdr:rowOff>
                  </from>
                  <to>
                    <xdr:col>23</xdr:col>
                    <xdr:colOff>0</xdr:colOff>
                    <xdr:row>17</xdr:row>
                    <xdr:rowOff>209550</xdr:rowOff>
                  </to>
                </anchor>
              </controlPr>
            </control>
          </mc:Choice>
        </mc:AlternateContent>
        <mc:AlternateContent xmlns:mc="http://schemas.openxmlformats.org/markup-compatibility/2006">
          <mc:Choice Requires="x14">
            <control shapeId="1173" r:id="rId54" name="Check Box 149">
              <controlPr defaultSize="0" autoFill="0" autoLine="0" autoPict="0">
                <anchor moveWithCells="1">
                  <from>
                    <xdr:col>22</xdr:col>
                    <xdr:colOff>38100</xdr:colOff>
                    <xdr:row>18</xdr:row>
                    <xdr:rowOff>28575</xdr:rowOff>
                  </from>
                  <to>
                    <xdr:col>23</xdr:col>
                    <xdr:colOff>38100</xdr:colOff>
                    <xdr:row>18</xdr:row>
                    <xdr:rowOff>219075</xdr:rowOff>
                  </to>
                </anchor>
              </controlPr>
            </control>
          </mc:Choice>
        </mc:AlternateContent>
        <mc:AlternateContent xmlns:mc="http://schemas.openxmlformats.org/markup-compatibility/2006">
          <mc:Choice Requires="x14">
            <control shapeId="31299" r:id="rId55" name="Check Box 1603">
              <controlPr defaultSize="0" autoFill="0" autoLine="0" autoPict="0">
                <anchor moveWithCells="1">
                  <from>
                    <xdr:col>37</xdr:col>
                    <xdr:colOff>28575</xdr:colOff>
                    <xdr:row>14</xdr:row>
                    <xdr:rowOff>76200</xdr:rowOff>
                  </from>
                  <to>
                    <xdr:col>38</xdr:col>
                    <xdr:colOff>66675</xdr:colOff>
                    <xdr:row>15</xdr:row>
                    <xdr:rowOff>38100</xdr:rowOff>
                  </to>
                </anchor>
              </controlPr>
            </control>
          </mc:Choice>
        </mc:AlternateContent>
        <mc:AlternateContent xmlns:mc="http://schemas.openxmlformats.org/markup-compatibility/2006">
          <mc:Choice Requires="x14">
            <control shapeId="31301" r:id="rId56" name="Check Box 1605">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31310" r:id="rId57" name="Check Box 1614">
              <controlPr defaultSize="0" autoFill="0" autoLine="0" autoPict="0">
                <anchor moveWithCells="1">
                  <from>
                    <xdr:col>42</xdr:col>
                    <xdr:colOff>76200</xdr:colOff>
                    <xdr:row>14</xdr:row>
                    <xdr:rowOff>0</xdr:rowOff>
                  </from>
                  <to>
                    <xdr:col>43</xdr:col>
                    <xdr:colOff>180975</xdr:colOff>
                    <xdr:row>15</xdr:row>
                    <xdr:rowOff>0</xdr:rowOff>
                  </to>
                </anchor>
              </controlPr>
            </control>
          </mc:Choice>
        </mc:AlternateContent>
        <mc:AlternateContent xmlns:mc="http://schemas.openxmlformats.org/markup-compatibility/2006">
          <mc:Choice Requires="x14">
            <control shapeId="31311" r:id="rId58" name="Check Box 1615">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31312" r:id="rId59" name="Check Box 1616">
              <controlPr defaultSize="0" autoFill="0" autoLine="0" autoPict="0">
                <anchor moveWithCells="1">
                  <from>
                    <xdr:col>1</xdr:col>
                    <xdr:colOff>38100</xdr:colOff>
                    <xdr:row>23</xdr:row>
                    <xdr:rowOff>19050</xdr:rowOff>
                  </from>
                  <to>
                    <xdr:col>2</xdr:col>
                    <xdr:colOff>57150</xdr:colOff>
                    <xdr:row>23</xdr:row>
                    <xdr:rowOff>247650</xdr:rowOff>
                  </to>
                </anchor>
              </controlPr>
            </control>
          </mc:Choice>
        </mc:AlternateContent>
        <mc:AlternateContent xmlns:mc="http://schemas.openxmlformats.org/markup-compatibility/2006">
          <mc:Choice Requires="x14">
            <control shapeId="31314" r:id="rId60" name="Check Box 1618">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31317" r:id="rId61" name="Check Box 1621">
              <controlPr defaultSize="0" autoFill="0" autoLine="0" autoPict="0">
                <anchor moveWithCells="1">
                  <from>
                    <xdr:col>27</xdr:col>
                    <xdr:colOff>38100</xdr:colOff>
                    <xdr:row>22</xdr:row>
                    <xdr:rowOff>28575</xdr:rowOff>
                  </from>
                  <to>
                    <xdr:col>28</xdr:col>
                    <xdr:colOff>57150</xdr:colOff>
                    <xdr:row>22</xdr:row>
                    <xdr:rowOff>247650</xdr:rowOff>
                  </to>
                </anchor>
              </controlPr>
            </control>
          </mc:Choice>
        </mc:AlternateContent>
        <mc:AlternateContent xmlns:mc="http://schemas.openxmlformats.org/markup-compatibility/2006">
          <mc:Choice Requires="x14">
            <control shapeId="31318" r:id="rId62" name="Check Box 1622">
              <controlPr defaultSize="0" autoFill="0" autoLine="0" autoPict="0">
                <anchor moveWithCells="1">
                  <from>
                    <xdr:col>27</xdr:col>
                    <xdr:colOff>38100</xdr:colOff>
                    <xdr:row>23</xdr:row>
                    <xdr:rowOff>28575</xdr:rowOff>
                  </from>
                  <to>
                    <xdr:col>28</xdr:col>
                    <xdr:colOff>57150</xdr:colOff>
                    <xdr:row>23</xdr:row>
                    <xdr:rowOff>247650</xdr:rowOff>
                  </to>
                </anchor>
              </controlPr>
            </control>
          </mc:Choice>
        </mc:AlternateContent>
        <mc:AlternateContent xmlns:mc="http://schemas.openxmlformats.org/markup-compatibility/2006">
          <mc:Choice Requires="x14">
            <control shapeId="31319" r:id="rId63" name="Check Box 1623">
              <controlPr defaultSize="0" autoFill="0" autoLine="0" autoPict="0">
                <anchor moveWithCells="1">
                  <from>
                    <xdr:col>27</xdr:col>
                    <xdr:colOff>38100</xdr:colOff>
                    <xdr:row>24</xdr:row>
                    <xdr:rowOff>28575</xdr:rowOff>
                  </from>
                  <to>
                    <xdr:col>28</xdr:col>
                    <xdr:colOff>57150</xdr:colOff>
                    <xdr:row>24</xdr:row>
                    <xdr:rowOff>247650</xdr:rowOff>
                  </to>
                </anchor>
              </controlPr>
            </control>
          </mc:Choice>
        </mc:AlternateContent>
        <mc:AlternateContent xmlns:mc="http://schemas.openxmlformats.org/markup-compatibility/2006">
          <mc:Choice Requires="x14">
            <control shapeId="31320" r:id="rId64" name="Check Box 1624">
              <controlPr defaultSize="0" autoFill="0" autoLine="0" autoPict="0">
                <anchor moveWithCells="1">
                  <from>
                    <xdr:col>27</xdr:col>
                    <xdr:colOff>38100</xdr:colOff>
                    <xdr:row>25</xdr:row>
                    <xdr:rowOff>28575</xdr:rowOff>
                  </from>
                  <to>
                    <xdr:col>28</xdr:col>
                    <xdr:colOff>57150</xdr:colOff>
                    <xdr:row>25</xdr:row>
                    <xdr:rowOff>247650</xdr:rowOff>
                  </to>
                </anchor>
              </controlPr>
            </control>
          </mc:Choice>
        </mc:AlternateContent>
        <mc:AlternateContent xmlns:mc="http://schemas.openxmlformats.org/markup-compatibility/2006">
          <mc:Choice Requires="x14">
            <control shapeId="31321" r:id="rId65" name="Check Box 1625">
              <controlPr defaultSize="0" autoFill="0" autoLine="0" autoPict="0">
                <anchor moveWithCells="1">
                  <from>
                    <xdr:col>27</xdr:col>
                    <xdr:colOff>38100</xdr:colOff>
                    <xdr:row>26</xdr:row>
                    <xdr:rowOff>28575</xdr:rowOff>
                  </from>
                  <to>
                    <xdr:col>28</xdr:col>
                    <xdr:colOff>57150</xdr:colOff>
                    <xdr:row>26</xdr:row>
                    <xdr:rowOff>247650</xdr:rowOff>
                  </to>
                </anchor>
              </controlPr>
            </control>
          </mc:Choice>
        </mc:AlternateContent>
        <mc:AlternateContent xmlns:mc="http://schemas.openxmlformats.org/markup-compatibility/2006">
          <mc:Choice Requires="x14">
            <control shapeId="31322" r:id="rId66" name="Check Box 1626">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23" r:id="rId67" name="Check Box 1627">
              <controlPr defaultSize="0" autoFill="0" autoLine="0" autoPict="0">
                <anchor moveWithCells="1">
                  <from>
                    <xdr:col>27</xdr:col>
                    <xdr:colOff>38100</xdr:colOff>
                    <xdr:row>29</xdr:row>
                    <xdr:rowOff>28575</xdr:rowOff>
                  </from>
                  <to>
                    <xdr:col>28</xdr:col>
                    <xdr:colOff>57150</xdr:colOff>
                    <xdr:row>29</xdr:row>
                    <xdr:rowOff>247650</xdr:rowOff>
                  </to>
                </anchor>
              </controlPr>
            </control>
          </mc:Choice>
        </mc:AlternateContent>
        <mc:AlternateContent xmlns:mc="http://schemas.openxmlformats.org/markup-compatibility/2006">
          <mc:Choice Requires="x14">
            <control shapeId="31324" r:id="rId68" name="Check Box 1628">
              <controlPr defaultSize="0" autoFill="0" autoLine="0" autoPict="0">
                <anchor moveWithCells="1">
                  <from>
                    <xdr:col>1</xdr:col>
                    <xdr:colOff>38100</xdr:colOff>
                    <xdr:row>29</xdr:row>
                    <xdr:rowOff>19050</xdr:rowOff>
                  </from>
                  <to>
                    <xdr:col>2</xdr:col>
                    <xdr:colOff>57150</xdr:colOff>
                    <xdr:row>29</xdr:row>
                    <xdr:rowOff>247650</xdr:rowOff>
                  </to>
                </anchor>
              </controlPr>
            </control>
          </mc:Choice>
        </mc:AlternateContent>
        <mc:AlternateContent xmlns:mc="http://schemas.openxmlformats.org/markup-compatibility/2006">
          <mc:Choice Requires="x14">
            <control shapeId="31325" r:id="rId69" name="Check Box 1629">
              <controlPr defaultSize="0" autoFill="0" autoLine="0" autoPict="0">
                <anchor moveWithCells="1">
                  <from>
                    <xdr:col>1</xdr:col>
                    <xdr:colOff>38100</xdr:colOff>
                    <xdr:row>29</xdr:row>
                    <xdr:rowOff>19050</xdr:rowOff>
                  </from>
                  <to>
                    <xdr:col>2</xdr:col>
                    <xdr:colOff>57150</xdr:colOff>
                    <xdr:row>29</xdr:row>
                    <xdr:rowOff>247650</xdr:rowOff>
                  </to>
                </anchor>
              </controlPr>
            </control>
          </mc:Choice>
        </mc:AlternateContent>
        <mc:AlternateContent xmlns:mc="http://schemas.openxmlformats.org/markup-compatibility/2006">
          <mc:Choice Requires="x14">
            <control shapeId="31326" r:id="rId70" name="Check Box 1630">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27" r:id="rId71" name="Check Box 1631">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31328" r:id="rId72" name="Check Box 1632">
              <controlPr defaultSize="0" autoFill="0" autoLine="0" autoPict="0">
                <anchor moveWithCells="1">
                  <from>
                    <xdr:col>1</xdr:col>
                    <xdr:colOff>38100</xdr:colOff>
                    <xdr:row>28</xdr:row>
                    <xdr:rowOff>28575</xdr:rowOff>
                  </from>
                  <to>
                    <xdr:col>2</xdr:col>
                    <xdr:colOff>57150</xdr:colOff>
                    <xdr:row>28</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CI223"/>
  <sheetViews>
    <sheetView showZeros="0" view="pageBreakPreview" zoomScale="70" zoomScaleNormal="100" zoomScaleSheetLayoutView="70" workbookViewId="0">
      <selection activeCell="AW14" sqref="AW14"/>
    </sheetView>
  </sheetViews>
  <sheetFormatPr defaultColWidth="1.5" defaultRowHeight="13.5"/>
  <cols>
    <col min="1" max="78" width="1.875" style="653" customWidth="1"/>
    <col min="79" max="82" width="1.625" style="653" customWidth="1"/>
    <col min="83" max="16384" width="1.5" style="653"/>
  </cols>
  <sheetData>
    <row r="1" spans="1:87" s="252" customFormat="1" ht="23.25">
      <c r="A1" s="1510" t="s">
        <v>3086</v>
      </c>
      <c r="B1" s="1510"/>
      <c r="C1" s="1510"/>
      <c r="D1" s="1510"/>
      <c r="E1" s="1510"/>
      <c r="F1" s="1510"/>
      <c r="G1" s="1510"/>
      <c r="H1" s="1510"/>
      <c r="I1" s="1510"/>
      <c r="J1" s="1510"/>
      <c r="K1" s="1510"/>
      <c r="L1" s="1510"/>
      <c r="M1" s="1510"/>
      <c r="N1" s="1510"/>
      <c r="O1" s="1510"/>
      <c r="P1" s="1510"/>
      <c r="Q1" s="1510"/>
      <c r="R1" s="1510"/>
      <c r="S1" s="1510"/>
      <c r="T1" s="1510"/>
      <c r="U1" s="1510"/>
      <c r="V1" s="1510"/>
      <c r="W1" s="1510"/>
      <c r="X1" s="1510"/>
      <c r="Y1" s="1510"/>
      <c r="Z1" s="1510"/>
      <c r="AA1" s="1510"/>
      <c r="AB1" s="1510"/>
      <c r="AC1" s="1510"/>
      <c r="AD1" s="1510"/>
      <c r="AE1" s="1510"/>
      <c r="AF1" s="1510"/>
      <c r="AG1" s="1510"/>
      <c r="AH1" s="1510"/>
      <c r="AI1" s="1510"/>
      <c r="AJ1" s="1510"/>
      <c r="AK1" s="1510"/>
      <c r="AL1" s="1510"/>
      <c r="AM1" s="1510"/>
      <c r="AN1" s="1510"/>
      <c r="AO1" s="1510"/>
      <c r="AP1" s="1510"/>
      <c r="AQ1" s="1510"/>
      <c r="AR1" s="1510"/>
      <c r="AS1" s="1510"/>
      <c r="AT1" s="1510"/>
      <c r="AU1" s="1510"/>
      <c r="AV1" s="1510"/>
      <c r="AW1" s="1510"/>
      <c r="AX1" s="1510"/>
      <c r="AY1" s="1510"/>
      <c r="AZ1" s="1510"/>
      <c r="BA1" s="1510"/>
      <c r="BB1" s="1510"/>
      <c r="BC1" s="1510"/>
      <c r="BD1" s="1510"/>
      <c r="BE1" s="1510"/>
      <c r="BF1" s="1510"/>
      <c r="BG1" s="1510"/>
      <c r="BH1" s="1510"/>
      <c r="BI1" s="1510"/>
      <c r="BJ1" s="1510"/>
      <c r="BK1" s="1510"/>
      <c r="BL1" s="1510"/>
      <c r="BM1" s="1510"/>
      <c r="BN1" s="1510"/>
      <c r="BO1" s="1510"/>
      <c r="BP1" s="1510"/>
      <c r="BQ1" s="1510"/>
      <c r="BR1" s="1510"/>
      <c r="BS1" s="1510"/>
      <c r="BT1" s="1510"/>
      <c r="BU1" s="1510"/>
      <c r="BV1" s="1510"/>
      <c r="BW1" s="1510"/>
      <c r="BX1" s="1510"/>
      <c r="BY1" s="1510"/>
      <c r="BZ1" s="1510"/>
      <c r="CA1" s="643"/>
      <c r="CB1" s="644"/>
      <c r="CC1" s="644"/>
      <c r="CD1" s="644"/>
      <c r="CE1" s="644"/>
      <c r="CF1" s="644"/>
      <c r="CG1" s="644"/>
      <c r="CH1" s="644"/>
      <c r="CI1" s="644"/>
    </row>
    <row r="2" spans="1:87" s="252" customFormat="1" ht="9.9499999999999993" customHeight="1">
      <c r="A2" s="238"/>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38"/>
      <c r="AV2" s="238"/>
      <c r="AW2" s="285"/>
      <c r="AX2" s="294"/>
      <c r="AY2" s="294"/>
      <c r="AZ2" s="294"/>
      <c r="BA2" s="294"/>
      <c r="BB2" s="294"/>
      <c r="BC2" s="294"/>
      <c r="BD2" s="294"/>
      <c r="BE2" s="294"/>
      <c r="BF2" s="294"/>
      <c r="BG2" s="294"/>
      <c r="BH2" s="294"/>
      <c r="BI2" s="294"/>
      <c r="BJ2" s="294"/>
      <c r="BK2" s="294"/>
      <c r="BL2" s="294"/>
      <c r="BM2" s="294"/>
      <c r="BN2" s="294"/>
      <c r="BO2" s="294"/>
      <c r="BP2" s="294"/>
      <c r="BQ2" s="294"/>
      <c r="BR2" s="294"/>
      <c r="BS2" s="294"/>
      <c r="BT2" s="294"/>
      <c r="BU2" s="294"/>
      <c r="BV2" s="294"/>
      <c r="BW2" s="1525" t="s">
        <v>93</v>
      </c>
      <c r="BX2" s="1525"/>
      <c r="BY2" s="1517">
        <v>1</v>
      </c>
      <c r="BZ2" s="1517"/>
      <c r="CA2" s="294"/>
    </row>
    <row r="3" spans="1:87" s="252" customFormat="1" ht="9.9499999999999993" customHeight="1">
      <c r="A3" s="238"/>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38"/>
      <c r="AV3" s="238"/>
      <c r="AW3" s="285"/>
      <c r="AX3" s="294"/>
      <c r="AY3" s="294"/>
      <c r="AZ3" s="294"/>
      <c r="BA3" s="294"/>
      <c r="BB3" s="294"/>
      <c r="BC3" s="294"/>
      <c r="BD3" s="294"/>
      <c r="BE3" s="294"/>
      <c r="BF3" s="294"/>
      <c r="BG3" s="294"/>
      <c r="BH3" s="294"/>
      <c r="BI3" s="294"/>
      <c r="BJ3" s="294"/>
      <c r="BK3" s="294"/>
      <c r="BL3" s="294"/>
      <c r="BM3" s="294"/>
      <c r="BN3" s="294"/>
      <c r="BO3" s="294"/>
      <c r="BP3" s="294"/>
      <c r="BQ3" s="294"/>
      <c r="BR3" s="294"/>
      <c r="BS3" s="294"/>
      <c r="BT3" s="294"/>
      <c r="BU3" s="294"/>
      <c r="BV3" s="294"/>
      <c r="BW3" s="294"/>
      <c r="BX3" s="294"/>
      <c r="BY3" s="294"/>
      <c r="BZ3" s="294"/>
      <c r="CA3" s="294"/>
    </row>
    <row r="4" spans="1:87" s="252" customFormat="1" ht="12" customHeight="1">
      <c r="A4" s="1526" t="s">
        <v>84</v>
      </c>
      <c r="B4" s="1526"/>
      <c r="C4" s="1526"/>
      <c r="D4" s="1526"/>
      <c r="E4" s="1526"/>
      <c r="F4" s="1526"/>
      <c r="G4" s="1526"/>
      <c r="H4" s="1527" t="str">
        <f>CONCATENATE('01 使用承認申請書'!D4)</f>
        <v/>
      </c>
      <c r="I4" s="1527"/>
      <c r="J4" s="1527"/>
      <c r="K4" s="1527"/>
      <c r="L4" s="1527"/>
      <c r="M4" s="1527"/>
      <c r="N4" s="1527"/>
      <c r="O4" s="1527"/>
      <c r="P4" s="1527"/>
      <c r="Q4" s="1527"/>
      <c r="R4" s="1527"/>
      <c r="S4" s="1527"/>
      <c r="T4" s="1527"/>
      <c r="U4" s="1527"/>
      <c r="V4" s="1527"/>
      <c r="W4" s="1527"/>
      <c r="X4" s="1526" t="s">
        <v>82</v>
      </c>
      <c r="Y4" s="1526"/>
      <c r="Z4" s="1526"/>
      <c r="AA4" s="1526"/>
      <c r="AB4" s="1526"/>
      <c r="AC4" s="1526"/>
      <c r="AD4" s="1526"/>
      <c r="AE4" s="1518" t="str">
        <f>CONCATENATE('01 使用承認申請書'!B12)</f>
        <v/>
      </c>
      <c r="AF4" s="1518"/>
      <c r="AG4" s="1518"/>
      <c r="AH4" s="1518"/>
      <c r="AI4" s="1516" t="s">
        <v>16</v>
      </c>
      <c r="AJ4" s="1516"/>
      <c r="AK4" s="1518" t="str">
        <f>CONCATENATE('01 使用承認申請書'!C14)</f>
        <v/>
      </c>
      <c r="AL4" s="1518"/>
      <c r="AM4" s="1516" t="s">
        <v>15</v>
      </c>
      <c r="AN4" s="1516"/>
      <c r="AO4" s="1518" t="str">
        <f>CONCATENATE('01 使用承認申請書'!F14)</f>
        <v/>
      </c>
      <c r="AP4" s="1518"/>
      <c r="AQ4" s="1516" t="s">
        <v>14</v>
      </c>
      <c r="AR4" s="1516"/>
      <c r="AS4" s="1516" t="s">
        <v>81</v>
      </c>
      <c r="AT4" s="1516"/>
      <c r="AU4" s="1518" t="str">
        <f>CONCATENATE('01 使用承認申請書'!J14)</f>
        <v/>
      </c>
      <c r="AV4" s="1518"/>
      <c r="AW4" s="1516" t="s">
        <v>56</v>
      </c>
      <c r="AX4" s="1516"/>
      <c r="AY4" s="1516" t="s">
        <v>89</v>
      </c>
      <c r="AZ4" s="1516"/>
      <c r="BA4" s="1518" t="str">
        <f>CONCATENATE('01 使用承認申請書'!C16)</f>
        <v/>
      </c>
      <c r="BB4" s="1518"/>
      <c r="BC4" s="1516" t="s">
        <v>15</v>
      </c>
      <c r="BD4" s="1516"/>
      <c r="BE4" s="1518" t="str">
        <f>CONCATENATE('01 使用承認申請書'!F16)</f>
        <v/>
      </c>
      <c r="BF4" s="1518"/>
      <c r="BG4" s="1516" t="s">
        <v>14</v>
      </c>
      <c r="BH4" s="1516"/>
      <c r="BI4" s="1516" t="s">
        <v>92</v>
      </c>
      <c r="BJ4" s="1516"/>
      <c r="BK4" s="1518" t="str">
        <f>CONCATENATE('01 使用承認申請書'!J16)</f>
        <v/>
      </c>
      <c r="BL4" s="1518"/>
      <c r="BM4" s="1516" t="s">
        <v>43</v>
      </c>
      <c r="BN4" s="1516"/>
      <c r="BO4" s="1516"/>
      <c r="BP4" s="1520"/>
      <c r="BQ4" s="1516"/>
      <c r="BR4" s="1516"/>
      <c r="BS4" s="1524" t="str">
        <f>CONCATENATE('01 使用承認申請書'!L13)</f>
        <v/>
      </c>
      <c r="BT4" s="1524"/>
      <c r="BU4" s="1516" t="s">
        <v>46</v>
      </c>
      <c r="BV4" s="1516"/>
      <c r="BW4" s="1524" t="str">
        <f>CONCATENATE('01 使用承認申請書'!Q13)</f>
        <v/>
      </c>
      <c r="BX4" s="1524"/>
      <c r="BY4" s="1516" t="s">
        <v>14</v>
      </c>
      <c r="BZ4" s="1516"/>
      <c r="CA4" s="294"/>
    </row>
    <row r="5" spans="1:87" s="252" customFormat="1" ht="12" customHeight="1">
      <c r="A5" s="1162"/>
      <c r="B5" s="1162"/>
      <c r="C5" s="1162"/>
      <c r="D5" s="1162"/>
      <c r="E5" s="1162"/>
      <c r="F5" s="1162"/>
      <c r="G5" s="1162"/>
      <c r="H5" s="1528"/>
      <c r="I5" s="1528"/>
      <c r="J5" s="1528"/>
      <c r="K5" s="1528"/>
      <c r="L5" s="1528"/>
      <c r="M5" s="1528"/>
      <c r="N5" s="1528"/>
      <c r="O5" s="1528"/>
      <c r="P5" s="1528"/>
      <c r="Q5" s="1528"/>
      <c r="R5" s="1528"/>
      <c r="S5" s="1528"/>
      <c r="T5" s="1528"/>
      <c r="U5" s="1528"/>
      <c r="V5" s="1528"/>
      <c r="W5" s="1528"/>
      <c r="X5" s="1162"/>
      <c r="Y5" s="1162"/>
      <c r="Z5" s="1162"/>
      <c r="AA5" s="1162"/>
      <c r="AB5" s="1162"/>
      <c r="AC5" s="1162"/>
      <c r="AD5" s="1162"/>
      <c r="AE5" s="1519"/>
      <c r="AF5" s="1519"/>
      <c r="AG5" s="1519"/>
      <c r="AH5" s="1519"/>
      <c r="AI5" s="1517"/>
      <c r="AJ5" s="1517"/>
      <c r="AK5" s="1519"/>
      <c r="AL5" s="1519"/>
      <c r="AM5" s="1517"/>
      <c r="AN5" s="1517"/>
      <c r="AO5" s="1519"/>
      <c r="AP5" s="1519"/>
      <c r="AQ5" s="1517"/>
      <c r="AR5" s="1517"/>
      <c r="AS5" s="1517"/>
      <c r="AT5" s="1517"/>
      <c r="AU5" s="1519"/>
      <c r="AV5" s="1519"/>
      <c r="AW5" s="1517"/>
      <c r="AX5" s="1517"/>
      <c r="AY5" s="1517"/>
      <c r="AZ5" s="1517"/>
      <c r="BA5" s="1519"/>
      <c r="BB5" s="1519"/>
      <c r="BC5" s="1517"/>
      <c r="BD5" s="1517"/>
      <c r="BE5" s="1519"/>
      <c r="BF5" s="1519"/>
      <c r="BG5" s="1517"/>
      <c r="BH5" s="1517"/>
      <c r="BI5" s="1517"/>
      <c r="BJ5" s="1517"/>
      <c r="BK5" s="1519"/>
      <c r="BL5" s="1519"/>
      <c r="BM5" s="1517"/>
      <c r="BN5" s="1517"/>
      <c r="BO5" s="1291"/>
      <c r="BP5" s="1291"/>
      <c r="BQ5" s="1517"/>
      <c r="BR5" s="1517"/>
      <c r="BS5" s="1517" t="s">
        <v>47</v>
      </c>
      <c r="BT5" s="1517"/>
      <c r="BU5" s="1517"/>
      <c r="BV5" s="1517"/>
      <c r="BW5" s="1529" t="str">
        <f>CONCATENATE('01 使用承認申請書'!V13)</f>
        <v/>
      </c>
      <c r="BX5" s="1529"/>
      <c r="BY5" s="1517" t="s">
        <v>14</v>
      </c>
      <c r="BZ5" s="1517"/>
      <c r="CA5" s="294"/>
    </row>
    <row r="6" spans="1:87" s="252" customFormat="1" ht="12" customHeight="1">
      <c r="A6" s="645"/>
      <c r="B6" s="645"/>
      <c r="C6" s="645"/>
      <c r="D6" s="645"/>
      <c r="E6" s="645"/>
      <c r="F6" s="645"/>
      <c r="G6" s="645"/>
      <c r="H6" s="646"/>
      <c r="I6" s="646"/>
      <c r="J6" s="646"/>
      <c r="K6" s="646"/>
      <c r="L6" s="646"/>
      <c r="M6" s="646"/>
      <c r="N6" s="646"/>
      <c r="O6" s="646"/>
      <c r="P6" s="646"/>
      <c r="Q6" s="646"/>
      <c r="R6" s="646"/>
      <c r="S6" s="646"/>
      <c r="T6" s="646"/>
      <c r="U6" s="646"/>
      <c r="V6" s="646"/>
      <c r="W6" s="646"/>
      <c r="X6" s="645"/>
      <c r="Y6" s="645"/>
      <c r="Z6" s="645"/>
      <c r="AA6" s="645"/>
      <c r="AB6" s="645"/>
      <c r="AC6" s="645"/>
      <c r="AD6" s="645"/>
      <c r="AE6" s="639"/>
      <c r="AF6" s="639"/>
      <c r="AG6" s="647"/>
      <c r="AH6" s="648"/>
      <c r="AI6" s="638"/>
      <c r="AJ6" s="639"/>
      <c r="AK6" s="647"/>
      <c r="AL6" s="647"/>
      <c r="AM6" s="639"/>
      <c r="AN6" s="639"/>
      <c r="AO6" s="647"/>
      <c r="AP6" s="647"/>
      <c r="AQ6" s="639"/>
      <c r="AR6" s="639"/>
      <c r="AS6" s="639"/>
      <c r="AT6" s="639"/>
      <c r="AU6" s="647"/>
      <c r="AV6" s="647"/>
      <c r="AW6" s="639"/>
      <c r="AX6" s="639"/>
      <c r="AY6" s="639"/>
      <c r="AZ6" s="639"/>
      <c r="BA6" s="647"/>
      <c r="BB6" s="647"/>
      <c r="BC6" s="639"/>
      <c r="BD6" s="639"/>
      <c r="BE6" s="647"/>
      <c r="BF6" s="647"/>
      <c r="BG6" s="639"/>
      <c r="BH6" s="639"/>
      <c r="BI6" s="639"/>
      <c r="BJ6" s="639"/>
      <c r="BK6" s="647"/>
      <c r="BL6" s="647"/>
      <c r="BM6" s="639"/>
      <c r="BN6" s="639"/>
      <c r="BO6" s="633"/>
      <c r="BP6" s="633"/>
      <c r="BQ6" s="639"/>
      <c r="BR6" s="639"/>
      <c r="BS6" s="639"/>
      <c r="BT6" s="639"/>
      <c r="BU6" s="639"/>
      <c r="BV6" s="639"/>
      <c r="BW6" s="649"/>
      <c r="BX6" s="649"/>
      <c r="BY6" s="639"/>
      <c r="BZ6" s="639"/>
      <c r="CA6" s="294"/>
    </row>
    <row r="7" spans="1:87" ht="10.5" customHeight="1">
      <c r="A7" s="650"/>
      <c r="B7" s="650"/>
      <c r="C7" s="650"/>
      <c r="D7" s="650"/>
      <c r="E7" s="650"/>
      <c r="F7" s="650"/>
      <c r="G7" s="651"/>
      <c r="H7" s="650"/>
      <c r="I7" s="650"/>
      <c r="J7" s="650"/>
      <c r="K7" s="650"/>
      <c r="L7" s="650"/>
      <c r="M7" s="1505">
        <v>0.28125</v>
      </c>
      <c r="N7" s="1506"/>
      <c r="O7" s="1506"/>
      <c r="P7" s="1506"/>
      <c r="Q7" s="1507" t="s">
        <v>1901</v>
      </c>
      <c r="R7" s="1507"/>
      <c r="S7" s="1507"/>
      <c r="T7" s="1505">
        <v>0.36458333333333331</v>
      </c>
      <c r="U7" s="1506"/>
      <c r="V7" s="1506"/>
      <c r="W7" s="1506"/>
      <c r="X7" s="650"/>
      <c r="Y7" s="650"/>
      <c r="Z7" s="650"/>
      <c r="AA7" s="652"/>
      <c r="AB7" s="652"/>
      <c r="AC7" s="652"/>
      <c r="AD7" s="652"/>
      <c r="AE7" s="652"/>
      <c r="AF7" s="1505">
        <v>0.47916666666666669</v>
      </c>
      <c r="AG7" s="1506"/>
      <c r="AH7" s="1506"/>
      <c r="AI7" s="1506"/>
      <c r="AJ7" s="1507" t="s">
        <v>1901</v>
      </c>
      <c r="AK7" s="1507"/>
      <c r="AL7" s="1507"/>
      <c r="AM7" s="1505">
        <v>6.25E-2</v>
      </c>
      <c r="AN7" s="1506"/>
      <c r="AO7" s="1506"/>
      <c r="AP7" s="1506"/>
      <c r="AQ7" s="652"/>
      <c r="AR7" s="652"/>
      <c r="AS7" s="652"/>
      <c r="AT7" s="652"/>
      <c r="AU7" s="652"/>
      <c r="AV7" s="652"/>
      <c r="AW7" s="652"/>
      <c r="AX7" s="652"/>
      <c r="AY7" s="652"/>
      <c r="AZ7" s="652"/>
      <c r="BA7" s="1505">
        <v>0.20833333333333334</v>
      </c>
      <c r="BB7" s="1506"/>
      <c r="BC7" s="1506"/>
      <c r="BD7" s="1506"/>
      <c r="BE7" s="1507" t="s">
        <v>1902</v>
      </c>
      <c r="BF7" s="1507"/>
      <c r="BG7" s="1507"/>
      <c r="BH7" s="1507"/>
      <c r="BI7" s="1505">
        <v>0.29166666666666669</v>
      </c>
      <c r="BJ7" s="1506"/>
      <c r="BK7" s="1506"/>
      <c r="BL7" s="1506"/>
      <c r="BM7" s="652"/>
      <c r="BN7" s="652"/>
      <c r="BO7" s="652"/>
      <c r="BP7" s="652"/>
      <c r="BQ7" s="652"/>
      <c r="BR7" s="652"/>
      <c r="BS7" s="652"/>
      <c r="BT7" s="652"/>
      <c r="BU7" s="652"/>
      <c r="BV7" s="652"/>
      <c r="BW7" s="652"/>
      <c r="BX7" s="652"/>
      <c r="BY7" s="652"/>
      <c r="BZ7" s="652"/>
      <c r="CA7" s="652"/>
    </row>
    <row r="8" spans="1:87" ht="10.5" customHeight="1">
      <c r="A8" s="650"/>
      <c r="B8" s="650"/>
      <c r="C8" s="650"/>
      <c r="D8" s="650"/>
      <c r="E8" s="650"/>
      <c r="F8" s="650"/>
      <c r="G8" s="651"/>
      <c r="H8" s="650"/>
      <c r="I8" s="650"/>
      <c r="J8" s="650"/>
      <c r="K8" s="650"/>
      <c r="L8" s="650"/>
      <c r="M8" s="650"/>
      <c r="N8" s="650"/>
      <c r="O8" s="1491" t="s">
        <v>1837</v>
      </c>
      <c r="P8" s="1492"/>
      <c r="Q8" s="1492"/>
      <c r="R8" s="1492"/>
      <c r="S8" s="1492"/>
      <c r="T8" s="1493"/>
      <c r="U8" s="651"/>
      <c r="V8" s="651"/>
      <c r="W8" s="651"/>
      <c r="X8" s="651"/>
      <c r="Y8" s="651"/>
      <c r="Z8" s="651"/>
      <c r="AA8" s="654"/>
      <c r="AB8" s="654"/>
      <c r="AC8" s="654"/>
      <c r="AD8" s="654"/>
      <c r="AE8" s="654"/>
      <c r="AF8" s="654"/>
      <c r="AG8" s="654"/>
      <c r="AH8" s="1491" t="s">
        <v>1837</v>
      </c>
      <c r="AI8" s="1494"/>
      <c r="AJ8" s="1494"/>
      <c r="AK8" s="1494"/>
      <c r="AL8" s="1494"/>
      <c r="AM8" s="1494"/>
      <c r="AN8" s="1495"/>
      <c r="AO8" s="654"/>
      <c r="AP8" s="654"/>
      <c r="AQ8" s="654"/>
      <c r="AR8" s="654"/>
      <c r="AS8" s="654"/>
      <c r="AT8" s="654"/>
      <c r="AU8" s="654"/>
      <c r="AV8" s="654"/>
      <c r="AW8" s="654"/>
      <c r="AX8" s="654"/>
      <c r="AY8" s="654"/>
      <c r="AZ8" s="654"/>
      <c r="BA8" s="654"/>
      <c r="BB8" s="654"/>
      <c r="BC8" s="1496" t="s">
        <v>1837</v>
      </c>
      <c r="BD8" s="1494"/>
      <c r="BE8" s="1494"/>
      <c r="BF8" s="1494"/>
      <c r="BG8" s="1494"/>
      <c r="BH8" s="1494"/>
      <c r="BI8" s="1494"/>
      <c r="BJ8" s="1495"/>
      <c r="BK8" s="654"/>
      <c r="BL8" s="654"/>
      <c r="BM8" s="654"/>
      <c r="BN8" s="654"/>
      <c r="BO8" s="654"/>
      <c r="BP8" s="654"/>
      <c r="BQ8" s="654"/>
      <c r="BR8" s="654"/>
      <c r="BS8" s="654"/>
      <c r="BT8" s="654"/>
      <c r="BU8" s="654"/>
      <c r="BV8" s="654"/>
      <c r="BW8" s="654"/>
      <c r="BX8" s="654"/>
      <c r="BY8" s="654"/>
      <c r="BZ8" s="654"/>
      <c r="CA8" s="652"/>
    </row>
    <row r="9" spans="1:87" ht="10.5" customHeight="1">
      <c r="A9" s="1497" t="s">
        <v>80</v>
      </c>
      <c r="B9" s="1497"/>
      <c r="C9" s="1497"/>
      <c r="D9" s="1497" t="s">
        <v>79</v>
      </c>
      <c r="E9" s="1497"/>
      <c r="F9" s="1497"/>
      <c r="G9" s="651"/>
      <c r="H9" s="650"/>
      <c r="I9" s="650"/>
      <c r="J9" s="650"/>
      <c r="K9" s="650"/>
      <c r="L9" s="650"/>
      <c r="M9" s="650"/>
      <c r="N9" s="650"/>
      <c r="O9" s="651"/>
      <c r="P9" s="651"/>
      <c r="Q9" s="651"/>
      <c r="R9" s="651"/>
      <c r="S9" s="651"/>
      <c r="T9" s="651"/>
      <c r="U9" s="651"/>
      <c r="V9" s="651"/>
      <c r="W9" s="651"/>
      <c r="X9" s="651"/>
      <c r="Y9" s="651"/>
      <c r="Z9" s="651"/>
      <c r="AA9" s="654"/>
      <c r="AB9" s="654"/>
      <c r="AC9" s="654"/>
      <c r="AD9" s="654"/>
      <c r="AE9" s="654"/>
      <c r="AF9" s="654"/>
      <c r="AG9" s="654"/>
      <c r="AH9" s="655"/>
      <c r="AI9" s="1533" t="s">
        <v>1404</v>
      </c>
      <c r="AJ9" s="1533"/>
      <c r="AK9" s="1533"/>
      <c r="AL9" s="1533"/>
      <c r="AM9" s="1533"/>
      <c r="AN9" s="1533"/>
      <c r="AO9" s="1533"/>
      <c r="AP9" s="1533"/>
      <c r="AQ9" s="1533"/>
      <c r="AR9" s="1533"/>
      <c r="AS9" s="1533"/>
      <c r="AT9" s="1533"/>
      <c r="AU9" s="1533"/>
      <c r="AV9" s="1533"/>
      <c r="AW9" s="1533"/>
      <c r="AX9" s="1533"/>
      <c r="AY9" s="1530" t="s">
        <v>1405</v>
      </c>
      <c r="AZ9" s="1531"/>
      <c r="BA9" s="1531"/>
      <c r="BB9" s="1531"/>
      <c r="BC9" s="1531"/>
      <c r="BD9" s="1531"/>
      <c r="BE9" s="1531"/>
      <c r="BF9" s="1531"/>
      <c r="BG9" s="1531"/>
      <c r="BH9" s="1531"/>
      <c r="BI9" s="1531"/>
      <c r="BJ9" s="1531"/>
      <c r="BK9" s="1531"/>
      <c r="BL9" s="1531"/>
      <c r="BM9" s="1531"/>
      <c r="BN9" s="1531"/>
      <c r="BO9" s="1531"/>
      <c r="BP9" s="1531"/>
      <c r="BQ9" s="1531"/>
      <c r="BR9" s="1531"/>
      <c r="BS9" s="1531"/>
      <c r="BT9" s="1532"/>
      <c r="BU9" s="1521" t="s">
        <v>76</v>
      </c>
      <c r="BV9" s="1522"/>
      <c r="BW9" s="1522"/>
      <c r="BX9" s="1522"/>
      <c r="BY9" s="1522"/>
      <c r="BZ9" s="1523"/>
      <c r="CA9" s="652"/>
    </row>
    <row r="10" spans="1:87" ht="10.5" customHeight="1">
      <c r="A10" s="1497"/>
      <c r="B10" s="1497"/>
      <c r="C10" s="1497"/>
      <c r="D10" s="1497"/>
      <c r="E10" s="1497"/>
      <c r="F10" s="1497"/>
      <c r="G10" s="1461"/>
      <c r="H10" s="1461"/>
      <c r="I10" s="1391">
        <v>0.25</v>
      </c>
      <c r="J10" s="1391"/>
      <c r="K10" s="1391"/>
      <c r="L10" s="1391"/>
      <c r="M10" s="1391">
        <v>0.29166666666666669</v>
      </c>
      <c r="N10" s="1391"/>
      <c r="O10" s="1391"/>
      <c r="P10" s="1391"/>
      <c r="Q10" s="1391">
        <v>0.33333333333333331</v>
      </c>
      <c r="R10" s="1391"/>
      <c r="S10" s="1391"/>
      <c r="T10" s="1391"/>
      <c r="U10" s="1391">
        <v>0.375</v>
      </c>
      <c r="V10" s="1391"/>
      <c r="W10" s="1391"/>
      <c r="X10" s="1391"/>
      <c r="Y10" s="1391">
        <v>0.41666666666666669</v>
      </c>
      <c r="Z10" s="1418"/>
      <c r="AA10" s="1391"/>
      <c r="AB10" s="1391"/>
      <c r="AC10" s="1391">
        <v>0.45833333333333331</v>
      </c>
      <c r="AD10" s="1391"/>
      <c r="AE10" s="1391"/>
      <c r="AF10" s="1391"/>
      <c r="AG10" s="1385">
        <v>0.5</v>
      </c>
      <c r="AH10" s="1385"/>
      <c r="AI10" s="1385"/>
      <c r="AJ10" s="1385"/>
      <c r="AK10" s="1385">
        <v>4.1666666666666664E-2</v>
      </c>
      <c r="AL10" s="1385"/>
      <c r="AM10" s="1385"/>
      <c r="AN10" s="1385"/>
      <c r="AO10" s="1385">
        <v>8.3333333333333329E-2</v>
      </c>
      <c r="AP10" s="1385"/>
      <c r="AQ10" s="1385"/>
      <c r="AR10" s="1385"/>
      <c r="AS10" s="1385">
        <v>0.125</v>
      </c>
      <c r="AT10" s="1385"/>
      <c r="AU10" s="1385"/>
      <c r="AV10" s="1385"/>
      <c r="AW10" s="1385">
        <v>0.16666666666666666</v>
      </c>
      <c r="AX10" s="1385"/>
      <c r="AY10" s="1385"/>
      <c r="AZ10" s="1385"/>
      <c r="BA10" s="1385">
        <v>0.20833333333333334</v>
      </c>
      <c r="BB10" s="1385"/>
      <c r="BC10" s="1385"/>
      <c r="BD10" s="1385"/>
      <c r="BE10" s="1385">
        <v>0.25</v>
      </c>
      <c r="BF10" s="1385"/>
      <c r="BG10" s="1385"/>
      <c r="BH10" s="1385"/>
      <c r="BI10" s="1385">
        <v>0.29166666666666669</v>
      </c>
      <c r="BJ10" s="1385"/>
      <c r="BK10" s="1385"/>
      <c r="BL10" s="1385"/>
      <c r="BM10" s="1385">
        <v>0.33333333333333331</v>
      </c>
      <c r="BN10" s="1385"/>
      <c r="BO10" s="1385"/>
      <c r="BP10" s="1385"/>
      <c r="BQ10" s="1385">
        <v>0.375</v>
      </c>
      <c r="BR10" s="1385"/>
      <c r="BS10" s="1385"/>
      <c r="BT10" s="1385"/>
      <c r="BU10" s="1385">
        <v>0.41666666666666669</v>
      </c>
      <c r="BV10" s="1414"/>
      <c r="BW10" s="1414"/>
      <c r="BX10" s="1414"/>
      <c r="BY10" s="1385"/>
      <c r="BZ10" s="1385"/>
      <c r="CA10" s="656"/>
      <c r="CB10" s="657"/>
      <c r="CC10" s="657"/>
      <c r="CD10" s="657"/>
      <c r="CE10" s="657"/>
      <c r="CF10" s="657"/>
      <c r="CG10" s="657"/>
      <c r="CH10" s="657"/>
      <c r="CI10" s="657"/>
    </row>
    <row r="11" spans="1:87" ht="20.25" customHeight="1">
      <c r="A11" s="1392" t="str">
        <f>AK4</f>
        <v/>
      </c>
      <c r="B11" s="1393"/>
      <c r="C11" s="1394"/>
      <c r="D11" s="1390" t="s">
        <v>78</v>
      </c>
      <c r="E11" s="1390"/>
      <c r="F11" s="1390"/>
      <c r="G11" s="1395" t="s">
        <v>3026</v>
      </c>
      <c r="H11" s="1396"/>
      <c r="I11" s="1396"/>
      <c r="J11" s="1396"/>
      <c r="K11" s="1396"/>
      <c r="L11" s="1396"/>
      <c r="M11" s="1396"/>
      <c r="N11" s="1396"/>
      <c r="O11" s="1396"/>
      <c r="P11" s="1396"/>
      <c r="Q11" s="1396"/>
      <c r="R11" s="1396"/>
      <c r="S11" s="1396"/>
      <c r="T11" s="1396"/>
      <c r="U11" s="1396"/>
      <c r="V11" s="1397"/>
      <c r="W11" s="658"/>
      <c r="X11" s="658"/>
      <c r="Y11" s="658"/>
      <c r="Z11" s="658"/>
      <c r="AA11" s="659"/>
      <c r="AB11" s="660"/>
      <c r="AC11" s="660"/>
      <c r="AD11" s="660"/>
      <c r="AE11" s="661"/>
      <c r="AF11" s="662"/>
      <c r="AG11" s="663"/>
      <c r="AH11" s="664"/>
      <c r="AI11" s="663"/>
      <c r="AJ11" s="663"/>
      <c r="AK11" s="663"/>
      <c r="AL11" s="664"/>
      <c r="AM11" s="663"/>
      <c r="AN11" s="663"/>
      <c r="AO11" s="663"/>
      <c r="AP11" s="663"/>
      <c r="AQ11" s="665"/>
      <c r="AR11" s="663"/>
      <c r="AS11" s="666"/>
      <c r="AT11" s="666"/>
      <c r="AU11" s="661"/>
      <c r="AV11" s="663"/>
      <c r="AW11" s="663"/>
      <c r="AX11" s="663"/>
      <c r="AY11" s="665"/>
      <c r="AZ11" s="663"/>
      <c r="BA11" s="663"/>
      <c r="BB11" s="663"/>
      <c r="BC11" s="665"/>
      <c r="BD11" s="663"/>
      <c r="BE11" s="663"/>
      <c r="BF11" s="663"/>
      <c r="BG11" s="1405" t="s">
        <v>3036</v>
      </c>
      <c r="BH11" s="1406"/>
      <c r="BI11" s="1406"/>
      <c r="BJ11" s="1407"/>
      <c r="BK11" s="1437" t="s">
        <v>3016</v>
      </c>
      <c r="BL11" s="1513"/>
      <c r="BM11" s="1513"/>
      <c r="BN11" s="1438"/>
      <c r="BO11" s="1405" t="s">
        <v>3014</v>
      </c>
      <c r="BP11" s="1406"/>
      <c r="BQ11" s="1406"/>
      <c r="BR11" s="1407"/>
      <c r="BS11" s="665"/>
      <c r="BT11" s="663"/>
      <c r="BU11" s="666"/>
      <c r="BV11" s="666"/>
      <c r="BW11" s="666"/>
      <c r="BX11" s="666"/>
      <c r="BY11" s="666"/>
      <c r="BZ11" s="667"/>
      <c r="CA11" s="668"/>
      <c r="CB11" s="657"/>
      <c r="CC11" s="657"/>
      <c r="CD11" s="657"/>
      <c r="CE11" s="657"/>
      <c r="CF11" s="657"/>
      <c r="CG11" s="657"/>
      <c r="CH11" s="657"/>
      <c r="CI11" s="657"/>
    </row>
    <row r="12" spans="1:87" ht="20.25" customHeight="1">
      <c r="A12" s="1386"/>
      <c r="B12" s="1387"/>
      <c r="C12" s="1388"/>
      <c r="D12" s="1390"/>
      <c r="E12" s="1390"/>
      <c r="F12" s="1390"/>
      <c r="G12" s="1398"/>
      <c r="H12" s="1399"/>
      <c r="I12" s="1399"/>
      <c r="J12" s="1399"/>
      <c r="K12" s="1399"/>
      <c r="L12" s="1399"/>
      <c r="M12" s="1399"/>
      <c r="N12" s="1399"/>
      <c r="O12" s="1399"/>
      <c r="P12" s="1399"/>
      <c r="Q12" s="1399"/>
      <c r="R12" s="1399"/>
      <c r="S12" s="1399"/>
      <c r="T12" s="1399"/>
      <c r="U12" s="1399"/>
      <c r="V12" s="1400"/>
      <c r="W12" s="669"/>
      <c r="X12" s="669"/>
      <c r="Y12" s="669"/>
      <c r="Z12" s="669"/>
      <c r="AA12" s="666"/>
      <c r="AB12" s="666"/>
      <c r="AC12" s="666"/>
      <c r="AD12" s="670"/>
      <c r="AE12" s="663"/>
      <c r="AF12" s="663"/>
      <c r="AG12" s="663"/>
      <c r="AH12" s="671"/>
      <c r="AI12" s="663"/>
      <c r="AJ12" s="663"/>
      <c r="AK12" s="663"/>
      <c r="AL12" s="671"/>
      <c r="AM12" s="663"/>
      <c r="AN12" s="663"/>
      <c r="AO12" s="663"/>
      <c r="AP12" s="671"/>
      <c r="AQ12" s="663"/>
      <c r="AR12" s="663"/>
      <c r="AS12" s="666"/>
      <c r="AT12" s="670"/>
      <c r="AU12" s="663"/>
      <c r="AV12" s="663"/>
      <c r="AW12" s="663"/>
      <c r="AX12" s="671"/>
      <c r="AY12" s="663"/>
      <c r="AZ12" s="663"/>
      <c r="BA12" s="663"/>
      <c r="BB12" s="671"/>
      <c r="BC12" s="663"/>
      <c r="BD12" s="663"/>
      <c r="BE12" s="663"/>
      <c r="BF12" s="663"/>
      <c r="BG12" s="1408"/>
      <c r="BH12" s="1409"/>
      <c r="BI12" s="1409"/>
      <c r="BJ12" s="1410"/>
      <c r="BK12" s="1439"/>
      <c r="BL12" s="1514"/>
      <c r="BM12" s="1514"/>
      <c r="BN12" s="1440"/>
      <c r="BO12" s="1408"/>
      <c r="BP12" s="1409"/>
      <c r="BQ12" s="1409"/>
      <c r="BR12" s="1410"/>
      <c r="BS12" s="663"/>
      <c r="BT12" s="663"/>
      <c r="BU12" s="666"/>
      <c r="BV12" s="670"/>
      <c r="BW12" s="666"/>
      <c r="BX12" s="666"/>
      <c r="BY12" s="666"/>
      <c r="BZ12" s="667"/>
      <c r="CA12" s="672"/>
      <c r="CB12" s="657"/>
      <c r="CC12" s="657"/>
      <c r="CD12" s="657"/>
      <c r="CE12" s="657"/>
      <c r="CF12" s="657"/>
      <c r="CG12" s="657"/>
      <c r="CH12" s="657"/>
      <c r="CI12" s="657"/>
    </row>
    <row r="13" spans="1:87" ht="20.25" customHeight="1">
      <c r="A13" s="1386" t="s">
        <v>3132</v>
      </c>
      <c r="B13" s="1387"/>
      <c r="C13" s="1388"/>
      <c r="D13" s="1390"/>
      <c r="E13" s="1390"/>
      <c r="F13" s="1390"/>
      <c r="G13" s="1398"/>
      <c r="H13" s="1399"/>
      <c r="I13" s="1399"/>
      <c r="J13" s="1399"/>
      <c r="K13" s="1399"/>
      <c r="L13" s="1399"/>
      <c r="M13" s="1399"/>
      <c r="N13" s="1399"/>
      <c r="O13" s="1399"/>
      <c r="P13" s="1399"/>
      <c r="Q13" s="1399"/>
      <c r="R13" s="1399"/>
      <c r="S13" s="1399"/>
      <c r="T13" s="1399"/>
      <c r="U13" s="1399"/>
      <c r="V13" s="1400"/>
      <c r="W13" s="669"/>
      <c r="X13" s="669"/>
      <c r="Y13" s="669"/>
      <c r="Z13" s="669"/>
      <c r="AA13" s="666"/>
      <c r="AB13" s="666"/>
      <c r="AC13" s="666"/>
      <c r="AD13" s="670"/>
      <c r="AE13" s="663"/>
      <c r="AF13" s="663"/>
      <c r="AG13" s="663"/>
      <c r="AH13" s="671"/>
      <c r="AI13" s="663"/>
      <c r="AJ13" s="663"/>
      <c r="AK13" s="663"/>
      <c r="AL13" s="671"/>
      <c r="AM13" s="663"/>
      <c r="AN13" s="663"/>
      <c r="AO13" s="663"/>
      <c r="AP13" s="671"/>
      <c r="AQ13" s="663"/>
      <c r="AR13" s="663"/>
      <c r="AS13" s="666"/>
      <c r="AT13" s="670"/>
      <c r="AU13" s="663"/>
      <c r="AV13" s="663"/>
      <c r="AW13" s="663"/>
      <c r="AX13" s="671"/>
      <c r="AY13" s="663"/>
      <c r="AZ13" s="663"/>
      <c r="BA13" s="663"/>
      <c r="BB13" s="671"/>
      <c r="BC13" s="663"/>
      <c r="BD13" s="663"/>
      <c r="BE13" s="663"/>
      <c r="BF13" s="663"/>
      <c r="BG13" s="1408"/>
      <c r="BH13" s="1409"/>
      <c r="BI13" s="1409"/>
      <c r="BJ13" s="1410"/>
      <c r="BK13" s="1439"/>
      <c r="BL13" s="1514"/>
      <c r="BM13" s="1514"/>
      <c r="BN13" s="1440"/>
      <c r="BO13" s="1408"/>
      <c r="BP13" s="1409"/>
      <c r="BQ13" s="1409"/>
      <c r="BR13" s="1410"/>
      <c r="BS13" s="663"/>
      <c r="BT13" s="663"/>
      <c r="BU13" s="666"/>
      <c r="BV13" s="670"/>
      <c r="BW13" s="666"/>
      <c r="BX13" s="666"/>
      <c r="BY13" s="666"/>
      <c r="BZ13" s="667"/>
      <c r="CA13" s="668"/>
      <c r="CB13" s="657"/>
      <c r="CC13" s="657"/>
      <c r="CD13" s="657"/>
      <c r="CE13" s="657"/>
      <c r="CF13" s="657"/>
      <c r="CG13" s="657"/>
      <c r="CH13" s="657"/>
      <c r="CI13" s="657"/>
    </row>
    <row r="14" spans="1:87" ht="20.25" customHeight="1">
      <c r="A14" s="1386"/>
      <c r="B14" s="1387"/>
      <c r="C14" s="1388"/>
      <c r="D14" s="1390"/>
      <c r="E14" s="1390"/>
      <c r="F14" s="1390"/>
      <c r="G14" s="1398"/>
      <c r="H14" s="1399"/>
      <c r="I14" s="1399"/>
      <c r="J14" s="1399"/>
      <c r="K14" s="1399"/>
      <c r="L14" s="1399"/>
      <c r="M14" s="1399"/>
      <c r="N14" s="1399"/>
      <c r="O14" s="1399"/>
      <c r="P14" s="1399"/>
      <c r="Q14" s="1399"/>
      <c r="R14" s="1399"/>
      <c r="S14" s="1399"/>
      <c r="T14" s="1399"/>
      <c r="U14" s="1399"/>
      <c r="V14" s="1400"/>
      <c r="W14" s="673"/>
      <c r="X14" s="673"/>
      <c r="Y14" s="673"/>
      <c r="Z14" s="673"/>
      <c r="AA14" s="674"/>
      <c r="AB14" s="674"/>
      <c r="AC14" s="674"/>
      <c r="AD14" s="675"/>
      <c r="AE14" s="676"/>
      <c r="AF14" s="676"/>
      <c r="AG14" s="676"/>
      <c r="AH14" s="677"/>
      <c r="AI14" s="676"/>
      <c r="AJ14" s="676"/>
      <c r="AK14" s="676"/>
      <c r="AL14" s="677"/>
      <c r="AM14" s="676"/>
      <c r="AN14" s="676"/>
      <c r="AO14" s="676"/>
      <c r="AP14" s="677"/>
      <c r="AQ14" s="676"/>
      <c r="AR14" s="676"/>
      <c r="AS14" s="674"/>
      <c r="AT14" s="675"/>
      <c r="AU14" s="676"/>
      <c r="AV14" s="676"/>
      <c r="AW14" s="676"/>
      <c r="AX14" s="677"/>
      <c r="AY14" s="676"/>
      <c r="AZ14" s="676"/>
      <c r="BA14" s="676"/>
      <c r="BB14" s="677"/>
      <c r="BC14" s="676"/>
      <c r="BD14" s="676"/>
      <c r="BE14" s="676"/>
      <c r="BF14" s="676"/>
      <c r="BG14" s="1408"/>
      <c r="BH14" s="1409"/>
      <c r="BI14" s="1409"/>
      <c r="BJ14" s="1410"/>
      <c r="BK14" s="1439"/>
      <c r="BL14" s="1514"/>
      <c r="BM14" s="1514"/>
      <c r="BN14" s="1440"/>
      <c r="BO14" s="1408"/>
      <c r="BP14" s="1409"/>
      <c r="BQ14" s="1409"/>
      <c r="BR14" s="1410"/>
      <c r="BS14" s="676"/>
      <c r="BT14" s="676"/>
      <c r="BU14" s="674"/>
      <c r="BV14" s="675"/>
      <c r="BW14" s="674"/>
      <c r="BX14" s="674"/>
      <c r="BY14" s="674"/>
      <c r="BZ14" s="678"/>
      <c r="CA14" s="679"/>
      <c r="CB14" s="657"/>
      <c r="CC14" s="657"/>
      <c r="CD14" s="657"/>
      <c r="CE14" s="657"/>
      <c r="CF14" s="657"/>
      <c r="CG14" s="657"/>
      <c r="CH14" s="657"/>
      <c r="CI14" s="657"/>
    </row>
    <row r="15" spans="1:87" ht="20.25" customHeight="1">
      <c r="A15" s="1386" t="str">
        <f>AO4</f>
        <v/>
      </c>
      <c r="B15" s="1387"/>
      <c r="C15" s="1388"/>
      <c r="D15" s="1390" t="s">
        <v>77</v>
      </c>
      <c r="E15" s="1390"/>
      <c r="F15" s="1390"/>
      <c r="G15" s="1398"/>
      <c r="H15" s="1399"/>
      <c r="I15" s="1399"/>
      <c r="J15" s="1399"/>
      <c r="K15" s="1399"/>
      <c r="L15" s="1399"/>
      <c r="M15" s="1399"/>
      <c r="N15" s="1399"/>
      <c r="O15" s="1399"/>
      <c r="P15" s="1399"/>
      <c r="Q15" s="1399"/>
      <c r="R15" s="1399"/>
      <c r="S15" s="1399"/>
      <c r="T15" s="1399"/>
      <c r="U15" s="1399"/>
      <c r="V15" s="1400"/>
      <c r="W15" s="669"/>
      <c r="X15" s="669"/>
      <c r="Y15" s="669"/>
      <c r="Z15" s="669"/>
      <c r="AA15" s="680"/>
      <c r="AB15" s="680"/>
      <c r="AC15" s="680"/>
      <c r="AD15" s="681"/>
      <c r="AE15" s="682"/>
      <c r="AF15" s="662"/>
      <c r="AG15" s="662"/>
      <c r="AH15" s="683"/>
      <c r="AI15" s="662"/>
      <c r="AJ15" s="662"/>
      <c r="AK15" s="662"/>
      <c r="AL15" s="683"/>
      <c r="AM15" s="662"/>
      <c r="AN15" s="662"/>
      <c r="AO15" s="662"/>
      <c r="AP15" s="683"/>
      <c r="AQ15" s="662"/>
      <c r="AR15" s="662"/>
      <c r="AS15" s="680"/>
      <c r="AT15" s="681"/>
      <c r="AU15" s="680"/>
      <c r="AV15" s="680"/>
      <c r="AW15" s="680"/>
      <c r="AX15" s="681"/>
      <c r="AY15" s="680"/>
      <c r="AZ15" s="680"/>
      <c r="BA15" s="680"/>
      <c r="BB15" s="681"/>
      <c r="BC15" s="662"/>
      <c r="BD15" s="662"/>
      <c r="BE15" s="680"/>
      <c r="BF15" s="680"/>
      <c r="BG15" s="1408"/>
      <c r="BH15" s="1409"/>
      <c r="BI15" s="1409"/>
      <c r="BJ15" s="1410"/>
      <c r="BK15" s="1439"/>
      <c r="BL15" s="1514"/>
      <c r="BM15" s="1514"/>
      <c r="BN15" s="1440"/>
      <c r="BO15" s="1408"/>
      <c r="BP15" s="1409"/>
      <c r="BQ15" s="1409"/>
      <c r="BR15" s="1410"/>
      <c r="BS15" s="662"/>
      <c r="BT15" s="662"/>
      <c r="BU15" s="680"/>
      <c r="BV15" s="681"/>
      <c r="BW15" s="680"/>
      <c r="BX15" s="680"/>
      <c r="BY15" s="680"/>
      <c r="BZ15" s="684"/>
      <c r="CA15" s="668"/>
      <c r="CB15" s="657"/>
      <c r="CC15" s="657"/>
      <c r="CD15" s="657"/>
      <c r="CE15" s="657"/>
      <c r="CF15" s="657"/>
      <c r="CG15" s="657"/>
      <c r="CH15" s="657"/>
      <c r="CI15" s="657"/>
    </row>
    <row r="16" spans="1:87" ht="20.25" customHeight="1">
      <c r="A16" s="1386"/>
      <c r="B16" s="1387"/>
      <c r="C16" s="1388"/>
      <c r="D16" s="1390"/>
      <c r="E16" s="1390"/>
      <c r="F16" s="1390"/>
      <c r="G16" s="1398"/>
      <c r="H16" s="1399"/>
      <c r="I16" s="1399"/>
      <c r="J16" s="1399"/>
      <c r="K16" s="1399"/>
      <c r="L16" s="1399"/>
      <c r="M16" s="1399"/>
      <c r="N16" s="1399"/>
      <c r="O16" s="1399"/>
      <c r="P16" s="1399"/>
      <c r="Q16" s="1399"/>
      <c r="R16" s="1399"/>
      <c r="S16" s="1399"/>
      <c r="T16" s="1399"/>
      <c r="U16" s="1399"/>
      <c r="V16" s="1400"/>
      <c r="W16" s="669"/>
      <c r="X16" s="669"/>
      <c r="Y16" s="669"/>
      <c r="Z16" s="669"/>
      <c r="AA16" s="685"/>
      <c r="AB16" s="685"/>
      <c r="AC16" s="685"/>
      <c r="AD16" s="686"/>
      <c r="AE16" s="663"/>
      <c r="AF16" s="663"/>
      <c r="AG16" s="663"/>
      <c r="AH16" s="671"/>
      <c r="AI16" s="663"/>
      <c r="AJ16" s="663"/>
      <c r="AK16" s="663"/>
      <c r="AL16" s="671"/>
      <c r="AM16" s="663"/>
      <c r="AN16" s="663"/>
      <c r="AO16" s="663"/>
      <c r="AP16" s="671"/>
      <c r="AQ16" s="663"/>
      <c r="AR16" s="663"/>
      <c r="AS16" s="685"/>
      <c r="AT16" s="686"/>
      <c r="AU16" s="685"/>
      <c r="AV16" s="685"/>
      <c r="AW16" s="685"/>
      <c r="AX16" s="686"/>
      <c r="AY16" s="685"/>
      <c r="AZ16" s="685"/>
      <c r="BA16" s="685"/>
      <c r="BB16" s="686"/>
      <c r="BC16" s="663"/>
      <c r="BD16" s="663"/>
      <c r="BE16" s="685"/>
      <c r="BF16" s="685"/>
      <c r="BG16" s="1408"/>
      <c r="BH16" s="1409"/>
      <c r="BI16" s="1409"/>
      <c r="BJ16" s="1410"/>
      <c r="BK16" s="1439"/>
      <c r="BL16" s="1514"/>
      <c r="BM16" s="1514"/>
      <c r="BN16" s="1440"/>
      <c r="BO16" s="1408"/>
      <c r="BP16" s="1409"/>
      <c r="BQ16" s="1409"/>
      <c r="BR16" s="1410"/>
      <c r="BS16" s="663"/>
      <c r="BT16" s="663"/>
      <c r="BU16" s="685"/>
      <c r="BV16" s="686"/>
      <c r="BW16" s="666"/>
      <c r="BX16" s="666"/>
      <c r="BY16" s="666"/>
      <c r="BZ16" s="667"/>
      <c r="CA16" s="668"/>
      <c r="CB16" s="657"/>
      <c r="CC16" s="657"/>
      <c r="CD16" s="657"/>
      <c r="CE16" s="657"/>
      <c r="CF16" s="657"/>
      <c r="CG16" s="657"/>
      <c r="CH16" s="657"/>
      <c r="CI16" s="657"/>
    </row>
    <row r="17" spans="1:87" ht="20.25" customHeight="1">
      <c r="A17" s="1386" t="s">
        <v>492</v>
      </c>
      <c r="B17" s="1387"/>
      <c r="C17" s="1388"/>
      <c r="D17" s="1390"/>
      <c r="E17" s="1390"/>
      <c r="F17" s="1390"/>
      <c r="G17" s="1398"/>
      <c r="H17" s="1399"/>
      <c r="I17" s="1399"/>
      <c r="J17" s="1399"/>
      <c r="K17" s="1399"/>
      <c r="L17" s="1399"/>
      <c r="M17" s="1399"/>
      <c r="N17" s="1399"/>
      <c r="O17" s="1399"/>
      <c r="P17" s="1399"/>
      <c r="Q17" s="1399"/>
      <c r="R17" s="1399"/>
      <c r="S17" s="1399"/>
      <c r="T17" s="1399"/>
      <c r="U17" s="1399"/>
      <c r="V17" s="1400"/>
      <c r="W17" s="669"/>
      <c r="X17" s="669"/>
      <c r="Y17" s="669"/>
      <c r="Z17" s="669"/>
      <c r="AA17" s="685"/>
      <c r="AB17" s="685"/>
      <c r="AC17" s="685"/>
      <c r="AD17" s="686"/>
      <c r="AE17" s="663"/>
      <c r="AF17" s="663"/>
      <c r="AG17" s="663"/>
      <c r="AH17" s="671"/>
      <c r="AI17" s="663"/>
      <c r="AJ17" s="663"/>
      <c r="AK17" s="663"/>
      <c r="AL17" s="671"/>
      <c r="AM17" s="663"/>
      <c r="AN17" s="663"/>
      <c r="AO17" s="663"/>
      <c r="AP17" s="671"/>
      <c r="AQ17" s="663"/>
      <c r="AR17" s="663"/>
      <c r="AS17" s="685"/>
      <c r="AT17" s="686"/>
      <c r="AU17" s="685"/>
      <c r="AV17" s="685"/>
      <c r="AW17" s="685"/>
      <c r="AX17" s="686"/>
      <c r="AY17" s="685"/>
      <c r="AZ17" s="685"/>
      <c r="BA17" s="685"/>
      <c r="BB17" s="686"/>
      <c r="BC17" s="663"/>
      <c r="BD17" s="663"/>
      <c r="BE17" s="685"/>
      <c r="BF17" s="685"/>
      <c r="BG17" s="1408"/>
      <c r="BH17" s="1409"/>
      <c r="BI17" s="1409"/>
      <c r="BJ17" s="1410"/>
      <c r="BK17" s="1439"/>
      <c r="BL17" s="1514"/>
      <c r="BM17" s="1514"/>
      <c r="BN17" s="1440"/>
      <c r="BO17" s="1408"/>
      <c r="BP17" s="1409"/>
      <c r="BQ17" s="1409"/>
      <c r="BR17" s="1410"/>
      <c r="BS17" s="663"/>
      <c r="BT17" s="663"/>
      <c r="BU17" s="685"/>
      <c r="BV17" s="686"/>
      <c r="BW17" s="666"/>
      <c r="BX17" s="666"/>
      <c r="BY17" s="666"/>
      <c r="BZ17" s="667"/>
      <c r="CA17" s="668"/>
      <c r="CB17" s="657"/>
      <c r="CC17" s="657"/>
      <c r="CD17" s="657"/>
      <c r="CE17" s="657"/>
      <c r="CF17" s="657"/>
      <c r="CG17" s="657"/>
      <c r="CH17" s="657"/>
      <c r="CI17" s="657"/>
    </row>
    <row r="18" spans="1:87" ht="20.25" customHeight="1">
      <c r="A18" s="1419"/>
      <c r="B18" s="1420"/>
      <c r="C18" s="1421"/>
      <c r="D18" s="1390"/>
      <c r="E18" s="1390"/>
      <c r="F18" s="1390"/>
      <c r="G18" s="1401"/>
      <c r="H18" s="1402"/>
      <c r="I18" s="1402"/>
      <c r="J18" s="1402"/>
      <c r="K18" s="1402"/>
      <c r="L18" s="1402"/>
      <c r="M18" s="1402"/>
      <c r="N18" s="1402"/>
      <c r="O18" s="1402"/>
      <c r="P18" s="1402"/>
      <c r="Q18" s="1402"/>
      <c r="R18" s="1402"/>
      <c r="S18" s="1402"/>
      <c r="T18" s="1402"/>
      <c r="U18" s="1402"/>
      <c r="V18" s="1403"/>
      <c r="W18" s="673"/>
      <c r="X18" s="673"/>
      <c r="Y18" s="673"/>
      <c r="Z18" s="673"/>
      <c r="AA18" s="689"/>
      <c r="AB18" s="689"/>
      <c r="AC18" s="689"/>
      <c r="AD18" s="690"/>
      <c r="AE18" s="676"/>
      <c r="AF18" s="676"/>
      <c r="AG18" s="676"/>
      <c r="AH18" s="677"/>
      <c r="AI18" s="676"/>
      <c r="AJ18" s="676"/>
      <c r="AK18" s="676"/>
      <c r="AL18" s="677"/>
      <c r="AM18" s="676"/>
      <c r="AN18" s="676"/>
      <c r="AO18" s="676"/>
      <c r="AP18" s="677"/>
      <c r="AQ18" s="676"/>
      <c r="AR18" s="676"/>
      <c r="AS18" s="689"/>
      <c r="AT18" s="690"/>
      <c r="AU18" s="689"/>
      <c r="AV18" s="689"/>
      <c r="AW18" s="689"/>
      <c r="AX18" s="690"/>
      <c r="AY18" s="689"/>
      <c r="AZ18" s="689"/>
      <c r="BA18" s="689"/>
      <c r="BB18" s="690"/>
      <c r="BC18" s="676"/>
      <c r="BD18" s="676"/>
      <c r="BE18" s="689"/>
      <c r="BF18" s="689"/>
      <c r="BG18" s="1411"/>
      <c r="BH18" s="1412"/>
      <c r="BI18" s="1412"/>
      <c r="BJ18" s="1413"/>
      <c r="BK18" s="1441"/>
      <c r="BL18" s="1515"/>
      <c r="BM18" s="1515"/>
      <c r="BN18" s="1442"/>
      <c r="BO18" s="1411"/>
      <c r="BP18" s="1412"/>
      <c r="BQ18" s="1412"/>
      <c r="BR18" s="1413"/>
      <c r="BS18" s="676"/>
      <c r="BT18" s="676"/>
      <c r="BU18" s="689"/>
      <c r="BV18" s="690"/>
      <c r="BW18" s="689"/>
      <c r="BX18" s="689"/>
      <c r="BY18" s="689"/>
      <c r="BZ18" s="678"/>
      <c r="CA18" s="679"/>
      <c r="CB18" s="657"/>
      <c r="CC18" s="657"/>
      <c r="CD18" s="657"/>
      <c r="CE18" s="657"/>
      <c r="CF18" s="657"/>
      <c r="CG18" s="657"/>
      <c r="CH18" s="657"/>
      <c r="CI18" s="657"/>
    </row>
    <row r="19" spans="1:87" ht="20.25" customHeight="1">
      <c r="A19" s="1386" t="str">
        <f>BA4</f>
        <v/>
      </c>
      <c r="B19" s="1387"/>
      <c r="C19" s="1388"/>
      <c r="D19" s="1389" t="s">
        <v>78</v>
      </c>
      <c r="E19" s="1389"/>
      <c r="F19" s="1389"/>
      <c r="G19" s="691"/>
      <c r="H19" s="692"/>
      <c r="I19" s="692"/>
      <c r="J19" s="687"/>
      <c r="K19" s="693"/>
      <c r="L19" s="666"/>
      <c r="M19" s="666"/>
      <c r="N19" s="666"/>
      <c r="O19" s="1405" t="s">
        <v>3015</v>
      </c>
      <c r="P19" s="1406"/>
      <c r="Q19" s="1407"/>
      <c r="R19" s="671"/>
      <c r="S19" s="663"/>
      <c r="T19" s="663"/>
      <c r="U19" s="685"/>
      <c r="V19" s="671"/>
      <c r="W19" s="663"/>
      <c r="X19" s="685"/>
      <c r="Y19" s="666"/>
      <c r="Z19" s="670"/>
      <c r="AA19" s="694"/>
      <c r="AB19" s="663"/>
      <c r="AC19" s="663"/>
      <c r="AD19" s="671"/>
      <c r="AE19" s="663"/>
      <c r="AF19" s="663"/>
      <c r="AG19" s="663"/>
      <c r="AH19" s="671"/>
      <c r="AI19" s="666"/>
      <c r="AJ19" s="666"/>
      <c r="AK19" s="685"/>
      <c r="AL19" s="686"/>
      <c r="AM19" s="685"/>
      <c r="AN19" s="685"/>
      <c r="AO19" s="685"/>
      <c r="AP19" s="686"/>
      <c r="AQ19" s="685"/>
      <c r="AR19" s="685"/>
      <c r="AS19" s="685"/>
      <c r="AT19" s="686"/>
      <c r="AU19" s="685"/>
      <c r="AV19" s="685"/>
      <c r="AW19" s="685"/>
      <c r="AX19" s="686"/>
      <c r="AY19" s="685"/>
      <c r="AZ19" s="685"/>
      <c r="BA19" s="685"/>
      <c r="BB19" s="686"/>
      <c r="BC19" s="685"/>
      <c r="BD19" s="685"/>
      <c r="BE19" s="685"/>
      <c r="BF19" s="686"/>
      <c r="BG19" s="685" t="s">
        <v>3048</v>
      </c>
      <c r="BH19" s="685"/>
      <c r="BI19" s="685"/>
      <c r="BJ19" s="686"/>
      <c r="BK19" s="685"/>
      <c r="BL19" s="685"/>
      <c r="BM19" s="685"/>
      <c r="BN19" s="686"/>
      <c r="BO19" s="685"/>
      <c r="BP19" s="685"/>
      <c r="BQ19" s="685"/>
      <c r="BR19" s="686"/>
      <c r="BS19" s="685"/>
      <c r="BT19" s="685"/>
      <c r="BU19" s="685"/>
      <c r="BV19" s="686"/>
      <c r="BW19" s="685"/>
      <c r="BX19" s="685"/>
      <c r="BY19" s="685"/>
      <c r="BZ19" s="667"/>
      <c r="CA19" s="668"/>
      <c r="CB19" s="657"/>
      <c r="CC19" s="657"/>
      <c r="CD19" s="657"/>
      <c r="CE19" s="657"/>
      <c r="CF19" s="657"/>
      <c r="CG19" s="657"/>
      <c r="CH19" s="657"/>
      <c r="CI19" s="657"/>
    </row>
    <row r="20" spans="1:87" ht="20.25" customHeight="1">
      <c r="A20" s="1386"/>
      <c r="B20" s="1387"/>
      <c r="C20" s="1388"/>
      <c r="D20" s="1390"/>
      <c r="E20" s="1390"/>
      <c r="F20" s="1390"/>
      <c r="G20" s="691"/>
      <c r="H20" s="692"/>
      <c r="I20" s="692"/>
      <c r="J20" s="687"/>
      <c r="K20" s="666"/>
      <c r="L20" s="666"/>
      <c r="M20" s="666"/>
      <c r="N20" s="666"/>
      <c r="O20" s="1408"/>
      <c r="P20" s="1409"/>
      <c r="Q20" s="1410"/>
      <c r="R20" s="671"/>
      <c r="S20" s="663"/>
      <c r="T20" s="663"/>
      <c r="U20" s="666"/>
      <c r="V20" s="670"/>
      <c r="W20" s="666"/>
      <c r="X20" s="666"/>
      <c r="Y20" s="666"/>
      <c r="Z20" s="670"/>
      <c r="AA20" s="663"/>
      <c r="AB20" s="663"/>
      <c r="AC20" s="663"/>
      <c r="AD20" s="671"/>
      <c r="AE20" s="663"/>
      <c r="AF20" s="663"/>
      <c r="AG20" s="663"/>
      <c r="AH20" s="671"/>
      <c r="AI20" s="666"/>
      <c r="AJ20" s="666"/>
      <c r="AK20" s="685"/>
      <c r="AL20" s="686"/>
      <c r="AM20" s="685"/>
      <c r="AN20" s="685"/>
      <c r="AO20" s="685"/>
      <c r="AP20" s="686"/>
      <c r="AQ20" s="685"/>
      <c r="AR20" s="685"/>
      <c r="AS20" s="685"/>
      <c r="AT20" s="686"/>
      <c r="AU20" s="685"/>
      <c r="AV20" s="685"/>
      <c r="AW20" s="685"/>
      <c r="AX20" s="686"/>
      <c r="AY20" s="685"/>
      <c r="AZ20" s="685"/>
      <c r="BA20" s="685"/>
      <c r="BB20" s="686"/>
      <c r="BC20" s="685"/>
      <c r="BD20" s="685"/>
      <c r="BE20" s="685"/>
      <c r="BF20" s="686"/>
      <c r="BG20" s="685"/>
      <c r="BH20" s="685"/>
      <c r="BI20" s="685"/>
      <c r="BJ20" s="686"/>
      <c r="BK20" s="685"/>
      <c r="BL20" s="685"/>
      <c r="BM20" s="685"/>
      <c r="BN20" s="686"/>
      <c r="BO20" s="685"/>
      <c r="BP20" s="685"/>
      <c r="BQ20" s="685"/>
      <c r="BR20" s="686"/>
      <c r="BS20" s="685"/>
      <c r="BT20" s="685"/>
      <c r="BU20" s="685"/>
      <c r="BV20" s="686"/>
      <c r="BW20" s="666"/>
      <c r="BX20" s="666"/>
      <c r="BY20" s="666"/>
      <c r="BZ20" s="667"/>
      <c r="CA20" s="668"/>
      <c r="CB20" s="657"/>
      <c r="CC20" s="657"/>
      <c r="CD20" s="657"/>
      <c r="CE20" s="657"/>
      <c r="CF20" s="657"/>
      <c r="CG20" s="657"/>
      <c r="CH20" s="657"/>
      <c r="CI20" s="657"/>
    </row>
    <row r="21" spans="1:87" ht="20.25" customHeight="1">
      <c r="A21" s="1386" t="s">
        <v>3132</v>
      </c>
      <c r="B21" s="1387"/>
      <c r="C21" s="1388"/>
      <c r="D21" s="1390"/>
      <c r="E21" s="1390"/>
      <c r="F21" s="1390"/>
      <c r="G21" s="691"/>
      <c r="H21" s="692"/>
      <c r="I21" s="692"/>
      <c r="J21" s="687"/>
      <c r="K21" s="666"/>
      <c r="L21" s="666"/>
      <c r="M21" s="666"/>
      <c r="N21" s="666"/>
      <c r="O21" s="1408"/>
      <c r="P21" s="1409"/>
      <c r="Q21" s="1410"/>
      <c r="R21" s="671"/>
      <c r="S21" s="663"/>
      <c r="T21" s="663"/>
      <c r="U21" s="666"/>
      <c r="V21" s="670"/>
      <c r="W21" s="666"/>
      <c r="X21" s="666"/>
      <c r="Y21" s="666"/>
      <c r="Z21" s="670"/>
      <c r="AA21" s="663"/>
      <c r="AB21" s="663"/>
      <c r="AC21" s="663"/>
      <c r="AD21" s="671"/>
      <c r="AE21" s="663"/>
      <c r="AF21" s="663"/>
      <c r="AG21" s="663"/>
      <c r="AH21" s="671"/>
      <c r="AI21" s="666"/>
      <c r="AJ21" s="666"/>
      <c r="AK21" s="685"/>
      <c r="AL21" s="686"/>
      <c r="AM21" s="685"/>
      <c r="AN21" s="685"/>
      <c r="AO21" s="685"/>
      <c r="AP21" s="686"/>
      <c r="AQ21" s="685"/>
      <c r="AR21" s="685"/>
      <c r="AS21" s="685"/>
      <c r="AT21" s="686"/>
      <c r="AU21" s="685"/>
      <c r="AV21" s="685"/>
      <c r="AW21" s="685"/>
      <c r="AX21" s="686"/>
      <c r="AY21" s="685"/>
      <c r="AZ21" s="685"/>
      <c r="BA21" s="685"/>
      <c r="BB21" s="686"/>
      <c r="BC21" s="685"/>
      <c r="BD21" s="685"/>
      <c r="BE21" s="685"/>
      <c r="BF21" s="686"/>
      <c r="BG21" s="685"/>
      <c r="BH21" s="685"/>
      <c r="BI21" s="685"/>
      <c r="BJ21" s="686"/>
      <c r="BK21" s="685"/>
      <c r="BL21" s="685"/>
      <c r="BM21" s="685"/>
      <c r="BN21" s="686"/>
      <c r="BO21" s="685"/>
      <c r="BP21" s="685"/>
      <c r="BQ21" s="685"/>
      <c r="BR21" s="686"/>
      <c r="BS21" s="685"/>
      <c r="BT21" s="685"/>
      <c r="BU21" s="685"/>
      <c r="BV21" s="686"/>
      <c r="BW21" s="666"/>
      <c r="BX21" s="666"/>
      <c r="BY21" s="666"/>
      <c r="BZ21" s="667"/>
      <c r="CA21" s="668"/>
      <c r="CB21" s="657"/>
      <c r="CC21" s="657"/>
      <c r="CD21" s="657"/>
      <c r="CE21" s="657"/>
      <c r="CF21" s="657"/>
      <c r="CG21" s="657"/>
      <c r="CH21" s="657"/>
      <c r="CI21" s="657"/>
    </row>
    <row r="22" spans="1:87" ht="20.25" customHeight="1">
      <c r="A22" s="1386"/>
      <c r="B22" s="1387"/>
      <c r="C22" s="1388"/>
      <c r="D22" s="1390"/>
      <c r="E22" s="1390"/>
      <c r="F22" s="1390"/>
      <c r="G22" s="695"/>
      <c r="H22" s="696"/>
      <c r="I22" s="696"/>
      <c r="J22" s="690"/>
      <c r="K22" s="674"/>
      <c r="L22" s="674"/>
      <c r="M22" s="674"/>
      <c r="N22" s="674"/>
      <c r="O22" s="1408"/>
      <c r="P22" s="1409"/>
      <c r="Q22" s="1410"/>
      <c r="R22" s="677"/>
      <c r="S22" s="676"/>
      <c r="T22" s="676"/>
      <c r="U22" s="674"/>
      <c r="V22" s="675"/>
      <c r="W22" s="674"/>
      <c r="X22" s="674"/>
      <c r="Y22" s="674"/>
      <c r="Z22" s="675"/>
      <c r="AA22" s="676"/>
      <c r="AB22" s="676"/>
      <c r="AC22" s="676"/>
      <c r="AD22" s="677"/>
      <c r="AE22" s="676"/>
      <c r="AF22" s="676"/>
      <c r="AG22" s="676"/>
      <c r="AH22" s="677"/>
      <c r="AI22" s="674"/>
      <c r="AJ22" s="674"/>
      <c r="AK22" s="689"/>
      <c r="AL22" s="690"/>
      <c r="AM22" s="689"/>
      <c r="AN22" s="689"/>
      <c r="AO22" s="689"/>
      <c r="AP22" s="690"/>
      <c r="AQ22" s="689"/>
      <c r="AR22" s="689"/>
      <c r="AS22" s="689"/>
      <c r="AT22" s="690"/>
      <c r="AU22" s="689"/>
      <c r="AV22" s="689"/>
      <c r="AW22" s="689"/>
      <c r="AX22" s="690"/>
      <c r="AY22" s="689"/>
      <c r="AZ22" s="689"/>
      <c r="BA22" s="689"/>
      <c r="BB22" s="690"/>
      <c r="BC22" s="689"/>
      <c r="BD22" s="689"/>
      <c r="BE22" s="689"/>
      <c r="BF22" s="690"/>
      <c r="BG22" s="689"/>
      <c r="BH22" s="689"/>
      <c r="BI22" s="689"/>
      <c r="BJ22" s="690"/>
      <c r="BK22" s="689"/>
      <c r="BL22" s="689"/>
      <c r="BM22" s="689"/>
      <c r="BN22" s="690"/>
      <c r="BO22" s="689"/>
      <c r="BP22" s="689"/>
      <c r="BQ22" s="689"/>
      <c r="BR22" s="690"/>
      <c r="BS22" s="689"/>
      <c r="BT22" s="689"/>
      <c r="BU22" s="689"/>
      <c r="BV22" s="690"/>
      <c r="BW22" s="689"/>
      <c r="BX22" s="689"/>
      <c r="BY22" s="689"/>
      <c r="BZ22" s="697"/>
      <c r="CA22" s="679"/>
      <c r="CB22" s="657"/>
      <c r="CC22" s="657"/>
      <c r="CD22" s="657"/>
      <c r="CE22" s="657"/>
      <c r="CF22" s="657"/>
      <c r="CG22" s="657"/>
      <c r="CH22" s="657"/>
      <c r="CI22" s="657"/>
    </row>
    <row r="23" spans="1:87" ht="20.25" customHeight="1">
      <c r="A23" s="1386" t="str">
        <f>BE4</f>
        <v/>
      </c>
      <c r="B23" s="1387"/>
      <c r="C23" s="1388"/>
      <c r="D23" s="1390" t="s">
        <v>77</v>
      </c>
      <c r="E23" s="1390"/>
      <c r="F23" s="1390"/>
      <c r="G23" s="698"/>
      <c r="H23" s="699"/>
      <c r="I23" s="699"/>
      <c r="J23" s="700"/>
      <c r="K23" s="701"/>
      <c r="L23" s="701"/>
      <c r="M23" s="680"/>
      <c r="N23" s="680"/>
      <c r="O23" s="1408"/>
      <c r="P23" s="1409"/>
      <c r="Q23" s="1410"/>
      <c r="R23" s="681"/>
      <c r="S23" s="680"/>
      <c r="T23" s="680"/>
      <c r="U23" s="680"/>
      <c r="V23" s="681"/>
      <c r="W23" s="680"/>
      <c r="X23" s="680"/>
      <c r="Y23" s="682"/>
      <c r="Z23" s="683"/>
      <c r="AA23" s="662"/>
      <c r="AB23" s="662"/>
      <c r="AC23" s="662"/>
      <c r="AD23" s="683"/>
      <c r="AE23" s="662"/>
      <c r="AF23" s="662"/>
      <c r="AG23" s="660"/>
      <c r="AH23" s="702"/>
      <c r="AI23" s="660"/>
      <c r="AJ23" s="660"/>
      <c r="AK23" s="680"/>
      <c r="AL23" s="681"/>
      <c r="AM23" s="680"/>
      <c r="AN23" s="680"/>
      <c r="AO23" s="680"/>
      <c r="AP23" s="681"/>
      <c r="AQ23" s="680"/>
      <c r="AR23" s="680"/>
      <c r="AS23" s="680"/>
      <c r="AT23" s="681"/>
      <c r="AU23" s="680"/>
      <c r="AV23" s="680"/>
      <c r="AW23" s="680"/>
      <c r="AX23" s="681"/>
      <c r="AY23" s="680"/>
      <c r="AZ23" s="680"/>
      <c r="BA23" s="680"/>
      <c r="BB23" s="681"/>
      <c r="BC23" s="680"/>
      <c r="BD23" s="680"/>
      <c r="BE23" s="680"/>
      <c r="BF23" s="681"/>
      <c r="BG23" s="680"/>
      <c r="BH23" s="680"/>
      <c r="BI23" s="680"/>
      <c r="BJ23" s="681"/>
      <c r="BK23" s="680"/>
      <c r="BL23" s="680"/>
      <c r="BM23" s="680"/>
      <c r="BN23" s="681"/>
      <c r="BO23" s="680"/>
      <c r="BP23" s="680"/>
      <c r="BQ23" s="680"/>
      <c r="BR23" s="681"/>
      <c r="BS23" s="680"/>
      <c r="BT23" s="680"/>
      <c r="BU23" s="680"/>
      <c r="BV23" s="681"/>
      <c r="BW23" s="680"/>
      <c r="BX23" s="680"/>
      <c r="BY23" s="680"/>
      <c r="BZ23" s="684"/>
      <c r="CA23" s="668"/>
      <c r="CB23" s="657"/>
      <c r="CC23" s="657"/>
      <c r="CD23" s="657"/>
      <c r="CE23" s="657"/>
      <c r="CF23" s="657"/>
      <c r="CG23" s="657"/>
      <c r="CH23" s="657"/>
      <c r="CI23" s="657"/>
    </row>
    <row r="24" spans="1:87" ht="20.25" customHeight="1">
      <c r="A24" s="1386"/>
      <c r="B24" s="1387"/>
      <c r="C24" s="1388"/>
      <c r="D24" s="1390"/>
      <c r="E24" s="1390"/>
      <c r="F24" s="1390"/>
      <c r="G24" s="691"/>
      <c r="H24" s="692"/>
      <c r="I24" s="692"/>
      <c r="J24" s="687"/>
      <c r="K24" s="688"/>
      <c r="L24" s="688"/>
      <c r="M24" s="685"/>
      <c r="N24" s="685"/>
      <c r="O24" s="1408"/>
      <c r="P24" s="1409"/>
      <c r="Q24" s="1410"/>
      <c r="R24" s="686"/>
      <c r="S24" s="685"/>
      <c r="T24" s="685"/>
      <c r="U24" s="685"/>
      <c r="V24" s="686"/>
      <c r="W24" s="685"/>
      <c r="X24" s="685"/>
      <c r="Y24" s="663"/>
      <c r="Z24" s="671"/>
      <c r="AA24" s="663"/>
      <c r="AB24" s="663"/>
      <c r="AC24" s="663"/>
      <c r="AD24" s="671"/>
      <c r="AE24" s="663"/>
      <c r="AF24" s="663"/>
      <c r="AG24" s="666"/>
      <c r="AH24" s="670"/>
      <c r="AI24" s="666"/>
      <c r="AJ24" s="666"/>
      <c r="AK24" s="685"/>
      <c r="AL24" s="686"/>
      <c r="AM24" s="685"/>
      <c r="AN24" s="685"/>
      <c r="AO24" s="685"/>
      <c r="AP24" s="686"/>
      <c r="AQ24" s="685"/>
      <c r="AR24" s="685"/>
      <c r="AS24" s="685"/>
      <c r="AT24" s="686"/>
      <c r="AU24" s="685"/>
      <c r="AV24" s="685"/>
      <c r="AW24" s="685"/>
      <c r="AX24" s="686"/>
      <c r="AY24" s="685"/>
      <c r="AZ24" s="685"/>
      <c r="BA24" s="685"/>
      <c r="BB24" s="686"/>
      <c r="BC24" s="685"/>
      <c r="BD24" s="685"/>
      <c r="BE24" s="685"/>
      <c r="BF24" s="686"/>
      <c r="BG24" s="685"/>
      <c r="BH24" s="685"/>
      <c r="BI24" s="685"/>
      <c r="BJ24" s="686"/>
      <c r="BK24" s="685"/>
      <c r="BL24" s="685"/>
      <c r="BM24" s="685"/>
      <c r="BN24" s="686"/>
      <c r="BO24" s="685"/>
      <c r="BP24" s="685"/>
      <c r="BQ24" s="685"/>
      <c r="BR24" s="686"/>
      <c r="BS24" s="685"/>
      <c r="BT24" s="685"/>
      <c r="BU24" s="685"/>
      <c r="BV24" s="686"/>
      <c r="BW24" s="666"/>
      <c r="BX24" s="666"/>
      <c r="BY24" s="666"/>
      <c r="BZ24" s="667"/>
      <c r="CA24" s="668"/>
      <c r="CB24" s="657"/>
      <c r="CC24" s="657"/>
      <c r="CD24" s="657"/>
      <c r="CE24" s="657"/>
      <c r="CF24" s="657"/>
      <c r="CG24" s="657"/>
      <c r="CH24" s="657"/>
      <c r="CI24" s="657"/>
    </row>
    <row r="25" spans="1:87" ht="20.25" customHeight="1">
      <c r="A25" s="1386" t="s">
        <v>492</v>
      </c>
      <c r="B25" s="1387"/>
      <c r="C25" s="1388"/>
      <c r="D25" s="1390"/>
      <c r="E25" s="1390"/>
      <c r="F25" s="1390"/>
      <c r="G25" s="691"/>
      <c r="H25" s="692"/>
      <c r="I25" s="692"/>
      <c r="J25" s="687"/>
      <c r="K25" s="688"/>
      <c r="L25" s="688"/>
      <c r="M25" s="685"/>
      <c r="N25" s="685"/>
      <c r="O25" s="1408"/>
      <c r="P25" s="1409"/>
      <c r="Q25" s="1410"/>
      <c r="R25" s="686"/>
      <c r="S25" s="685"/>
      <c r="T25" s="685"/>
      <c r="U25" s="685"/>
      <c r="V25" s="686"/>
      <c r="W25" s="685"/>
      <c r="X25" s="685"/>
      <c r="Y25" s="663"/>
      <c r="Z25" s="671"/>
      <c r="AA25" s="663"/>
      <c r="AB25" s="663"/>
      <c r="AC25" s="663"/>
      <c r="AD25" s="671"/>
      <c r="AE25" s="663"/>
      <c r="AF25" s="663"/>
      <c r="AG25" s="666"/>
      <c r="AH25" s="670"/>
      <c r="AI25" s="666"/>
      <c r="AJ25" s="666"/>
      <c r="AK25" s="685"/>
      <c r="AL25" s="686"/>
      <c r="AM25" s="685"/>
      <c r="AN25" s="685"/>
      <c r="AO25" s="685"/>
      <c r="AP25" s="686"/>
      <c r="AQ25" s="685"/>
      <c r="AR25" s="685"/>
      <c r="AS25" s="685"/>
      <c r="AT25" s="686"/>
      <c r="AU25" s="685"/>
      <c r="AV25" s="685"/>
      <c r="AW25" s="685"/>
      <c r="AX25" s="686"/>
      <c r="AY25" s="685"/>
      <c r="AZ25" s="685"/>
      <c r="BA25" s="685"/>
      <c r="BB25" s="686"/>
      <c r="BC25" s="685"/>
      <c r="BD25" s="685"/>
      <c r="BE25" s="663"/>
      <c r="BF25" s="687"/>
      <c r="BG25" s="688"/>
      <c r="BH25" s="688"/>
      <c r="BI25" s="688"/>
      <c r="BJ25" s="687"/>
      <c r="BK25" s="688"/>
      <c r="BL25" s="688"/>
      <c r="BM25" s="688"/>
      <c r="BN25" s="687"/>
      <c r="BO25" s="688"/>
      <c r="BP25" s="688"/>
      <c r="BQ25" s="688"/>
      <c r="BR25" s="687"/>
      <c r="BS25" s="688"/>
      <c r="BT25" s="688"/>
      <c r="BU25" s="688"/>
      <c r="BV25" s="687"/>
      <c r="BW25" s="666"/>
      <c r="BX25" s="666"/>
      <c r="BY25" s="666"/>
      <c r="BZ25" s="667"/>
      <c r="CA25" s="672"/>
      <c r="CB25" s="657"/>
      <c r="CC25" s="657"/>
      <c r="CD25" s="657"/>
      <c r="CE25" s="657"/>
      <c r="CF25" s="657"/>
      <c r="CG25" s="657"/>
      <c r="CH25" s="657"/>
      <c r="CI25" s="657"/>
    </row>
    <row r="26" spans="1:87" ht="20.25" customHeight="1">
      <c r="A26" s="1419"/>
      <c r="B26" s="1420"/>
      <c r="C26" s="1421"/>
      <c r="D26" s="1390"/>
      <c r="E26" s="1390"/>
      <c r="F26" s="1390"/>
      <c r="G26" s="695"/>
      <c r="H26" s="696"/>
      <c r="I26" s="696"/>
      <c r="J26" s="697"/>
      <c r="K26" s="689"/>
      <c r="L26" s="689"/>
      <c r="M26" s="689"/>
      <c r="N26" s="689"/>
      <c r="O26" s="1411"/>
      <c r="P26" s="1412"/>
      <c r="Q26" s="1413"/>
      <c r="R26" s="697"/>
      <c r="S26" s="689"/>
      <c r="T26" s="689"/>
      <c r="U26" s="689"/>
      <c r="V26" s="689"/>
      <c r="W26" s="705"/>
      <c r="X26" s="689"/>
      <c r="Y26" s="676"/>
      <c r="Z26" s="676"/>
      <c r="AA26" s="706"/>
      <c r="AB26" s="676"/>
      <c r="AC26" s="676"/>
      <c r="AD26" s="676"/>
      <c r="AE26" s="706"/>
      <c r="AF26" s="676"/>
      <c r="AG26" s="674"/>
      <c r="AH26" s="678"/>
      <c r="AI26" s="674"/>
      <c r="AJ26" s="674"/>
      <c r="AK26" s="689"/>
      <c r="AL26" s="689"/>
      <c r="AM26" s="705"/>
      <c r="AN26" s="689"/>
      <c r="AO26" s="689"/>
      <c r="AP26" s="689"/>
      <c r="AQ26" s="705"/>
      <c r="AR26" s="689"/>
      <c r="AS26" s="689"/>
      <c r="AT26" s="689"/>
      <c r="AU26" s="705"/>
      <c r="AV26" s="689"/>
      <c r="AW26" s="689"/>
      <c r="AX26" s="689"/>
      <c r="AY26" s="705"/>
      <c r="AZ26" s="689"/>
      <c r="BA26" s="689"/>
      <c r="BB26" s="689"/>
      <c r="BC26" s="705"/>
      <c r="BD26" s="689"/>
      <c r="BE26" s="689"/>
      <c r="BF26" s="689"/>
      <c r="BG26" s="705"/>
      <c r="BH26" s="689"/>
      <c r="BI26" s="689"/>
      <c r="BJ26" s="689"/>
      <c r="BK26" s="705"/>
      <c r="BL26" s="689"/>
      <c r="BM26" s="689"/>
      <c r="BN26" s="689"/>
      <c r="BO26" s="705"/>
      <c r="BP26" s="689"/>
      <c r="BQ26" s="689"/>
      <c r="BR26" s="689"/>
      <c r="BS26" s="705"/>
      <c r="BT26" s="689"/>
      <c r="BU26" s="689"/>
      <c r="BV26" s="689"/>
      <c r="BW26" s="707"/>
      <c r="BX26" s="674"/>
      <c r="BY26" s="674"/>
      <c r="BZ26" s="678"/>
      <c r="CA26" s="679"/>
      <c r="CB26" s="657"/>
      <c r="CC26" s="657"/>
      <c r="CD26" s="657"/>
      <c r="CE26" s="657"/>
      <c r="CF26" s="657"/>
      <c r="CG26" s="657"/>
      <c r="CH26" s="657"/>
      <c r="CI26" s="657"/>
    </row>
    <row r="27" spans="1:87" ht="13.5" customHeight="1">
      <c r="A27" s="708"/>
      <c r="B27" s="708"/>
      <c r="C27" s="708"/>
      <c r="D27" s="708"/>
      <c r="E27" s="708"/>
      <c r="F27" s="708"/>
      <c r="G27" s="1461"/>
      <c r="H27" s="1461"/>
      <c r="I27" s="1391">
        <v>0.25</v>
      </c>
      <c r="J27" s="1391"/>
      <c r="K27" s="1391"/>
      <c r="L27" s="1391"/>
      <c r="M27" s="1391">
        <v>0.29166666666666669</v>
      </c>
      <c r="N27" s="1391"/>
      <c r="O27" s="1391"/>
      <c r="P27" s="1391"/>
      <c r="Q27" s="1391">
        <v>0.33333333333333331</v>
      </c>
      <c r="R27" s="1391"/>
      <c r="S27" s="1391"/>
      <c r="T27" s="1391"/>
      <c r="U27" s="1391">
        <v>0.375</v>
      </c>
      <c r="V27" s="1391"/>
      <c r="W27" s="1391"/>
      <c r="X27" s="1391"/>
      <c r="Y27" s="1391">
        <v>0.41666666666666669</v>
      </c>
      <c r="Z27" s="1418"/>
      <c r="AA27" s="1391"/>
      <c r="AB27" s="1391"/>
      <c r="AC27" s="1391">
        <v>0.45833333333333331</v>
      </c>
      <c r="AD27" s="1391"/>
      <c r="AE27" s="1391"/>
      <c r="AF27" s="1391"/>
      <c r="AG27" s="1385">
        <v>0.5</v>
      </c>
      <c r="AH27" s="1385"/>
      <c r="AI27" s="1385"/>
      <c r="AJ27" s="1385"/>
      <c r="AK27" s="1385">
        <v>4.1666666666666664E-2</v>
      </c>
      <c r="AL27" s="1385"/>
      <c r="AM27" s="1385"/>
      <c r="AN27" s="1385"/>
      <c r="AO27" s="1385">
        <v>8.3333333333333329E-2</v>
      </c>
      <c r="AP27" s="1385"/>
      <c r="AQ27" s="1385"/>
      <c r="AR27" s="1385"/>
      <c r="AS27" s="1385">
        <v>0.125</v>
      </c>
      <c r="AT27" s="1385"/>
      <c r="AU27" s="1385"/>
      <c r="AV27" s="1385"/>
      <c r="AW27" s="1385">
        <v>0.16666666666666666</v>
      </c>
      <c r="AX27" s="1385"/>
      <c r="AY27" s="1385"/>
      <c r="AZ27" s="1385"/>
      <c r="BA27" s="1385">
        <v>0.20833333333333334</v>
      </c>
      <c r="BB27" s="1385"/>
      <c r="BC27" s="1385"/>
      <c r="BD27" s="1385"/>
      <c r="BE27" s="1385">
        <v>0.25</v>
      </c>
      <c r="BF27" s="1385"/>
      <c r="BG27" s="1385"/>
      <c r="BH27" s="1385"/>
      <c r="BI27" s="1385">
        <v>0.29166666666666669</v>
      </c>
      <c r="BJ27" s="1385"/>
      <c r="BK27" s="1385"/>
      <c r="BL27" s="1385"/>
      <c r="BM27" s="1385">
        <v>0.33333333333333331</v>
      </c>
      <c r="BN27" s="1385"/>
      <c r="BO27" s="1385"/>
      <c r="BP27" s="1385"/>
      <c r="BQ27" s="1385">
        <v>0.375</v>
      </c>
      <c r="BR27" s="1385"/>
      <c r="BS27" s="1385"/>
      <c r="BT27" s="1385"/>
      <c r="BU27" s="1385">
        <v>0.41666666666666669</v>
      </c>
      <c r="BV27" s="1414"/>
      <c r="BW27" s="1414"/>
      <c r="BX27" s="1414"/>
      <c r="BY27" s="652"/>
      <c r="BZ27" s="652"/>
      <c r="CA27" s="652"/>
      <c r="CB27" s="657"/>
      <c r="CC27" s="657"/>
      <c r="CD27" s="657"/>
      <c r="CE27" s="657"/>
      <c r="CF27" s="657"/>
      <c r="CG27" s="657"/>
      <c r="CH27" s="657"/>
      <c r="CI27" s="657"/>
    </row>
    <row r="28" spans="1:87" ht="13.5" customHeight="1">
      <c r="A28" s="1415" t="s">
        <v>75</v>
      </c>
      <c r="B28" s="1415"/>
      <c r="C28" s="1415"/>
      <c r="D28" s="1416"/>
      <c r="E28" s="1416"/>
      <c r="F28" s="1416"/>
      <c r="G28" s="1416"/>
      <c r="H28" s="1416"/>
      <c r="I28" s="1416"/>
      <c r="J28" s="1416"/>
      <c r="K28" s="1416"/>
      <c r="L28" s="1416"/>
      <c r="M28" s="1416"/>
      <c r="N28" s="1416"/>
      <c r="O28" s="1416"/>
      <c r="P28" s="1416"/>
      <c r="Q28" s="1416"/>
      <c r="R28" s="1416"/>
      <c r="S28" s="1416"/>
      <c r="T28" s="1416"/>
      <c r="U28" s="1416"/>
      <c r="V28" s="1416"/>
      <c r="W28" s="1416"/>
      <c r="X28" s="1416"/>
      <c r="Y28" s="1416"/>
      <c r="Z28" s="1416"/>
      <c r="AA28" s="1416"/>
      <c r="AB28" s="1416"/>
      <c r="AC28" s="1416"/>
      <c r="AD28" s="1416"/>
      <c r="AE28" s="1416"/>
      <c r="AF28" s="1416"/>
      <c r="AG28" s="1416"/>
      <c r="AH28" s="1416"/>
      <c r="AI28" s="1416"/>
      <c r="AJ28" s="1416"/>
      <c r="AK28" s="1416"/>
      <c r="AL28" s="1416"/>
      <c r="AM28" s="1416"/>
      <c r="AN28" s="1416"/>
      <c r="AO28" s="1416"/>
      <c r="AP28" s="1416"/>
      <c r="AQ28" s="1416"/>
      <c r="AR28" s="1416"/>
      <c r="AS28" s="1416"/>
      <c r="AT28" s="1416"/>
      <c r="AU28" s="1416"/>
      <c r="AV28" s="1416"/>
      <c r="AW28" s="1416"/>
      <c r="AX28" s="1416"/>
      <c r="AY28" s="1416"/>
      <c r="AZ28" s="1416"/>
      <c r="BA28" s="1416"/>
      <c r="BB28" s="1416"/>
      <c r="BC28" s="1416"/>
      <c r="BD28" s="1416"/>
      <c r="BE28" s="1416"/>
      <c r="BF28" s="1416"/>
      <c r="BG28" s="1416"/>
      <c r="BH28" s="1416"/>
      <c r="BI28" s="1416"/>
      <c r="BJ28" s="1416"/>
      <c r="BK28" s="1416"/>
      <c r="BL28" s="1416"/>
      <c r="BM28" s="1416"/>
      <c r="BN28" s="1416"/>
      <c r="BO28" s="1416"/>
      <c r="BP28" s="1416"/>
      <c r="BQ28" s="1416"/>
      <c r="BR28" s="1416"/>
      <c r="BS28" s="1416"/>
      <c r="BT28" s="1416"/>
      <c r="BU28" s="1416"/>
      <c r="BV28" s="1416"/>
      <c r="BW28" s="1416"/>
      <c r="BX28" s="1416"/>
      <c r="BY28" s="1416"/>
      <c r="BZ28" s="1416"/>
      <c r="CA28" s="672"/>
      <c r="CB28" s="709"/>
      <c r="CC28" s="709"/>
      <c r="CD28" s="709"/>
      <c r="CE28" s="709"/>
      <c r="CF28" s="709"/>
      <c r="CG28" s="709"/>
      <c r="CH28" s="709"/>
      <c r="CI28" s="709"/>
    </row>
    <row r="29" spans="1:87">
      <c r="A29" s="1415"/>
      <c r="B29" s="1415"/>
      <c r="C29" s="1415"/>
      <c r="D29" s="1416"/>
      <c r="E29" s="1416"/>
      <c r="F29" s="1416"/>
      <c r="G29" s="1416"/>
      <c r="H29" s="1416"/>
      <c r="I29" s="1416"/>
      <c r="J29" s="1416"/>
      <c r="K29" s="1416"/>
      <c r="L29" s="1416"/>
      <c r="M29" s="1416"/>
      <c r="N29" s="1416"/>
      <c r="O29" s="1416"/>
      <c r="P29" s="1416"/>
      <c r="Q29" s="1416"/>
      <c r="R29" s="1416"/>
      <c r="S29" s="1416"/>
      <c r="T29" s="1416"/>
      <c r="U29" s="1416"/>
      <c r="V29" s="1416"/>
      <c r="W29" s="1416"/>
      <c r="X29" s="1416"/>
      <c r="Y29" s="1416"/>
      <c r="Z29" s="1416"/>
      <c r="AA29" s="1416"/>
      <c r="AB29" s="1416"/>
      <c r="AC29" s="1416"/>
      <c r="AD29" s="1416"/>
      <c r="AE29" s="1416"/>
      <c r="AF29" s="1416"/>
      <c r="AG29" s="1416"/>
      <c r="AH29" s="1416"/>
      <c r="AI29" s="1416"/>
      <c r="AJ29" s="1416"/>
      <c r="AK29" s="1416"/>
      <c r="AL29" s="1416"/>
      <c r="AM29" s="1416"/>
      <c r="AN29" s="1416"/>
      <c r="AO29" s="1416"/>
      <c r="AP29" s="1416"/>
      <c r="AQ29" s="1416"/>
      <c r="AR29" s="1416"/>
      <c r="AS29" s="1416"/>
      <c r="AT29" s="1416"/>
      <c r="AU29" s="1416"/>
      <c r="AV29" s="1416"/>
      <c r="AW29" s="1416"/>
      <c r="AX29" s="1416"/>
      <c r="AY29" s="1416"/>
      <c r="AZ29" s="1416"/>
      <c r="BA29" s="1416"/>
      <c r="BB29" s="1416"/>
      <c r="BC29" s="1416"/>
      <c r="BD29" s="1416"/>
      <c r="BE29" s="1416"/>
      <c r="BF29" s="1416"/>
      <c r="BG29" s="1416"/>
      <c r="BH29" s="1416"/>
      <c r="BI29" s="1416"/>
      <c r="BJ29" s="1416"/>
      <c r="BK29" s="1416"/>
      <c r="BL29" s="1416"/>
      <c r="BM29" s="1416"/>
      <c r="BN29" s="1416"/>
      <c r="BO29" s="1416"/>
      <c r="BP29" s="1416"/>
      <c r="BQ29" s="1416"/>
      <c r="BR29" s="1416"/>
      <c r="BS29" s="1416"/>
      <c r="BT29" s="1416"/>
      <c r="BU29" s="1416"/>
      <c r="BV29" s="1416"/>
      <c r="BW29" s="1416"/>
      <c r="BX29" s="1416"/>
      <c r="BY29" s="1416"/>
      <c r="BZ29" s="1416"/>
      <c r="CA29" s="672"/>
      <c r="CB29" s="709"/>
      <c r="CC29" s="709"/>
      <c r="CD29" s="709"/>
      <c r="CE29" s="709"/>
      <c r="CF29" s="709"/>
      <c r="CG29" s="709"/>
      <c r="CH29" s="709"/>
      <c r="CI29" s="709"/>
    </row>
    <row r="30" spans="1:87">
      <c r="A30" s="1415"/>
      <c r="B30" s="1415"/>
      <c r="C30" s="1415"/>
      <c r="D30" s="1416"/>
      <c r="E30" s="1416"/>
      <c r="F30" s="1416"/>
      <c r="G30" s="1416"/>
      <c r="H30" s="1416"/>
      <c r="I30" s="1416"/>
      <c r="J30" s="1416"/>
      <c r="K30" s="1416"/>
      <c r="L30" s="1416"/>
      <c r="M30" s="1416"/>
      <c r="N30" s="1416"/>
      <c r="O30" s="1416"/>
      <c r="P30" s="1416"/>
      <c r="Q30" s="1416"/>
      <c r="R30" s="1416"/>
      <c r="S30" s="1416"/>
      <c r="T30" s="1416"/>
      <c r="U30" s="1416"/>
      <c r="V30" s="1416"/>
      <c r="W30" s="1416"/>
      <c r="X30" s="1416"/>
      <c r="Y30" s="1416"/>
      <c r="Z30" s="1416"/>
      <c r="AA30" s="1416"/>
      <c r="AB30" s="1416"/>
      <c r="AC30" s="1416"/>
      <c r="AD30" s="1416"/>
      <c r="AE30" s="1416"/>
      <c r="AF30" s="1416"/>
      <c r="AG30" s="1416"/>
      <c r="AH30" s="1416"/>
      <c r="AI30" s="1416"/>
      <c r="AJ30" s="1416"/>
      <c r="AK30" s="1416"/>
      <c r="AL30" s="1416"/>
      <c r="AM30" s="1416"/>
      <c r="AN30" s="1416"/>
      <c r="AO30" s="1416"/>
      <c r="AP30" s="1416"/>
      <c r="AQ30" s="1416"/>
      <c r="AR30" s="1416"/>
      <c r="AS30" s="1416"/>
      <c r="AT30" s="1416"/>
      <c r="AU30" s="1416"/>
      <c r="AV30" s="1416"/>
      <c r="AW30" s="1416"/>
      <c r="AX30" s="1416"/>
      <c r="AY30" s="1416"/>
      <c r="AZ30" s="1416"/>
      <c r="BA30" s="1416"/>
      <c r="BB30" s="1416"/>
      <c r="BC30" s="1416"/>
      <c r="BD30" s="1416"/>
      <c r="BE30" s="1416"/>
      <c r="BF30" s="1416"/>
      <c r="BG30" s="1416"/>
      <c r="BH30" s="1416"/>
      <c r="BI30" s="1416"/>
      <c r="BJ30" s="1416"/>
      <c r="BK30" s="1416"/>
      <c r="BL30" s="1416"/>
      <c r="BM30" s="1416"/>
      <c r="BN30" s="1416"/>
      <c r="BO30" s="1416"/>
      <c r="BP30" s="1416"/>
      <c r="BQ30" s="1416"/>
      <c r="BR30" s="1416"/>
      <c r="BS30" s="1416"/>
      <c r="BT30" s="1416"/>
      <c r="BU30" s="1416"/>
      <c r="BV30" s="1416"/>
      <c r="BW30" s="1416"/>
      <c r="BX30" s="1416"/>
      <c r="BY30" s="1416"/>
      <c r="BZ30" s="1416"/>
      <c r="CA30" s="672"/>
      <c r="CB30" s="709"/>
      <c r="CC30" s="709"/>
      <c r="CD30" s="709"/>
      <c r="CE30" s="709"/>
      <c r="CF30" s="709"/>
      <c r="CG30" s="709"/>
      <c r="CH30" s="709"/>
      <c r="CI30" s="709"/>
    </row>
    <row r="31" spans="1:87">
      <c r="A31" s="1415"/>
      <c r="B31" s="1415"/>
      <c r="C31" s="1415"/>
      <c r="D31" s="1416"/>
      <c r="E31" s="1416"/>
      <c r="F31" s="1416"/>
      <c r="G31" s="1416"/>
      <c r="H31" s="1416"/>
      <c r="I31" s="1416"/>
      <c r="J31" s="1416"/>
      <c r="K31" s="1416"/>
      <c r="L31" s="1416"/>
      <c r="M31" s="1416"/>
      <c r="N31" s="1416"/>
      <c r="O31" s="1416"/>
      <c r="P31" s="1416"/>
      <c r="Q31" s="1416"/>
      <c r="R31" s="1416"/>
      <c r="S31" s="1416"/>
      <c r="T31" s="1416"/>
      <c r="U31" s="1416"/>
      <c r="V31" s="1416"/>
      <c r="W31" s="1416"/>
      <c r="X31" s="1416"/>
      <c r="Y31" s="1416"/>
      <c r="Z31" s="1416"/>
      <c r="AA31" s="1416"/>
      <c r="AB31" s="1416"/>
      <c r="AC31" s="1416"/>
      <c r="AD31" s="1416"/>
      <c r="AE31" s="1416"/>
      <c r="AF31" s="1416"/>
      <c r="AG31" s="1416"/>
      <c r="AH31" s="1416"/>
      <c r="AI31" s="1416"/>
      <c r="AJ31" s="1416"/>
      <c r="AK31" s="1416"/>
      <c r="AL31" s="1416"/>
      <c r="AM31" s="1416"/>
      <c r="AN31" s="1416"/>
      <c r="AO31" s="1416"/>
      <c r="AP31" s="1416"/>
      <c r="AQ31" s="1416"/>
      <c r="AR31" s="1416"/>
      <c r="AS31" s="1416"/>
      <c r="AT31" s="1416"/>
      <c r="AU31" s="1416"/>
      <c r="AV31" s="1416"/>
      <c r="AW31" s="1416"/>
      <c r="AX31" s="1416"/>
      <c r="AY31" s="1416"/>
      <c r="AZ31" s="1416"/>
      <c r="BA31" s="1416"/>
      <c r="BB31" s="1416"/>
      <c r="BC31" s="1416"/>
      <c r="BD31" s="1416"/>
      <c r="BE31" s="1416"/>
      <c r="BF31" s="1416"/>
      <c r="BG31" s="1416"/>
      <c r="BH31" s="1416"/>
      <c r="BI31" s="1416"/>
      <c r="BJ31" s="1416"/>
      <c r="BK31" s="1416"/>
      <c r="BL31" s="1416"/>
      <c r="BM31" s="1416"/>
      <c r="BN31" s="1416"/>
      <c r="BO31" s="1416"/>
      <c r="BP31" s="1416"/>
      <c r="BQ31" s="1416"/>
      <c r="BR31" s="1416"/>
      <c r="BS31" s="1416"/>
      <c r="BT31" s="1416"/>
      <c r="BU31" s="1416"/>
      <c r="BV31" s="1416"/>
      <c r="BW31" s="1416"/>
      <c r="BX31" s="1416"/>
      <c r="BY31" s="1416"/>
      <c r="BZ31" s="1416"/>
      <c r="CA31" s="672"/>
      <c r="CB31" s="709"/>
      <c r="CC31" s="709"/>
      <c r="CD31" s="709"/>
      <c r="CE31" s="709"/>
      <c r="CF31" s="709"/>
      <c r="CG31" s="709"/>
      <c r="CH31" s="709"/>
      <c r="CI31" s="709"/>
    </row>
    <row r="32" spans="1:87">
      <c r="A32" s="1415"/>
      <c r="B32" s="1415"/>
      <c r="C32" s="1415"/>
      <c r="D32" s="1416"/>
      <c r="E32" s="1416"/>
      <c r="F32" s="1416"/>
      <c r="G32" s="1416"/>
      <c r="H32" s="1416"/>
      <c r="I32" s="1416"/>
      <c r="J32" s="1416"/>
      <c r="K32" s="1416"/>
      <c r="L32" s="1416"/>
      <c r="M32" s="1416"/>
      <c r="N32" s="1416"/>
      <c r="O32" s="1416"/>
      <c r="P32" s="1416"/>
      <c r="Q32" s="1416"/>
      <c r="R32" s="1416"/>
      <c r="S32" s="1416"/>
      <c r="T32" s="1416"/>
      <c r="U32" s="1416"/>
      <c r="V32" s="1416"/>
      <c r="W32" s="1416"/>
      <c r="X32" s="1416"/>
      <c r="Y32" s="1416"/>
      <c r="Z32" s="1416"/>
      <c r="AA32" s="1416"/>
      <c r="AB32" s="1416"/>
      <c r="AC32" s="1416"/>
      <c r="AD32" s="1416"/>
      <c r="AE32" s="1416"/>
      <c r="AF32" s="1416"/>
      <c r="AG32" s="1416"/>
      <c r="AH32" s="1416"/>
      <c r="AI32" s="1416"/>
      <c r="AJ32" s="1416"/>
      <c r="AK32" s="1416"/>
      <c r="AL32" s="1416"/>
      <c r="AM32" s="1416"/>
      <c r="AN32" s="1416"/>
      <c r="AO32" s="1416"/>
      <c r="AP32" s="1416"/>
      <c r="AQ32" s="1416"/>
      <c r="AR32" s="1416"/>
      <c r="AS32" s="1416"/>
      <c r="AT32" s="1416"/>
      <c r="AU32" s="1416"/>
      <c r="AV32" s="1416"/>
      <c r="AW32" s="1416"/>
      <c r="AX32" s="1416"/>
      <c r="AY32" s="1416"/>
      <c r="AZ32" s="1416"/>
      <c r="BA32" s="1416"/>
      <c r="BB32" s="1416"/>
      <c r="BC32" s="1416"/>
      <c r="BD32" s="1416"/>
      <c r="BE32" s="1416"/>
      <c r="BF32" s="1416"/>
      <c r="BG32" s="1416"/>
      <c r="BH32" s="1416"/>
      <c r="BI32" s="1416"/>
      <c r="BJ32" s="1416"/>
      <c r="BK32" s="1416"/>
      <c r="BL32" s="1416"/>
      <c r="BM32" s="1416"/>
      <c r="BN32" s="1416"/>
      <c r="BO32" s="1416"/>
      <c r="BP32" s="1416"/>
      <c r="BQ32" s="1416"/>
      <c r="BR32" s="1416"/>
      <c r="BS32" s="1416"/>
      <c r="BT32" s="1416"/>
      <c r="BU32" s="1416"/>
      <c r="BV32" s="1416"/>
      <c r="BW32" s="1416"/>
      <c r="BX32" s="1416"/>
      <c r="BY32" s="1416"/>
      <c r="BZ32" s="1416"/>
      <c r="CA32" s="672"/>
      <c r="CB32" s="709"/>
      <c r="CC32" s="709"/>
      <c r="CD32" s="709"/>
      <c r="CE32" s="709"/>
      <c r="CF32" s="709"/>
      <c r="CG32" s="709"/>
      <c r="CH32" s="709"/>
      <c r="CI32" s="709"/>
    </row>
    <row r="33" spans="1:87">
      <c r="A33" s="1417" t="s">
        <v>91</v>
      </c>
      <c r="B33" s="1417"/>
      <c r="C33" s="1417"/>
      <c r="D33" s="1417"/>
      <c r="E33" s="1417"/>
      <c r="F33" s="1417"/>
      <c r="G33" s="1417"/>
      <c r="H33" s="1417"/>
      <c r="I33" s="1417"/>
      <c r="J33" s="1417"/>
      <c r="K33" s="1417"/>
      <c r="L33" s="1417"/>
      <c r="M33" s="1417"/>
      <c r="N33" s="1417"/>
      <c r="O33" s="1417"/>
      <c r="P33" s="1417"/>
      <c r="Q33" s="1417"/>
      <c r="R33" s="1417"/>
      <c r="S33" s="1417"/>
      <c r="T33" s="1417"/>
      <c r="U33" s="1417"/>
      <c r="V33" s="1417"/>
      <c r="W33" s="1417"/>
      <c r="X33" s="1417"/>
      <c r="Y33" s="1417"/>
      <c r="Z33" s="1417"/>
      <c r="AA33" s="1417"/>
      <c r="AB33" s="1417"/>
      <c r="AC33" s="1417"/>
      <c r="AD33" s="1417"/>
      <c r="AE33" s="1417"/>
      <c r="AF33" s="1417"/>
      <c r="AG33" s="1417"/>
      <c r="AH33" s="1417"/>
      <c r="AI33" s="1417"/>
      <c r="AJ33" s="1417"/>
      <c r="AK33" s="1417"/>
      <c r="AL33" s="1417"/>
      <c r="AM33" s="1417"/>
      <c r="AN33" s="1417"/>
      <c r="AO33" s="1417"/>
      <c r="AP33" s="1417"/>
      <c r="AQ33" s="1417"/>
      <c r="AR33" s="1417"/>
      <c r="AS33" s="1417"/>
      <c r="AT33" s="1417"/>
      <c r="AU33" s="1417"/>
      <c r="AV33" s="1417"/>
      <c r="AW33" s="1417"/>
      <c r="AX33" s="1417"/>
      <c r="AY33" s="1417"/>
      <c r="AZ33" s="1417"/>
      <c r="BA33" s="1417"/>
      <c r="BB33" s="1417"/>
      <c r="BC33" s="1417"/>
      <c r="BD33" s="1417"/>
      <c r="BE33" s="1417"/>
      <c r="BF33" s="1417"/>
      <c r="BG33" s="1417"/>
      <c r="BH33" s="1417"/>
      <c r="BI33" s="1417"/>
      <c r="BJ33" s="1417"/>
      <c r="BK33" s="1417"/>
      <c r="BL33" s="1417"/>
      <c r="BM33" s="1417"/>
      <c r="BN33" s="1417"/>
      <c r="BO33" s="1417"/>
      <c r="BP33" s="1417"/>
      <c r="BQ33" s="1417"/>
      <c r="BR33" s="1417"/>
      <c r="BS33" s="1417"/>
      <c r="BT33" s="1417"/>
      <c r="BU33" s="1417"/>
      <c r="BV33" s="1417"/>
      <c r="BW33" s="1417"/>
      <c r="BX33" s="1417"/>
      <c r="BY33" s="1417"/>
      <c r="BZ33" s="1417"/>
      <c r="CA33" s="652"/>
      <c r="CB33" s="657"/>
      <c r="CC33" s="657"/>
      <c r="CD33" s="657"/>
      <c r="CE33" s="657"/>
      <c r="CF33" s="657"/>
      <c r="CG33" s="657"/>
      <c r="CH33" s="657"/>
      <c r="CI33" s="657"/>
    </row>
    <row r="34" spans="1:87">
      <c r="A34" s="1404" t="s">
        <v>87</v>
      </c>
      <c r="B34" s="1404"/>
      <c r="C34" s="1404"/>
      <c r="D34" s="1404"/>
      <c r="E34" s="1404"/>
      <c r="F34" s="1404"/>
      <c r="G34" s="1404"/>
      <c r="H34" s="1404"/>
      <c r="I34" s="1404"/>
      <c r="J34" s="1404"/>
      <c r="K34" s="1404"/>
      <c r="L34" s="1404"/>
      <c r="M34" s="1404"/>
      <c r="N34" s="1404"/>
      <c r="O34" s="1404"/>
      <c r="P34" s="1404"/>
      <c r="Q34" s="1404"/>
      <c r="R34" s="1404"/>
      <c r="S34" s="1404"/>
      <c r="T34" s="1404"/>
      <c r="U34" s="1404"/>
      <c r="V34" s="1404"/>
      <c r="W34" s="1404"/>
      <c r="X34" s="1404"/>
      <c r="Y34" s="1404"/>
      <c r="Z34" s="1404"/>
      <c r="AA34" s="1404"/>
      <c r="AB34" s="1404"/>
      <c r="AC34" s="1404"/>
      <c r="AD34" s="1404"/>
      <c r="AE34" s="1404"/>
      <c r="AF34" s="1404"/>
      <c r="AG34" s="1404"/>
      <c r="AH34" s="1404"/>
      <c r="AI34" s="1404"/>
      <c r="AJ34" s="1404"/>
      <c r="AK34" s="1404"/>
      <c r="AL34" s="1404"/>
      <c r="AM34" s="1404"/>
      <c r="AN34" s="1404"/>
      <c r="AO34" s="1404"/>
      <c r="AP34" s="1404"/>
      <c r="AQ34" s="1404"/>
      <c r="AR34" s="1404"/>
      <c r="AS34" s="1404"/>
      <c r="AT34" s="1404"/>
      <c r="AU34" s="1404"/>
      <c r="AV34" s="1404"/>
      <c r="AW34" s="1404"/>
      <c r="AX34" s="1404"/>
      <c r="AY34" s="1404"/>
      <c r="AZ34" s="1404"/>
      <c r="BA34" s="1404"/>
      <c r="BB34" s="1404"/>
      <c r="BC34" s="1404"/>
      <c r="BD34" s="1404"/>
      <c r="BE34" s="1404"/>
      <c r="BF34" s="1404"/>
      <c r="BG34" s="1404"/>
      <c r="BH34" s="1404"/>
      <c r="BI34" s="1404"/>
      <c r="BJ34" s="1404"/>
      <c r="BK34" s="1404"/>
      <c r="BL34" s="1404"/>
      <c r="BM34" s="1404"/>
      <c r="BN34" s="1404"/>
      <c r="BO34" s="1404"/>
      <c r="BP34" s="1404"/>
      <c r="BQ34" s="1404"/>
      <c r="BR34" s="1404"/>
      <c r="BS34" s="1404"/>
      <c r="BT34" s="1404"/>
      <c r="BU34" s="1404"/>
      <c r="BV34" s="1404"/>
      <c r="BW34" s="1404"/>
      <c r="BX34" s="1404"/>
      <c r="BY34" s="1404"/>
      <c r="BZ34" s="1404"/>
      <c r="CA34" s="652"/>
      <c r="CB34" s="657"/>
      <c r="CC34" s="657"/>
      <c r="CD34" s="657"/>
      <c r="CE34" s="657"/>
      <c r="CF34" s="657"/>
      <c r="CG34" s="657"/>
      <c r="CH34" s="657"/>
      <c r="CI34" s="657"/>
    </row>
    <row r="35" spans="1:87">
      <c r="A35" s="1404" t="s">
        <v>90</v>
      </c>
      <c r="B35" s="1404"/>
      <c r="C35" s="1404"/>
      <c r="D35" s="1404"/>
      <c r="E35" s="1404"/>
      <c r="F35" s="1404"/>
      <c r="G35" s="1404"/>
      <c r="H35" s="1404"/>
      <c r="I35" s="1404"/>
      <c r="J35" s="1404"/>
      <c r="K35" s="1404"/>
      <c r="L35" s="1404"/>
      <c r="M35" s="1404"/>
      <c r="N35" s="1404"/>
      <c r="O35" s="1404"/>
      <c r="P35" s="1404"/>
      <c r="Q35" s="1404"/>
      <c r="R35" s="1404"/>
      <c r="S35" s="1404"/>
      <c r="T35" s="1404"/>
      <c r="U35" s="1404"/>
      <c r="V35" s="1404"/>
      <c r="W35" s="1404"/>
      <c r="X35" s="1404"/>
      <c r="Y35" s="1404"/>
      <c r="Z35" s="1404"/>
      <c r="AA35" s="1404"/>
      <c r="AB35" s="1404"/>
      <c r="AC35" s="1404"/>
      <c r="AD35" s="1404"/>
      <c r="AE35" s="1404"/>
      <c r="AF35" s="1404"/>
      <c r="AG35" s="1404"/>
      <c r="AH35" s="1404"/>
      <c r="AI35" s="1404"/>
      <c r="AJ35" s="1404"/>
      <c r="AK35" s="1404"/>
      <c r="AL35" s="1404"/>
      <c r="AM35" s="1404"/>
      <c r="AN35" s="1404"/>
      <c r="AO35" s="1404"/>
      <c r="AP35" s="1404"/>
      <c r="AQ35" s="1404"/>
      <c r="AR35" s="1404"/>
      <c r="AS35" s="1404"/>
      <c r="AT35" s="1404"/>
      <c r="AU35" s="1404"/>
      <c r="AV35" s="1404"/>
      <c r="AW35" s="1404"/>
      <c r="AX35" s="1404"/>
      <c r="AY35" s="1404"/>
      <c r="AZ35" s="1404"/>
      <c r="BA35" s="1404"/>
      <c r="BB35" s="1404"/>
      <c r="BC35" s="1404"/>
      <c r="BD35" s="1404"/>
      <c r="BE35" s="1404"/>
      <c r="BF35" s="1404"/>
      <c r="BG35" s="1404"/>
      <c r="BH35" s="1404"/>
      <c r="BI35" s="1404"/>
      <c r="BJ35" s="1404"/>
      <c r="BK35" s="1404"/>
      <c r="BL35" s="1404"/>
      <c r="BM35" s="1404"/>
      <c r="BN35" s="1404"/>
      <c r="BO35" s="1404"/>
      <c r="BP35" s="1404"/>
      <c r="BQ35" s="1404"/>
      <c r="BR35" s="1404"/>
      <c r="BS35" s="1404"/>
      <c r="BT35" s="1404"/>
      <c r="BU35" s="1404"/>
      <c r="BV35" s="1404"/>
      <c r="BW35" s="1404"/>
      <c r="BX35" s="1404"/>
      <c r="BY35" s="1404"/>
      <c r="BZ35" s="1404"/>
      <c r="CA35" s="652"/>
      <c r="CB35" s="657"/>
      <c r="CC35" s="657"/>
      <c r="CD35" s="657"/>
      <c r="CE35" s="657"/>
      <c r="CF35" s="657"/>
      <c r="CG35" s="657"/>
      <c r="CH35" s="657"/>
      <c r="CI35" s="657"/>
    </row>
    <row r="36" spans="1:87" s="252" customFormat="1" ht="23.25">
      <c r="A36" s="1510" t="s">
        <v>3087</v>
      </c>
      <c r="B36" s="1510"/>
      <c r="C36" s="1510"/>
      <c r="D36" s="1510"/>
      <c r="E36" s="1510"/>
      <c r="F36" s="1510"/>
      <c r="G36" s="1510"/>
      <c r="H36" s="1510"/>
      <c r="I36" s="1510"/>
      <c r="J36" s="1510"/>
      <c r="K36" s="1510"/>
      <c r="L36" s="1510"/>
      <c r="M36" s="1510"/>
      <c r="N36" s="1510"/>
      <c r="O36" s="1510"/>
      <c r="P36" s="1510"/>
      <c r="Q36" s="1510"/>
      <c r="R36" s="1510"/>
      <c r="S36" s="1510"/>
      <c r="T36" s="1510"/>
      <c r="U36" s="1510"/>
      <c r="V36" s="1510"/>
      <c r="W36" s="1510"/>
      <c r="X36" s="1510"/>
      <c r="Y36" s="1510"/>
      <c r="Z36" s="1510"/>
      <c r="AA36" s="1510"/>
      <c r="AB36" s="1510"/>
      <c r="AC36" s="1510"/>
      <c r="AD36" s="1510"/>
      <c r="AE36" s="1510"/>
      <c r="AF36" s="1510"/>
      <c r="AG36" s="1510"/>
      <c r="AH36" s="1510"/>
      <c r="AI36" s="1510"/>
      <c r="AJ36" s="1510"/>
      <c r="AK36" s="1510"/>
      <c r="AL36" s="1510"/>
      <c r="AM36" s="1510"/>
      <c r="AN36" s="1510"/>
      <c r="AO36" s="1510"/>
      <c r="AP36" s="1510"/>
      <c r="AQ36" s="1510"/>
      <c r="AR36" s="1510"/>
      <c r="AS36" s="1510"/>
      <c r="AT36" s="1510"/>
      <c r="AU36" s="1510"/>
      <c r="AV36" s="1510"/>
      <c r="AW36" s="1510"/>
      <c r="AX36" s="1510"/>
      <c r="AY36" s="1510"/>
      <c r="AZ36" s="1510"/>
      <c r="BA36" s="1510"/>
      <c r="BB36" s="1510"/>
      <c r="BC36" s="1510"/>
      <c r="BD36" s="1510"/>
      <c r="BE36" s="1510"/>
      <c r="BF36" s="1510"/>
      <c r="BG36" s="1510"/>
      <c r="BH36" s="1510"/>
      <c r="BI36" s="1510"/>
      <c r="BJ36" s="1510"/>
      <c r="BK36" s="1510"/>
      <c r="BL36" s="1510"/>
      <c r="BM36" s="1510"/>
      <c r="BN36" s="1510"/>
      <c r="BO36" s="1510"/>
      <c r="BP36" s="1510"/>
      <c r="BQ36" s="1510"/>
      <c r="BR36" s="1510"/>
      <c r="BS36" s="1510"/>
      <c r="BT36" s="1510"/>
      <c r="BU36" s="1510"/>
      <c r="BV36" s="1510"/>
      <c r="BW36" s="1510"/>
      <c r="BX36" s="1510"/>
      <c r="BY36" s="1510"/>
      <c r="BZ36" s="1510"/>
      <c r="CA36" s="643"/>
      <c r="CB36" s="644"/>
      <c r="CC36" s="644"/>
      <c r="CD36" s="644"/>
      <c r="CE36" s="644"/>
      <c r="CF36" s="644"/>
      <c r="CG36" s="644"/>
      <c r="CH36" s="644"/>
      <c r="CI36" s="644"/>
    </row>
    <row r="37" spans="1:87" s="961" customFormat="1" ht="9.9499999999999993" customHeight="1">
      <c r="A37" s="238"/>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38"/>
      <c r="AV37" s="238"/>
      <c r="AW37" s="285"/>
      <c r="AX37" s="294"/>
      <c r="AY37" s="294"/>
      <c r="AZ37" s="294"/>
      <c r="BA37" s="294"/>
      <c r="BB37" s="294"/>
      <c r="BC37" s="294"/>
      <c r="BD37" s="294"/>
      <c r="BE37" s="294"/>
      <c r="BF37" s="294"/>
      <c r="BG37" s="294"/>
      <c r="BH37" s="294"/>
      <c r="BI37" s="294"/>
      <c r="BJ37" s="294"/>
      <c r="BK37" s="294"/>
      <c r="BL37" s="294"/>
      <c r="BM37" s="294"/>
      <c r="BN37" s="294"/>
      <c r="BO37" s="294"/>
      <c r="BP37" s="294"/>
      <c r="BQ37" s="294"/>
      <c r="BR37" s="294"/>
      <c r="BS37" s="294"/>
      <c r="BT37" s="294"/>
      <c r="BU37" s="294"/>
      <c r="BV37" s="294"/>
      <c r="BW37" s="1525" t="s">
        <v>85</v>
      </c>
      <c r="BX37" s="1525"/>
      <c r="BY37" s="1517">
        <v>1</v>
      </c>
      <c r="BZ37" s="1517"/>
      <c r="CA37" s="294"/>
    </row>
    <row r="38" spans="1:87" s="961" customFormat="1" ht="9.9499999999999993" customHeight="1">
      <c r="A38" s="238"/>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38"/>
      <c r="AV38" s="238"/>
      <c r="AW38" s="285"/>
      <c r="AX38" s="294"/>
      <c r="AY38" s="294"/>
      <c r="AZ38" s="294"/>
      <c r="BA38" s="294"/>
      <c r="BB38" s="294"/>
      <c r="BC38" s="294"/>
      <c r="BD38" s="294"/>
      <c r="BE38" s="294"/>
      <c r="BF38" s="294"/>
      <c r="BG38" s="294"/>
      <c r="BH38" s="294"/>
      <c r="BI38" s="294"/>
      <c r="BJ38" s="294"/>
      <c r="BK38" s="294"/>
      <c r="BL38" s="294"/>
      <c r="BM38" s="294"/>
      <c r="BN38" s="294"/>
      <c r="BO38" s="294"/>
      <c r="BP38" s="294"/>
      <c r="BQ38" s="294"/>
      <c r="BR38" s="294"/>
      <c r="BS38" s="294"/>
      <c r="BT38" s="294"/>
      <c r="BU38" s="294"/>
      <c r="BV38" s="294"/>
      <c r="BW38" s="294"/>
      <c r="BX38" s="294"/>
      <c r="BY38" s="294"/>
      <c r="BZ38" s="294"/>
      <c r="CA38" s="294"/>
    </row>
    <row r="39" spans="1:87" s="961" customFormat="1" ht="12" customHeight="1">
      <c r="A39" s="1526" t="s">
        <v>84</v>
      </c>
      <c r="B39" s="1526"/>
      <c r="C39" s="1526"/>
      <c r="D39" s="1526"/>
      <c r="E39" s="1526"/>
      <c r="F39" s="1526"/>
      <c r="G39" s="1526"/>
      <c r="H39" s="1527" t="str">
        <f>CONCATENATE('01 使用承認申請書'!D39)</f>
        <v/>
      </c>
      <c r="I39" s="1527"/>
      <c r="J39" s="1527"/>
      <c r="K39" s="1527"/>
      <c r="L39" s="1527"/>
      <c r="M39" s="1527"/>
      <c r="N39" s="1527"/>
      <c r="O39" s="1527"/>
      <c r="P39" s="1527"/>
      <c r="Q39" s="1527"/>
      <c r="R39" s="1527"/>
      <c r="S39" s="1527"/>
      <c r="T39" s="1527"/>
      <c r="U39" s="1527"/>
      <c r="V39" s="1527"/>
      <c r="W39" s="1527"/>
      <c r="X39" s="1526" t="s">
        <v>82</v>
      </c>
      <c r="Y39" s="1526"/>
      <c r="Z39" s="1526"/>
      <c r="AA39" s="1526"/>
      <c r="AB39" s="1526"/>
      <c r="AC39" s="1526"/>
      <c r="AD39" s="1526"/>
      <c r="AE39" s="1518" t="str">
        <f>AE4</f>
        <v/>
      </c>
      <c r="AF39" s="1518"/>
      <c r="AG39" s="1518"/>
      <c r="AH39" s="1518"/>
      <c r="AI39" s="1516" t="s">
        <v>16</v>
      </c>
      <c r="AJ39" s="1516"/>
      <c r="AK39" s="1518" t="str">
        <f>AK4</f>
        <v/>
      </c>
      <c r="AL39" s="1518"/>
      <c r="AM39" s="1516" t="s">
        <v>15</v>
      </c>
      <c r="AN39" s="1516"/>
      <c r="AO39" s="1518" t="str">
        <f>AO4</f>
        <v/>
      </c>
      <c r="AP39" s="1518"/>
      <c r="AQ39" s="1516" t="s">
        <v>14</v>
      </c>
      <c r="AR39" s="1516"/>
      <c r="AS39" s="1516" t="s">
        <v>38</v>
      </c>
      <c r="AT39" s="1516"/>
      <c r="AU39" s="1518" t="str">
        <f>AU4</f>
        <v/>
      </c>
      <c r="AV39" s="1518"/>
      <c r="AW39" s="1516" t="s">
        <v>37</v>
      </c>
      <c r="AX39" s="1516"/>
      <c r="AY39" s="1516" t="s">
        <v>35</v>
      </c>
      <c r="AZ39" s="1516"/>
      <c r="BA39" s="1518" t="str">
        <f>BA4</f>
        <v/>
      </c>
      <c r="BB39" s="1518"/>
      <c r="BC39" s="1516" t="s">
        <v>15</v>
      </c>
      <c r="BD39" s="1516"/>
      <c r="BE39" s="1518" t="str">
        <f>BE4</f>
        <v/>
      </c>
      <c r="BF39" s="1518"/>
      <c r="BG39" s="1516" t="s">
        <v>14</v>
      </c>
      <c r="BH39" s="1516"/>
      <c r="BI39" s="1516" t="s">
        <v>38</v>
      </c>
      <c r="BJ39" s="1516"/>
      <c r="BK39" s="1518" t="str">
        <f>BK4</f>
        <v/>
      </c>
      <c r="BL39" s="1518"/>
      <c r="BM39" s="1516" t="s">
        <v>37</v>
      </c>
      <c r="BN39" s="1516"/>
      <c r="BO39" s="1516"/>
      <c r="BP39" s="1520"/>
      <c r="BQ39" s="1516"/>
      <c r="BR39" s="1516"/>
      <c r="BS39" s="1524" t="str">
        <f>BS4</f>
        <v/>
      </c>
      <c r="BT39" s="1524"/>
      <c r="BU39" s="1516" t="s">
        <v>46</v>
      </c>
      <c r="BV39" s="1516"/>
      <c r="BW39" s="1524" t="str">
        <f>BW4</f>
        <v/>
      </c>
      <c r="BX39" s="1524"/>
      <c r="BY39" s="1516" t="s">
        <v>14</v>
      </c>
      <c r="BZ39" s="1516"/>
      <c r="CA39" s="294"/>
    </row>
    <row r="40" spans="1:87" s="961" customFormat="1" ht="12" customHeight="1">
      <c r="A40" s="1162"/>
      <c r="B40" s="1162"/>
      <c r="C40" s="1162"/>
      <c r="D40" s="1162"/>
      <c r="E40" s="1162"/>
      <c r="F40" s="1162"/>
      <c r="G40" s="1162"/>
      <c r="H40" s="1528"/>
      <c r="I40" s="1528"/>
      <c r="J40" s="1528"/>
      <c r="K40" s="1528"/>
      <c r="L40" s="1528"/>
      <c r="M40" s="1528"/>
      <c r="N40" s="1528"/>
      <c r="O40" s="1528"/>
      <c r="P40" s="1528"/>
      <c r="Q40" s="1528"/>
      <c r="R40" s="1528"/>
      <c r="S40" s="1528"/>
      <c r="T40" s="1528"/>
      <c r="U40" s="1528"/>
      <c r="V40" s="1528"/>
      <c r="W40" s="1528"/>
      <c r="X40" s="1162"/>
      <c r="Y40" s="1162"/>
      <c r="Z40" s="1162"/>
      <c r="AA40" s="1162"/>
      <c r="AB40" s="1162"/>
      <c r="AC40" s="1162"/>
      <c r="AD40" s="1162"/>
      <c r="AE40" s="1519"/>
      <c r="AF40" s="1519"/>
      <c r="AG40" s="1519"/>
      <c r="AH40" s="1519"/>
      <c r="AI40" s="1517"/>
      <c r="AJ40" s="1517"/>
      <c r="AK40" s="1519"/>
      <c r="AL40" s="1519"/>
      <c r="AM40" s="1517"/>
      <c r="AN40" s="1517"/>
      <c r="AO40" s="1519"/>
      <c r="AP40" s="1519"/>
      <c r="AQ40" s="1517"/>
      <c r="AR40" s="1517"/>
      <c r="AS40" s="1517"/>
      <c r="AT40" s="1517"/>
      <c r="AU40" s="1519"/>
      <c r="AV40" s="1519"/>
      <c r="AW40" s="1517"/>
      <c r="AX40" s="1517"/>
      <c r="AY40" s="1517"/>
      <c r="AZ40" s="1517"/>
      <c r="BA40" s="1519"/>
      <c r="BB40" s="1519"/>
      <c r="BC40" s="1517"/>
      <c r="BD40" s="1517"/>
      <c r="BE40" s="1519"/>
      <c r="BF40" s="1519"/>
      <c r="BG40" s="1517"/>
      <c r="BH40" s="1517"/>
      <c r="BI40" s="1517"/>
      <c r="BJ40" s="1517"/>
      <c r="BK40" s="1519"/>
      <c r="BL40" s="1519"/>
      <c r="BM40" s="1517"/>
      <c r="BN40" s="1517"/>
      <c r="BO40" s="1291"/>
      <c r="BP40" s="1291"/>
      <c r="BQ40" s="1517"/>
      <c r="BR40" s="1517"/>
      <c r="BS40" s="1517" t="s">
        <v>47</v>
      </c>
      <c r="BT40" s="1517"/>
      <c r="BU40" s="1517"/>
      <c r="BV40" s="1517"/>
      <c r="BW40" s="1529" t="str">
        <f>BW5</f>
        <v/>
      </c>
      <c r="BX40" s="1529"/>
      <c r="BY40" s="1517" t="s">
        <v>14</v>
      </c>
      <c r="BZ40" s="1517"/>
      <c r="CA40" s="294"/>
    </row>
    <row r="41" spans="1:87" s="961" customFormat="1" ht="12" customHeight="1">
      <c r="A41" s="965"/>
      <c r="B41" s="965"/>
      <c r="C41" s="965"/>
      <c r="D41" s="965"/>
      <c r="E41" s="965"/>
      <c r="F41" s="965"/>
      <c r="G41" s="965"/>
      <c r="H41" s="966"/>
      <c r="I41" s="966"/>
      <c r="J41" s="966"/>
      <c r="K41" s="966"/>
      <c r="L41" s="966"/>
      <c r="M41" s="966"/>
      <c r="N41" s="966"/>
      <c r="O41" s="966"/>
      <c r="P41" s="966"/>
      <c r="Q41" s="966"/>
      <c r="R41" s="966"/>
      <c r="S41" s="966"/>
      <c r="T41" s="966"/>
      <c r="U41" s="966"/>
      <c r="V41" s="966"/>
      <c r="W41" s="966"/>
      <c r="X41" s="965"/>
      <c r="Y41" s="965"/>
      <c r="Z41" s="965"/>
      <c r="AA41" s="965"/>
      <c r="AB41" s="965"/>
      <c r="AC41" s="965"/>
      <c r="AD41" s="965"/>
      <c r="AE41" s="963"/>
      <c r="AF41" s="963"/>
      <c r="AG41" s="962"/>
      <c r="AH41" s="648"/>
      <c r="AI41" s="967"/>
      <c r="AJ41" s="963"/>
      <c r="AK41" s="962"/>
      <c r="AL41" s="962"/>
      <c r="AM41" s="963"/>
      <c r="AN41" s="963"/>
      <c r="AO41" s="962"/>
      <c r="AP41" s="962"/>
      <c r="AQ41" s="963"/>
      <c r="AR41" s="963"/>
      <c r="AS41" s="963"/>
      <c r="AT41" s="963"/>
      <c r="AU41" s="962"/>
      <c r="AV41" s="962"/>
      <c r="AW41" s="963"/>
      <c r="AX41" s="963"/>
      <c r="AY41" s="963"/>
      <c r="AZ41" s="963"/>
      <c r="BA41" s="962"/>
      <c r="BB41" s="962"/>
      <c r="BC41" s="963"/>
      <c r="BD41" s="963"/>
      <c r="BE41" s="962"/>
      <c r="BF41" s="962"/>
      <c r="BG41" s="963"/>
      <c r="BH41" s="963"/>
      <c r="BI41" s="963"/>
      <c r="BJ41" s="963"/>
      <c r="BK41" s="962"/>
      <c r="BL41" s="962"/>
      <c r="BM41" s="963"/>
      <c r="BN41" s="963"/>
      <c r="BO41" s="964"/>
      <c r="BP41" s="964"/>
      <c r="BQ41" s="963"/>
      <c r="BR41" s="963"/>
      <c r="BS41" s="963"/>
      <c r="BT41" s="963"/>
      <c r="BU41" s="963"/>
      <c r="BV41" s="963"/>
      <c r="BW41" s="649"/>
      <c r="BX41" s="649"/>
      <c r="BY41" s="963"/>
      <c r="BZ41" s="963"/>
      <c r="CA41" s="294"/>
    </row>
    <row r="42" spans="1:87" ht="10.5" customHeight="1">
      <c r="A42" s="650"/>
      <c r="B42" s="650"/>
      <c r="C42" s="650"/>
      <c r="D42" s="650"/>
      <c r="E42" s="650"/>
      <c r="F42" s="650"/>
      <c r="G42" s="651"/>
      <c r="H42" s="650"/>
      <c r="I42" s="650"/>
      <c r="J42" s="650"/>
      <c r="K42" s="650"/>
      <c r="L42" s="650"/>
      <c r="M42" s="1505">
        <v>0.28125</v>
      </c>
      <c r="N42" s="1506"/>
      <c r="O42" s="1506"/>
      <c r="P42" s="1506"/>
      <c r="Q42" s="1507" t="s">
        <v>1901</v>
      </c>
      <c r="R42" s="1507"/>
      <c r="S42" s="1507"/>
      <c r="T42" s="1505">
        <v>0.36458333333333331</v>
      </c>
      <c r="U42" s="1506"/>
      <c r="V42" s="1506"/>
      <c r="W42" s="1506"/>
      <c r="X42" s="650"/>
      <c r="Y42" s="650"/>
      <c r="Z42" s="650"/>
      <c r="AA42" s="652"/>
      <c r="AB42" s="652"/>
      <c r="AC42" s="652"/>
      <c r="AD42" s="652"/>
      <c r="AE42" s="652"/>
      <c r="AF42" s="1505">
        <v>0.47916666666666669</v>
      </c>
      <c r="AG42" s="1506"/>
      <c r="AH42" s="1506"/>
      <c r="AI42" s="1506"/>
      <c r="AJ42" s="1507" t="s">
        <v>1901</v>
      </c>
      <c r="AK42" s="1507"/>
      <c r="AL42" s="1507"/>
      <c r="AM42" s="1505">
        <v>6.25E-2</v>
      </c>
      <c r="AN42" s="1506"/>
      <c r="AO42" s="1506"/>
      <c r="AP42" s="1506"/>
      <c r="AQ42" s="652"/>
      <c r="AR42" s="652"/>
      <c r="AS42" s="652"/>
      <c r="AT42" s="652"/>
      <c r="AU42" s="652"/>
      <c r="AV42" s="652"/>
      <c r="AW42" s="652"/>
      <c r="AX42" s="652"/>
      <c r="AY42" s="652"/>
      <c r="AZ42" s="652"/>
      <c r="BA42" s="1505">
        <v>0.20833333333333334</v>
      </c>
      <c r="BB42" s="1506"/>
      <c r="BC42" s="1506"/>
      <c r="BD42" s="1506"/>
      <c r="BE42" s="1507" t="s">
        <v>1901</v>
      </c>
      <c r="BF42" s="1507"/>
      <c r="BG42" s="1507"/>
      <c r="BH42" s="1507"/>
      <c r="BI42" s="1505">
        <v>0.29166666666666669</v>
      </c>
      <c r="BJ42" s="1506"/>
      <c r="BK42" s="1506"/>
      <c r="BL42" s="1506"/>
      <c r="BM42" s="652"/>
      <c r="BN42" s="652"/>
      <c r="BO42" s="652"/>
      <c r="BP42" s="652"/>
      <c r="BQ42" s="652"/>
      <c r="BR42" s="652"/>
      <c r="BS42" s="652"/>
      <c r="BT42" s="652"/>
      <c r="BU42" s="652"/>
      <c r="BV42" s="652"/>
      <c r="BW42" s="652"/>
      <c r="BX42" s="652"/>
      <c r="BY42" s="652"/>
      <c r="BZ42" s="652"/>
      <c r="CA42" s="652"/>
    </row>
    <row r="43" spans="1:87" ht="10.5" customHeight="1">
      <c r="A43" s="650"/>
      <c r="B43" s="650"/>
      <c r="C43" s="650"/>
      <c r="D43" s="650"/>
      <c r="E43" s="650"/>
      <c r="F43" s="650"/>
      <c r="G43" s="651"/>
      <c r="H43" s="650"/>
      <c r="I43" s="650"/>
      <c r="J43" s="650"/>
      <c r="K43" s="650"/>
      <c r="L43" s="650"/>
      <c r="M43" s="650"/>
      <c r="N43" s="650"/>
      <c r="O43" s="1491" t="s">
        <v>1837</v>
      </c>
      <c r="P43" s="1492"/>
      <c r="Q43" s="1492"/>
      <c r="R43" s="1492"/>
      <c r="S43" s="1492"/>
      <c r="T43" s="1493"/>
      <c r="U43" s="651"/>
      <c r="V43" s="651"/>
      <c r="W43" s="651"/>
      <c r="X43" s="651"/>
      <c r="Y43" s="651"/>
      <c r="Z43" s="651"/>
      <c r="AA43" s="654"/>
      <c r="AB43" s="654"/>
      <c r="AC43" s="654"/>
      <c r="AD43" s="654"/>
      <c r="AE43" s="654"/>
      <c r="AF43" s="654"/>
      <c r="AG43" s="654"/>
      <c r="AH43" s="1491" t="s">
        <v>1837</v>
      </c>
      <c r="AI43" s="1494"/>
      <c r="AJ43" s="1494"/>
      <c r="AK43" s="1494"/>
      <c r="AL43" s="1494"/>
      <c r="AM43" s="1494"/>
      <c r="AN43" s="1495"/>
      <c r="AO43" s="654"/>
      <c r="AP43" s="654"/>
      <c r="AQ43" s="654"/>
      <c r="AR43" s="654"/>
      <c r="AS43" s="654"/>
      <c r="AT43" s="654"/>
      <c r="AU43" s="654"/>
      <c r="AV43" s="654"/>
      <c r="AW43" s="654"/>
      <c r="AX43" s="654"/>
      <c r="AY43" s="654"/>
      <c r="AZ43" s="654"/>
      <c r="BA43" s="654"/>
      <c r="BB43" s="654"/>
      <c r="BC43" s="1496" t="s">
        <v>1837</v>
      </c>
      <c r="BD43" s="1494"/>
      <c r="BE43" s="1494"/>
      <c r="BF43" s="1494"/>
      <c r="BG43" s="1494"/>
      <c r="BH43" s="1494"/>
      <c r="BI43" s="1494"/>
      <c r="BJ43" s="1495"/>
      <c r="BK43" s="654"/>
      <c r="BL43" s="654"/>
      <c r="BM43" s="654"/>
      <c r="BN43" s="654"/>
      <c r="BO43" s="654"/>
      <c r="BP43" s="654"/>
      <c r="BQ43" s="654"/>
      <c r="BR43" s="654"/>
      <c r="BS43" s="654"/>
      <c r="BT43" s="654"/>
      <c r="BU43" s="654"/>
      <c r="BV43" s="654"/>
      <c r="BW43" s="654"/>
      <c r="BX43" s="654"/>
      <c r="BY43" s="654"/>
      <c r="BZ43" s="654"/>
      <c r="CA43" s="652"/>
    </row>
    <row r="44" spans="1:87" ht="10.5" customHeight="1">
      <c r="A44" s="1497" t="s">
        <v>80</v>
      </c>
      <c r="B44" s="1497"/>
      <c r="C44" s="1497"/>
      <c r="D44" s="1497" t="s">
        <v>79</v>
      </c>
      <c r="E44" s="1497"/>
      <c r="F44" s="1497"/>
      <c r="G44" s="651"/>
      <c r="H44" s="650"/>
      <c r="I44" s="650"/>
      <c r="J44" s="650"/>
      <c r="K44" s="650"/>
      <c r="L44" s="650"/>
      <c r="M44" s="650"/>
      <c r="N44" s="650"/>
      <c r="O44" s="651"/>
      <c r="P44" s="651"/>
      <c r="Q44" s="651"/>
      <c r="R44" s="651"/>
      <c r="S44" s="651"/>
      <c r="T44" s="651"/>
      <c r="U44" s="651"/>
      <c r="V44" s="651"/>
      <c r="W44" s="651"/>
      <c r="X44" s="651"/>
      <c r="Y44" s="651"/>
      <c r="Z44" s="651"/>
      <c r="AA44" s="654"/>
      <c r="AB44" s="654"/>
      <c r="AC44" s="654"/>
      <c r="AD44" s="654"/>
      <c r="AE44" s="654"/>
      <c r="AF44" s="654"/>
      <c r="AG44" s="654"/>
      <c r="AH44" s="655"/>
      <c r="AI44" s="1533" t="s">
        <v>1404</v>
      </c>
      <c r="AJ44" s="1533"/>
      <c r="AK44" s="1533"/>
      <c r="AL44" s="1533"/>
      <c r="AM44" s="1533"/>
      <c r="AN44" s="1533"/>
      <c r="AO44" s="1533"/>
      <c r="AP44" s="1533"/>
      <c r="AQ44" s="1533"/>
      <c r="AR44" s="1533"/>
      <c r="AS44" s="1533"/>
      <c r="AT44" s="1533"/>
      <c r="AU44" s="1533"/>
      <c r="AV44" s="1533"/>
      <c r="AW44" s="1533"/>
      <c r="AX44" s="1533"/>
      <c r="AY44" s="1530" t="s">
        <v>1405</v>
      </c>
      <c r="AZ44" s="1531"/>
      <c r="BA44" s="1531"/>
      <c r="BB44" s="1531"/>
      <c r="BC44" s="1531"/>
      <c r="BD44" s="1531"/>
      <c r="BE44" s="1531"/>
      <c r="BF44" s="1531"/>
      <c r="BG44" s="1531"/>
      <c r="BH44" s="1531"/>
      <c r="BI44" s="1531"/>
      <c r="BJ44" s="1531"/>
      <c r="BK44" s="1531"/>
      <c r="BL44" s="1531"/>
      <c r="BM44" s="1531"/>
      <c r="BN44" s="1531"/>
      <c r="BO44" s="1531"/>
      <c r="BP44" s="1531"/>
      <c r="BQ44" s="1531"/>
      <c r="BR44" s="1531"/>
      <c r="BS44" s="1531"/>
      <c r="BT44" s="1532"/>
      <c r="BU44" s="1521" t="s">
        <v>76</v>
      </c>
      <c r="BV44" s="1522"/>
      <c r="BW44" s="1522"/>
      <c r="BX44" s="1522"/>
      <c r="BY44" s="1522"/>
      <c r="BZ44" s="1523"/>
      <c r="CA44" s="652"/>
    </row>
    <row r="45" spans="1:87" ht="10.5" customHeight="1">
      <c r="A45" s="1497"/>
      <c r="B45" s="1497"/>
      <c r="C45" s="1497"/>
      <c r="D45" s="1497"/>
      <c r="E45" s="1497"/>
      <c r="F45" s="1497"/>
      <c r="G45" s="1461"/>
      <c r="H45" s="1461"/>
      <c r="I45" s="1391">
        <v>0.25</v>
      </c>
      <c r="J45" s="1391"/>
      <c r="K45" s="1391"/>
      <c r="L45" s="1391"/>
      <c r="M45" s="1391">
        <v>0.29166666666666669</v>
      </c>
      <c r="N45" s="1391"/>
      <c r="O45" s="1391"/>
      <c r="P45" s="1391"/>
      <c r="Q45" s="1391">
        <v>0.33333333333333331</v>
      </c>
      <c r="R45" s="1391"/>
      <c r="S45" s="1391"/>
      <c r="T45" s="1391"/>
      <c r="U45" s="1391">
        <v>0.375</v>
      </c>
      <c r="V45" s="1391"/>
      <c r="W45" s="1391"/>
      <c r="X45" s="1391"/>
      <c r="Y45" s="1391">
        <v>0.41666666666666669</v>
      </c>
      <c r="Z45" s="1418"/>
      <c r="AA45" s="1391"/>
      <c r="AB45" s="1391"/>
      <c r="AC45" s="1391">
        <v>0.45833333333333331</v>
      </c>
      <c r="AD45" s="1391"/>
      <c r="AE45" s="1391"/>
      <c r="AF45" s="1391"/>
      <c r="AG45" s="1385">
        <v>0.5</v>
      </c>
      <c r="AH45" s="1385"/>
      <c r="AI45" s="1385"/>
      <c r="AJ45" s="1385"/>
      <c r="AK45" s="1385">
        <v>4.1666666666666664E-2</v>
      </c>
      <c r="AL45" s="1385"/>
      <c r="AM45" s="1385"/>
      <c r="AN45" s="1385"/>
      <c r="AO45" s="1385">
        <v>8.3333333333333329E-2</v>
      </c>
      <c r="AP45" s="1385"/>
      <c r="AQ45" s="1385"/>
      <c r="AR45" s="1385"/>
      <c r="AS45" s="1385">
        <v>0.125</v>
      </c>
      <c r="AT45" s="1385"/>
      <c r="AU45" s="1385"/>
      <c r="AV45" s="1385"/>
      <c r="AW45" s="1385">
        <v>0.16666666666666666</v>
      </c>
      <c r="AX45" s="1385"/>
      <c r="AY45" s="1385"/>
      <c r="AZ45" s="1385"/>
      <c r="BA45" s="1385">
        <v>0.20833333333333334</v>
      </c>
      <c r="BB45" s="1385"/>
      <c r="BC45" s="1385"/>
      <c r="BD45" s="1385"/>
      <c r="BE45" s="1385">
        <v>0.25</v>
      </c>
      <c r="BF45" s="1385"/>
      <c r="BG45" s="1385"/>
      <c r="BH45" s="1385"/>
      <c r="BI45" s="1385">
        <v>0.29166666666666669</v>
      </c>
      <c r="BJ45" s="1385"/>
      <c r="BK45" s="1385"/>
      <c r="BL45" s="1385"/>
      <c r="BM45" s="1385">
        <v>0.33333333333333331</v>
      </c>
      <c r="BN45" s="1385"/>
      <c r="BO45" s="1385"/>
      <c r="BP45" s="1385"/>
      <c r="BQ45" s="1385">
        <v>0.375</v>
      </c>
      <c r="BR45" s="1385"/>
      <c r="BS45" s="1385"/>
      <c r="BT45" s="1385"/>
      <c r="BU45" s="1385">
        <v>0.41666666666666669</v>
      </c>
      <c r="BV45" s="1414"/>
      <c r="BW45" s="1414"/>
      <c r="BX45" s="1414"/>
      <c r="BY45" s="1385"/>
      <c r="BZ45" s="1385"/>
      <c r="CA45" s="656"/>
      <c r="CB45" s="657"/>
      <c r="CC45" s="657"/>
      <c r="CD45" s="657"/>
      <c r="CE45" s="657"/>
      <c r="CF45" s="657"/>
      <c r="CG45" s="657"/>
      <c r="CH45" s="657"/>
      <c r="CI45" s="657"/>
    </row>
    <row r="46" spans="1:87" ht="20.25" customHeight="1">
      <c r="A46" s="1392" t="str">
        <f>AK39</f>
        <v/>
      </c>
      <c r="B46" s="1393"/>
      <c r="C46" s="1394"/>
      <c r="D46" s="1390" t="s">
        <v>78</v>
      </c>
      <c r="E46" s="1390"/>
      <c r="F46" s="1390"/>
      <c r="G46" s="1395" t="s">
        <v>3026</v>
      </c>
      <c r="H46" s="1396"/>
      <c r="I46" s="1396"/>
      <c r="J46" s="1396"/>
      <c r="K46" s="1396"/>
      <c r="L46" s="1396"/>
      <c r="M46" s="1396"/>
      <c r="N46" s="1396"/>
      <c r="O46" s="1396"/>
      <c r="P46" s="1396"/>
      <c r="Q46" s="1396"/>
      <c r="R46" s="1396"/>
      <c r="S46" s="1396"/>
      <c r="T46" s="1396"/>
      <c r="U46" s="1396"/>
      <c r="V46" s="1397"/>
      <c r="W46" s="658"/>
      <c r="X46" s="658"/>
      <c r="Y46" s="658"/>
      <c r="Z46" s="658"/>
      <c r="AA46" s="953"/>
      <c r="AB46" s="954"/>
      <c r="AC46" s="954"/>
      <c r="AD46" s="954"/>
      <c r="AE46" s="661"/>
      <c r="AF46" s="662"/>
      <c r="AG46" s="663"/>
      <c r="AH46" s="664"/>
      <c r="AI46" s="663"/>
      <c r="AJ46" s="663"/>
      <c r="AK46" s="663"/>
      <c r="AL46" s="664"/>
      <c r="AM46" s="663"/>
      <c r="AN46" s="663"/>
      <c r="AO46" s="663"/>
      <c r="AP46" s="663"/>
      <c r="AQ46" s="665"/>
      <c r="AR46" s="663"/>
      <c r="AS46" s="956"/>
      <c r="AT46" s="956"/>
      <c r="AU46" s="661"/>
      <c r="AV46" s="663"/>
      <c r="AW46" s="663"/>
      <c r="AX46" s="663"/>
      <c r="AY46" s="665"/>
      <c r="AZ46" s="663"/>
      <c r="BA46" s="663"/>
      <c r="BB46" s="663"/>
      <c r="BC46" s="1405" t="s">
        <v>3036</v>
      </c>
      <c r="BD46" s="1406"/>
      <c r="BE46" s="1406"/>
      <c r="BF46" s="1407"/>
      <c r="BG46" s="1437" t="s">
        <v>3016</v>
      </c>
      <c r="BH46" s="1513"/>
      <c r="BI46" s="1513"/>
      <c r="BJ46" s="1438"/>
      <c r="BK46" s="1405" t="s">
        <v>3014</v>
      </c>
      <c r="BL46" s="1406"/>
      <c r="BM46" s="1406"/>
      <c r="BN46" s="1407"/>
      <c r="BO46" s="665"/>
      <c r="BP46" s="663"/>
      <c r="BQ46" s="956"/>
      <c r="BR46" s="956"/>
      <c r="BS46" s="665"/>
      <c r="BT46" s="663"/>
      <c r="BU46" s="956"/>
      <c r="BV46" s="956"/>
      <c r="BW46" s="956"/>
      <c r="BX46" s="956"/>
      <c r="BY46" s="956"/>
      <c r="BZ46" s="957"/>
      <c r="CA46" s="668"/>
      <c r="CB46" s="657"/>
      <c r="CC46" s="657"/>
      <c r="CD46" s="657"/>
      <c r="CE46" s="657"/>
      <c r="CF46" s="657"/>
      <c r="CG46" s="657"/>
      <c r="CH46" s="657"/>
      <c r="CI46" s="657"/>
    </row>
    <row r="47" spans="1:87" ht="20.25" customHeight="1">
      <c r="A47" s="1386"/>
      <c r="B47" s="1387"/>
      <c r="C47" s="1388"/>
      <c r="D47" s="1390"/>
      <c r="E47" s="1390"/>
      <c r="F47" s="1390"/>
      <c r="G47" s="1398"/>
      <c r="H47" s="1399"/>
      <c r="I47" s="1399"/>
      <c r="J47" s="1399"/>
      <c r="K47" s="1399"/>
      <c r="L47" s="1399"/>
      <c r="M47" s="1399"/>
      <c r="N47" s="1399"/>
      <c r="O47" s="1399"/>
      <c r="P47" s="1399"/>
      <c r="Q47" s="1399"/>
      <c r="R47" s="1399"/>
      <c r="S47" s="1399"/>
      <c r="T47" s="1399"/>
      <c r="U47" s="1399"/>
      <c r="V47" s="1400"/>
      <c r="W47" s="669"/>
      <c r="X47" s="669"/>
      <c r="Y47" s="669"/>
      <c r="Z47" s="669"/>
      <c r="AA47" s="956"/>
      <c r="AB47" s="956"/>
      <c r="AC47" s="956"/>
      <c r="AD47" s="670"/>
      <c r="AE47" s="663"/>
      <c r="AF47" s="663"/>
      <c r="AG47" s="663"/>
      <c r="AH47" s="671"/>
      <c r="AI47" s="663"/>
      <c r="AJ47" s="663"/>
      <c r="AK47" s="663"/>
      <c r="AL47" s="671"/>
      <c r="AM47" s="663"/>
      <c r="AN47" s="663"/>
      <c r="AO47" s="663"/>
      <c r="AP47" s="671"/>
      <c r="AQ47" s="663"/>
      <c r="AR47" s="663"/>
      <c r="AS47" s="956"/>
      <c r="AT47" s="670"/>
      <c r="AU47" s="663"/>
      <c r="AV47" s="663"/>
      <c r="AW47" s="663"/>
      <c r="AX47" s="671"/>
      <c r="AY47" s="663"/>
      <c r="AZ47" s="663"/>
      <c r="BA47" s="663"/>
      <c r="BB47" s="671"/>
      <c r="BC47" s="1408"/>
      <c r="BD47" s="1409"/>
      <c r="BE47" s="1409"/>
      <c r="BF47" s="1410"/>
      <c r="BG47" s="1439"/>
      <c r="BH47" s="1514"/>
      <c r="BI47" s="1514"/>
      <c r="BJ47" s="1440"/>
      <c r="BK47" s="1408"/>
      <c r="BL47" s="1409"/>
      <c r="BM47" s="1409"/>
      <c r="BN47" s="1410"/>
      <c r="BO47" s="663"/>
      <c r="BP47" s="663"/>
      <c r="BQ47" s="956"/>
      <c r="BR47" s="670"/>
      <c r="BS47" s="663"/>
      <c r="BT47" s="663"/>
      <c r="BU47" s="956"/>
      <c r="BV47" s="670"/>
      <c r="BW47" s="956"/>
      <c r="BX47" s="956"/>
      <c r="BY47" s="956"/>
      <c r="BZ47" s="957"/>
      <c r="CA47" s="672"/>
      <c r="CB47" s="657"/>
      <c r="CC47" s="657"/>
      <c r="CD47" s="657"/>
      <c r="CE47" s="657"/>
      <c r="CF47" s="657"/>
      <c r="CG47" s="657"/>
      <c r="CH47" s="657"/>
      <c r="CI47" s="657"/>
    </row>
    <row r="48" spans="1:87" ht="20.25" customHeight="1">
      <c r="A48" s="1386" t="s">
        <v>3132</v>
      </c>
      <c r="B48" s="1387"/>
      <c r="C48" s="1388"/>
      <c r="D48" s="1390"/>
      <c r="E48" s="1390"/>
      <c r="F48" s="1390"/>
      <c r="G48" s="1398"/>
      <c r="H48" s="1399"/>
      <c r="I48" s="1399"/>
      <c r="J48" s="1399"/>
      <c r="K48" s="1399"/>
      <c r="L48" s="1399"/>
      <c r="M48" s="1399"/>
      <c r="N48" s="1399"/>
      <c r="O48" s="1399"/>
      <c r="P48" s="1399"/>
      <c r="Q48" s="1399"/>
      <c r="R48" s="1399"/>
      <c r="S48" s="1399"/>
      <c r="T48" s="1399"/>
      <c r="U48" s="1399"/>
      <c r="V48" s="1400"/>
      <c r="W48" s="669"/>
      <c r="X48" s="669"/>
      <c r="Y48" s="669"/>
      <c r="Z48" s="669"/>
      <c r="AA48" s="956"/>
      <c r="AB48" s="956"/>
      <c r="AC48" s="956"/>
      <c r="AD48" s="670"/>
      <c r="AE48" s="663"/>
      <c r="AF48" s="663"/>
      <c r="AG48" s="663"/>
      <c r="AH48" s="671"/>
      <c r="AI48" s="663"/>
      <c r="AJ48" s="663"/>
      <c r="AK48" s="663"/>
      <c r="AL48" s="671"/>
      <c r="AM48" s="663"/>
      <c r="AN48" s="663"/>
      <c r="AO48" s="663"/>
      <c r="AP48" s="671"/>
      <c r="AQ48" s="663"/>
      <c r="AR48" s="663"/>
      <c r="AS48" s="956"/>
      <c r="AT48" s="670"/>
      <c r="AU48" s="663"/>
      <c r="AV48" s="663"/>
      <c r="AW48" s="663"/>
      <c r="AX48" s="671"/>
      <c r="AY48" s="663"/>
      <c r="AZ48" s="663"/>
      <c r="BA48" s="663"/>
      <c r="BB48" s="671"/>
      <c r="BC48" s="1408"/>
      <c r="BD48" s="1409"/>
      <c r="BE48" s="1409"/>
      <c r="BF48" s="1410"/>
      <c r="BG48" s="1439"/>
      <c r="BH48" s="1514"/>
      <c r="BI48" s="1514"/>
      <c r="BJ48" s="1440"/>
      <c r="BK48" s="1408"/>
      <c r="BL48" s="1409"/>
      <c r="BM48" s="1409"/>
      <c r="BN48" s="1410"/>
      <c r="BO48" s="663"/>
      <c r="BP48" s="663"/>
      <c r="BQ48" s="956"/>
      <c r="BR48" s="670"/>
      <c r="BS48" s="663"/>
      <c r="BT48" s="663"/>
      <c r="BU48" s="956"/>
      <c r="BV48" s="670"/>
      <c r="BW48" s="956"/>
      <c r="BX48" s="956"/>
      <c r="BY48" s="956"/>
      <c r="BZ48" s="957"/>
      <c r="CA48" s="668"/>
      <c r="CB48" s="657"/>
      <c r="CC48" s="657"/>
      <c r="CD48" s="657"/>
      <c r="CE48" s="657"/>
      <c r="CF48" s="657"/>
      <c r="CG48" s="657"/>
      <c r="CH48" s="657"/>
      <c r="CI48" s="657"/>
    </row>
    <row r="49" spans="1:87" ht="20.25" customHeight="1">
      <c r="A49" s="1386"/>
      <c r="B49" s="1387"/>
      <c r="C49" s="1388"/>
      <c r="D49" s="1390"/>
      <c r="E49" s="1390"/>
      <c r="F49" s="1390"/>
      <c r="G49" s="1398"/>
      <c r="H49" s="1399"/>
      <c r="I49" s="1399"/>
      <c r="J49" s="1399"/>
      <c r="K49" s="1399"/>
      <c r="L49" s="1399"/>
      <c r="M49" s="1399"/>
      <c r="N49" s="1399"/>
      <c r="O49" s="1399"/>
      <c r="P49" s="1399"/>
      <c r="Q49" s="1399"/>
      <c r="R49" s="1399"/>
      <c r="S49" s="1399"/>
      <c r="T49" s="1399"/>
      <c r="U49" s="1399"/>
      <c r="V49" s="1400"/>
      <c r="W49" s="673"/>
      <c r="X49" s="673"/>
      <c r="Y49" s="673"/>
      <c r="Z49" s="673"/>
      <c r="AA49" s="959"/>
      <c r="AB49" s="959"/>
      <c r="AC49" s="959"/>
      <c r="AD49" s="675"/>
      <c r="AE49" s="676"/>
      <c r="AF49" s="676"/>
      <c r="AG49" s="676"/>
      <c r="AH49" s="677"/>
      <c r="AI49" s="676"/>
      <c r="AJ49" s="676"/>
      <c r="AK49" s="676"/>
      <c r="AL49" s="677"/>
      <c r="AM49" s="676"/>
      <c r="AN49" s="676"/>
      <c r="AO49" s="676"/>
      <c r="AP49" s="677"/>
      <c r="AQ49" s="676"/>
      <c r="AR49" s="676"/>
      <c r="AS49" s="959"/>
      <c r="AT49" s="675"/>
      <c r="AU49" s="676"/>
      <c r="AV49" s="676"/>
      <c r="AW49" s="676"/>
      <c r="AX49" s="677"/>
      <c r="AY49" s="676"/>
      <c r="AZ49" s="676"/>
      <c r="BA49" s="676"/>
      <c r="BB49" s="677"/>
      <c r="BC49" s="1408"/>
      <c r="BD49" s="1409"/>
      <c r="BE49" s="1409"/>
      <c r="BF49" s="1410"/>
      <c r="BG49" s="1439"/>
      <c r="BH49" s="1514"/>
      <c r="BI49" s="1514"/>
      <c r="BJ49" s="1440"/>
      <c r="BK49" s="1408"/>
      <c r="BL49" s="1409"/>
      <c r="BM49" s="1409"/>
      <c r="BN49" s="1410"/>
      <c r="BO49" s="676"/>
      <c r="BP49" s="676"/>
      <c r="BQ49" s="959"/>
      <c r="BR49" s="675"/>
      <c r="BS49" s="676"/>
      <c r="BT49" s="676"/>
      <c r="BU49" s="959"/>
      <c r="BV49" s="675"/>
      <c r="BW49" s="959"/>
      <c r="BX49" s="959"/>
      <c r="BY49" s="959"/>
      <c r="BZ49" s="960"/>
      <c r="CA49" s="679"/>
      <c r="CB49" s="657"/>
      <c r="CC49" s="657"/>
      <c r="CD49" s="657"/>
      <c r="CE49" s="657"/>
      <c r="CF49" s="657"/>
      <c r="CG49" s="657"/>
      <c r="CH49" s="657"/>
      <c r="CI49" s="657"/>
    </row>
    <row r="50" spans="1:87" ht="20.25" customHeight="1">
      <c r="A50" s="1386" t="str">
        <f>AO39</f>
        <v/>
      </c>
      <c r="B50" s="1387"/>
      <c r="C50" s="1388"/>
      <c r="D50" s="1390" t="s">
        <v>77</v>
      </c>
      <c r="E50" s="1390"/>
      <c r="F50" s="1390"/>
      <c r="G50" s="1398"/>
      <c r="H50" s="1399"/>
      <c r="I50" s="1399"/>
      <c r="J50" s="1399"/>
      <c r="K50" s="1399"/>
      <c r="L50" s="1399"/>
      <c r="M50" s="1399"/>
      <c r="N50" s="1399"/>
      <c r="O50" s="1399"/>
      <c r="P50" s="1399"/>
      <c r="Q50" s="1399"/>
      <c r="R50" s="1399"/>
      <c r="S50" s="1399"/>
      <c r="T50" s="1399"/>
      <c r="U50" s="1399"/>
      <c r="V50" s="1400"/>
      <c r="W50" s="669"/>
      <c r="X50" s="669"/>
      <c r="Y50" s="669"/>
      <c r="Z50" s="669"/>
      <c r="AA50" s="680"/>
      <c r="AB50" s="680"/>
      <c r="AC50" s="680"/>
      <c r="AD50" s="681"/>
      <c r="AE50" s="682"/>
      <c r="AF50" s="662"/>
      <c r="AG50" s="662"/>
      <c r="AH50" s="683"/>
      <c r="AI50" s="662"/>
      <c r="AJ50" s="662"/>
      <c r="AK50" s="662"/>
      <c r="AL50" s="683"/>
      <c r="AM50" s="662"/>
      <c r="AN50" s="662"/>
      <c r="AO50" s="662"/>
      <c r="AP50" s="683"/>
      <c r="AQ50" s="662"/>
      <c r="AR50" s="662"/>
      <c r="AS50" s="680"/>
      <c r="AT50" s="681"/>
      <c r="AU50" s="680"/>
      <c r="AV50" s="680"/>
      <c r="AW50" s="680"/>
      <c r="AX50" s="681"/>
      <c r="AY50" s="680"/>
      <c r="AZ50" s="680"/>
      <c r="BA50" s="680"/>
      <c r="BB50" s="681"/>
      <c r="BC50" s="1408"/>
      <c r="BD50" s="1409"/>
      <c r="BE50" s="1409"/>
      <c r="BF50" s="1410"/>
      <c r="BG50" s="1439"/>
      <c r="BH50" s="1514"/>
      <c r="BI50" s="1514"/>
      <c r="BJ50" s="1440"/>
      <c r="BK50" s="1408"/>
      <c r="BL50" s="1409"/>
      <c r="BM50" s="1409"/>
      <c r="BN50" s="1410"/>
      <c r="BO50" s="662"/>
      <c r="BP50" s="662"/>
      <c r="BQ50" s="680"/>
      <c r="BR50" s="681"/>
      <c r="BS50" s="662"/>
      <c r="BT50" s="662"/>
      <c r="BU50" s="680"/>
      <c r="BV50" s="681"/>
      <c r="BW50" s="680"/>
      <c r="BX50" s="680"/>
      <c r="BY50" s="680"/>
      <c r="BZ50" s="684"/>
      <c r="CA50" s="668"/>
      <c r="CB50" s="657"/>
      <c r="CC50" s="657"/>
      <c r="CD50" s="657"/>
      <c r="CE50" s="657"/>
      <c r="CF50" s="657"/>
      <c r="CG50" s="657"/>
      <c r="CH50" s="657"/>
      <c r="CI50" s="657"/>
    </row>
    <row r="51" spans="1:87" ht="20.25" customHeight="1">
      <c r="A51" s="1386"/>
      <c r="B51" s="1387"/>
      <c r="C51" s="1388"/>
      <c r="D51" s="1390"/>
      <c r="E51" s="1390"/>
      <c r="F51" s="1390"/>
      <c r="G51" s="1398"/>
      <c r="H51" s="1399"/>
      <c r="I51" s="1399"/>
      <c r="J51" s="1399"/>
      <c r="K51" s="1399"/>
      <c r="L51" s="1399"/>
      <c r="M51" s="1399"/>
      <c r="N51" s="1399"/>
      <c r="O51" s="1399"/>
      <c r="P51" s="1399"/>
      <c r="Q51" s="1399"/>
      <c r="R51" s="1399"/>
      <c r="S51" s="1399"/>
      <c r="T51" s="1399"/>
      <c r="U51" s="1399"/>
      <c r="V51" s="1400"/>
      <c r="W51" s="669"/>
      <c r="X51" s="669"/>
      <c r="Y51" s="669"/>
      <c r="Z51" s="669"/>
      <c r="AA51" s="685"/>
      <c r="AB51" s="685"/>
      <c r="AC51" s="685"/>
      <c r="AD51" s="686"/>
      <c r="AE51" s="663"/>
      <c r="AF51" s="663"/>
      <c r="AG51" s="663"/>
      <c r="AH51" s="671"/>
      <c r="AI51" s="663"/>
      <c r="AJ51" s="663"/>
      <c r="AK51" s="663"/>
      <c r="AL51" s="671"/>
      <c r="AM51" s="663"/>
      <c r="AN51" s="663"/>
      <c r="AO51" s="663"/>
      <c r="AP51" s="671"/>
      <c r="AQ51" s="663"/>
      <c r="AR51" s="663"/>
      <c r="AS51" s="685"/>
      <c r="AT51" s="686"/>
      <c r="AU51" s="685"/>
      <c r="AV51" s="685"/>
      <c r="AW51" s="685"/>
      <c r="AX51" s="686"/>
      <c r="AY51" s="685"/>
      <c r="AZ51" s="685"/>
      <c r="BA51" s="685"/>
      <c r="BB51" s="686"/>
      <c r="BC51" s="1408"/>
      <c r="BD51" s="1409"/>
      <c r="BE51" s="1409"/>
      <c r="BF51" s="1410"/>
      <c r="BG51" s="1439"/>
      <c r="BH51" s="1514"/>
      <c r="BI51" s="1514"/>
      <c r="BJ51" s="1440"/>
      <c r="BK51" s="1408"/>
      <c r="BL51" s="1409"/>
      <c r="BM51" s="1409"/>
      <c r="BN51" s="1410"/>
      <c r="BO51" s="663"/>
      <c r="BP51" s="663"/>
      <c r="BQ51" s="685"/>
      <c r="BR51" s="686"/>
      <c r="BS51" s="663"/>
      <c r="BT51" s="663"/>
      <c r="BU51" s="685"/>
      <c r="BV51" s="686"/>
      <c r="BW51" s="956"/>
      <c r="BX51" s="956"/>
      <c r="BY51" s="956"/>
      <c r="BZ51" s="957"/>
      <c r="CA51" s="668"/>
      <c r="CB51" s="657"/>
      <c r="CC51" s="657"/>
      <c r="CD51" s="657"/>
      <c r="CE51" s="657"/>
      <c r="CF51" s="657"/>
      <c r="CG51" s="657"/>
      <c r="CH51" s="657"/>
      <c r="CI51" s="657"/>
    </row>
    <row r="52" spans="1:87" ht="20.25" customHeight="1">
      <c r="A52" s="1386" t="s">
        <v>492</v>
      </c>
      <c r="B52" s="1387"/>
      <c r="C52" s="1388"/>
      <c r="D52" s="1390"/>
      <c r="E52" s="1390"/>
      <c r="F52" s="1390"/>
      <c r="G52" s="1398"/>
      <c r="H52" s="1399"/>
      <c r="I52" s="1399"/>
      <c r="J52" s="1399"/>
      <c r="K52" s="1399"/>
      <c r="L52" s="1399"/>
      <c r="M52" s="1399"/>
      <c r="N52" s="1399"/>
      <c r="O52" s="1399"/>
      <c r="P52" s="1399"/>
      <c r="Q52" s="1399"/>
      <c r="R52" s="1399"/>
      <c r="S52" s="1399"/>
      <c r="T52" s="1399"/>
      <c r="U52" s="1399"/>
      <c r="V52" s="1400"/>
      <c r="W52" s="669"/>
      <c r="X52" s="669"/>
      <c r="Y52" s="669"/>
      <c r="Z52" s="669"/>
      <c r="AA52" s="685"/>
      <c r="AB52" s="685"/>
      <c r="AC52" s="685"/>
      <c r="AD52" s="686"/>
      <c r="AE52" s="663"/>
      <c r="AF52" s="663"/>
      <c r="AG52" s="663"/>
      <c r="AH52" s="671"/>
      <c r="AI52" s="663"/>
      <c r="AJ52" s="663"/>
      <c r="AK52" s="663"/>
      <c r="AL52" s="671"/>
      <c r="AM52" s="663"/>
      <c r="AN52" s="663"/>
      <c r="AO52" s="663"/>
      <c r="AP52" s="671"/>
      <c r="AQ52" s="663"/>
      <c r="AR52" s="663"/>
      <c r="AS52" s="685"/>
      <c r="AT52" s="686"/>
      <c r="AU52" s="685"/>
      <c r="AV52" s="685"/>
      <c r="AW52" s="685"/>
      <c r="AX52" s="686"/>
      <c r="AY52" s="685"/>
      <c r="AZ52" s="685"/>
      <c r="BA52" s="685"/>
      <c r="BB52" s="686"/>
      <c r="BC52" s="1408"/>
      <c r="BD52" s="1409"/>
      <c r="BE52" s="1409"/>
      <c r="BF52" s="1410"/>
      <c r="BG52" s="1439"/>
      <c r="BH52" s="1514"/>
      <c r="BI52" s="1514"/>
      <c r="BJ52" s="1440"/>
      <c r="BK52" s="1408"/>
      <c r="BL52" s="1409"/>
      <c r="BM52" s="1409"/>
      <c r="BN52" s="1410"/>
      <c r="BO52" s="663"/>
      <c r="BP52" s="663"/>
      <c r="BQ52" s="685"/>
      <c r="BR52" s="686"/>
      <c r="BS52" s="663"/>
      <c r="BT52" s="663"/>
      <c r="BU52" s="685"/>
      <c r="BV52" s="686"/>
      <c r="BW52" s="956"/>
      <c r="BX52" s="956"/>
      <c r="BY52" s="956"/>
      <c r="BZ52" s="957"/>
      <c r="CA52" s="668"/>
      <c r="CB52" s="657"/>
      <c r="CC52" s="657"/>
      <c r="CD52" s="657"/>
      <c r="CE52" s="657"/>
      <c r="CF52" s="657"/>
      <c r="CG52" s="657"/>
      <c r="CH52" s="657"/>
      <c r="CI52" s="657"/>
    </row>
    <row r="53" spans="1:87" ht="20.25" customHeight="1">
      <c r="A53" s="1419"/>
      <c r="B53" s="1420"/>
      <c r="C53" s="1421"/>
      <c r="D53" s="1390"/>
      <c r="E53" s="1390"/>
      <c r="F53" s="1390"/>
      <c r="G53" s="1401"/>
      <c r="H53" s="1402"/>
      <c r="I53" s="1402"/>
      <c r="J53" s="1402"/>
      <c r="K53" s="1402"/>
      <c r="L53" s="1402"/>
      <c r="M53" s="1402"/>
      <c r="N53" s="1402"/>
      <c r="O53" s="1402"/>
      <c r="P53" s="1402"/>
      <c r="Q53" s="1402"/>
      <c r="R53" s="1402"/>
      <c r="S53" s="1402"/>
      <c r="T53" s="1402"/>
      <c r="U53" s="1402"/>
      <c r="V53" s="1403"/>
      <c r="W53" s="673"/>
      <c r="X53" s="673"/>
      <c r="Y53" s="673"/>
      <c r="Z53" s="673"/>
      <c r="AA53" s="689"/>
      <c r="AB53" s="689"/>
      <c r="AC53" s="689"/>
      <c r="AD53" s="690"/>
      <c r="AE53" s="676"/>
      <c r="AF53" s="676"/>
      <c r="AG53" s="676"/>
      <c r="AH53" s="677"/>
      <c r="AI53" s="676"/>
      <c r="AJ53" s="676"/>
      <c r="AK53" s="676"/>
      <c r="AL53" s="677"/>
      <c r="AM53" s="676"/>
      <c r="AN53" s="676"/>
      <c r="AO53" s="676"/>
      <c r="AP53" s="677"/>
      <c r="AQ53" s="676"/>
      <c r="AR53" s="676"/>
      <c r="AS53" s="689"/>
      <c r="AT53" s="690"/>
      <c r="AU53" s="689"/>
      <c r="AV53" s="689"/>
      <c r="AW53" s="689"/>
      <c r="AX53" s="690"/>
      <c r="AY53" s="689"/>
      <c r="AZ53" s="689"/>
      <c r="BA53" s="689"/>
      <c r="BB53" s="690"/>
      <c r="BC53" s="1411"/>
      <c r="BD53" s="1412"/>
      <c r="BE53" s="1412"/>
      <c r="BF53" s="1413"/>
      <c r="BG53" s="1441"/>
      <c r="BH53" s="1515"/>
      <c r="BI53" s="1515"/>
      <c r="BJ53" s="1442"/>
      <c r="BK53" s="1411"/>
      <c r="BL53" s="1412"/>
      <c r="BM53" s="1412"/>
      <c r="BN53" s="1413"/>
      <c r="BO53" s="676"/>
      <c r="BP53" s="676"/>
      <c r="BQ53" s="689"/>
      <c r="BR53" s="690"/>
      <c r="BS53" s="676"/>
      <c r="BT53" s="676"/>
      <c r="BU53" s="689"/>
      <c r="BV53" s="690"/>
      <c r="BW53" s="689"/>
      <c r="BX53" s="689"/>
      <c r="BY53" s="689"/>
      <c r="BZ53" s="960"/>
      <c r="CA53" s="679"/>
      <c r="CB53" s="657"/>
      <c r="CC53" s="657"/>
      <c r="CD53" s="657"/>
      <c r="CE53" s="657"/>
      <c r="CF53" s="657"/>
      <c r="CG53" s="657"/>
      <c r="CH53" s="657"/>
      <c r="CI53" s="657"/>
    </row>
    <row r="54" spans="1:87" ht="20.25" customHeight="1">
      <c r="A54" s="1386" t="str">
        <f>BA39</f>
        <v/>
      </c>
      <c r="B54" s="1387"/>
      <c r="C54" s="1388"/>
      <c r="D54" s="1389" t="s">
        <v>78</v>
      </c>
      <c r="E54" s="1389"/>
      <c r="F54" s="1389"/>
      <c r="G54" s="691"/>
      <c r="H54" s="692"/>
      <c r="I54" s="692"/>
      <c r="J54" s="687"/>
      <c r="K54" s="693"/>
      <c r="L54" s="956"/>
      <c r="M54" s="956"/>
      <c r="N54" s="670"/>
      <c r="O54" s="694"/>
      <c r="P54" s="663"/>
      <c r="Q54" s="955"/>
      <c r="R54" s="1405" t="s">
        <v>3015</v>
      </c>
      <c r="S54" s="1406"/>
      <c r="T54" s="1407"/>
      <c r="U54" s="685"/>
      <c r="V54" s="671"/>
      <c r="W54" s="663"/>
      <c r="X54" s="685"/>
      <c r="Y54" s="956"/>
      <c r="Z54" s="670"/>
      <c r="AA54" s="694"/>
      <c r="AB54" s="663"/>
      <c r="AC54" s="663"/>
      <c r="AD54" s="671"/>
      <c r="AE54" s="663"/>
      <c r="AF54" s="663"/>
      <c r="AG54" s="663"/>
      <c r="AH54" s="671"/>
      <c r="AI54" s="956"/>
      <c r="AJ54" s="956"/>
      <c r="AK54" s="685"/>
      <c r="AL54" s="686"/>
      <c r="AM54" s="685"/>
      <c r="AN54" s="685"/>
      <c r="AO54" s="685"/>
      <c r="AP54" s="686"/>
      <c r="AQ54" s="685"/>
      <c r="AR54" s="685"/>
      <c r="AS54" s="685"/>
      <c r="AT54" s="686"/>
      <c r="AU54" s="685"/>
      <c r="AV54" s="685"/>
      <c r="AW54" s="685"/>
      <c r="AX54" s="686"/>
      <c r="AY54" s="685"/>
      <c r="AZ54" s="685"/>
      <c r="BA54" s="685"/>
      <c r="BB54" s="686"/>
      <c r="BC54" s="685"/>
      <c r="BD54" s="685"/>
      <c r="BE54" s="685"/>
      <c r="BF54" s="686"/>
      <c r="BG54" s="685" t="s">
        <v>3048</v>
      </c>
      <c r="BH54" s="685"/>
      <c r="BI54" s="685"/>
      <c r="BJ54" s="686"/>
      <c r="BK54" s="685"/>
      <c r="BL54" s="685"/>
      <c r="BM54" s="685"/>
      <c r="BN54" s="686"/>
      <c r="BO54" s="685"/>
      <c r="BP54" s="685"/>
      <c r="BQ54" s="685"/>
      <c r="BR54" s="686"/>
      <c r="BS54" s="685"/>
      <c r="BT54" s="685"/>
      <c r="BU54" s="685"/>
      <c r="BV54" s="686"/>
      <c r="BW54" s="685"/>
      <c r="BX54" s="685"/>
      <c r="BY54" s="685"/>
      <c r="BZ54" s="957"/>
      <c r="CA54" s="668"/>
      <c r="CB54" s="657"/>
      <c r="CC54" s="657"/>
      <c r="CD54" s="657"/>
      <c r="CE54" s="657"/>
      <c r="CF54" s="657"/>
      <c r="CG54" s="657"/>
      <c r="CH54" s="657"/>
      <c r="CI54" s="657"/>
    </row>
    <row r="55" spans="1:87" ht="20.25" customHeight="1">
      <c r="A55" s="1386"/>
      <c r="B55" s="1387"/>
      <c r="C55" s="1388"/>
      <c r="D55" s="1390"/>
      <c r="E55" s="1390"/>
      <c r="F55" s="1390"/>
      <c r="G55" s="691"/>
      <c r="H55" s="692"/>
      <c r="I55" s="692"/>
      <c r="J55" s="687"/>
      <c r="K55" s="956"/>
      <c r="L55" s="956"/>
      <c r="M55" s="956"/>
      <c r="N55" s="670"/>
      <c r="O55" s="663"/>
      <c r="P55" s="663"/>
      <c r="Q55" s="957"/>
      <c r="R55" s="1408"/>
      <c r="S55" s="1409"/>
      <c r="T55" s="1410"/>
      <c r="U55" s="956"/>
      <c r="V55" s="670"/>
      <c r="W55" s="956"/>
      <c r="X55" s="956"/>
      <c r="Y55" s="956"/>
      <c r="Z55" s="670"/>
      <c r="AA55" s="663"/>
      <c r="AB55" s="663"/>
      <c r="AC55" s="663"/>
      <c r="AD55" s="671"/>
      <c r="AE55" s="663"/>
      <c r="AF55" s="663"/>
      <c r="AG55" s="663"/>
      <c r="AH55" s="671"/>
      <c r="AI55" s="956"/>
      <c r="AJ55" s="956"/>
      <c r="AK55" s="685"/>
      <c r="AL55" s="686"/>
      <c r="AM55" s="685"/>
      <c r="AN55" s="685"/>
      <c r="AO55" s="685"/>
      <c r="AP55" s="686"/>
      <c r="AQ55" s="685"/>
      <c r="AR55" s="685"/>
      <c r="AS55" s="685"/>
      <c r="AT55" s="686"/>
      <c r="AU55" s="685"/>
      <c r="AV55" s="685"/>
      <c r="AW55" s="685"/>
      <c r="AX55" s="686"/>
      <c r="AY55" s="685"/>
      <c r="AZ55" s="685"/>
      <c r="BA55" s="685"/>
      <c r="BB55" s="686"/>
      <c r="BC55" s="685"/>
      <c r="BD55" s="685"/>
      <c r="BE55" s="685"/>
      <c r="BF55" s="686"/>
      <c r="BG55" s="685"/>
      <c r="BH55" s="685"/>
      <c r="BI55" s="685"/>
      <c r="BJ55" s="686"/>
      <c r="BK55" s="685"/>
      <c r="BL55" s="685"/>
      <c r="BM55" s="685"/>
      <c r="BN55" s="686"/>
      <c r="BO55" s="685"/>
      <c r="BP55" s="685"/>
      <c r="BQ55" s="685"/>
      <c r="BR55" s="686"/>
      <c r="BS55" s="685"/>
      <c r="BT55" s="685"/>
      <c r="BU55" s="685"/>
      <c r="BV55" s="686"/>
      <c r="BW55" s="956"/>
      <c r="BX55" s="956"/>
      <c r="BY55" s="956"/>
      <c r="BZ55" s="957"/>
      <c r="CA55" s="668"/>
      <c r="CB55" s="657"/>
      <c r="CC55" s="657"/>
      <c r="CD55" s="657"/>
      <c r="CE55" s="657"/>
      <c r="CF55" s="657"/>
      <c r="CG55" s="657"/>
      <c r="CH55" s="657"/>
      <c r="CI55" s="657"/>
    </row>
    <row r="56" spans="1:87" ht="20.25" customHeight="1">
      <c r="A56" s="1386" t="s">
        <v>3132</v>
      </c>
      <c r="B56" s="1387"/>
      <c r="C56" s="1388"/>
      <c r="D56" s="1390"/>
      <c r="E56" s="1390"/>
      <c r="F56" s="1390"/>
      <c r="G56" s="691"/>
      <c r="H56" s="692"/>
      <c r="I56" s="692"/>
      <c r="J56" s="687"/>
      <c r="K56" s="956"/>
      <c r="L56" s="956"/>
      <c r="M56" s="956"/>
      <c r="N56" s="670"/>
      <c r="O56" s="663"/>
      <c r="P56" s="663"/>
      <c r="Q56" s="957"/>
      <c r="R56" s="1408"/>
      <c r="S56" s="1409"/>
      <c r="T56" s="1410"/>
      <c r="U56" s="956"/>
      <c r="V56" s="670"/>
      <c r="W56" s="956"/>
      <c r="X56" s="956"/>
      <c r="Y56" s="956"/>
      <c r="Z56" s="670"/>
      <c r="AA56" s="663"/>
      <c r="AB56" s="663"/>
      <c r="AC56" s="663"/>
      <c r="AD56" s="671"/>
      <c r="AE56" s="663"/>
      <c r="AF56" s="663"/>
      <c r="AG56" s="663"/>
      <c r="AH56" s="671"/>
      <c r="AI56" s="956"/>
      <c r="AJ56" s="956"/>
      <c r="AK56" s="685"/>
      <c r="AL56" s="686"/>
      <c r="AM56" s="685"/>
      <c r="AN56" s="685"/>
      <c r="AO56" s="685"/>
      <c r="AP56" s="686"/>
      <c r="AQ56" s="685"/>
      <c r="AR56" s="685"/>
      <c r="AS56" s="685"/>
      <c r="AT56" s="686"/>
      <c r="AU56" s="685"/>
      <c r="AV56" s="685"/>
      <c r="AW56" s="685"/>
      <c r="AX56" s="686"/>
      <c r="AY56" s="685"/>
      <c r="AZ56" s="685"/>
      <c r="BA56" s="685"/>
      <c r="BB56" s="686"/>
      <c r="BC56" s="685"/>
      <c r="BD56" s="685"/>
      <c r="BE56" s="685"/>
      <c r="BF56" s="686"/>
      <c r="BG56" s="685"/>
      <c r="BH56" s="685"/>
      <c r="BI56" s="685"/>
      <c r="BJ56" s="686"/>
      <c r="BK56" s="685"/>
      <c r="BL56" s="685"/>
      <c r="BM56" s="685"/>
      <c r="BN56" s="686"/>
      <c r="BO56" s="685"/>
      <c r="BP56" s="685"/>
      <c r="BQ56" s="685"/>
      <c r="BR56" s="686"/>
      <c r="BS56" s="685"/>
      <c r="BT56" s="685"/>
      <c r="BU56" s="685"/>
      <c r="BV56" s="686"/>
      <c r="BW56" s="956"/>
      <c r="BX56" s="956"/>
      <c r="BY56" s="956"/>
      <c r="BZ56" s="957"/>
      <c r="CA56" s="668"/>
      <c r="CB56" s="657"/>
      <c r="CC56" s="657"/>
      <c r="CD56" s="657"/>
      <c r="CE56" s="657"/>
      <c r="CF56" s="657"/>
      <c r="CG56" s="657"/>
      <c r="CH56" s="657"/>
      <c r="CI56" s="657"/>
    </row>
    <row r="57" spans="1:87" ht="20.25" customHeight="1">
      <c r="A57" s="1386"/>
      <c r="B57" s="1387"/>
      <c r="C57" s="1388"/>
      <c r="D57" s="1390"/>
      <c r="E57" s="1390"/>
      <c r="F57" s="1390"/>
      <c r="G57" s="695"/>
      <c r="H57" s="696"/>
      <c r="I57" s="696"/>
      <c r="J57" s="690"/>
      <c r="K57" s="959"/>
      <c r="L57" s="959"/>
      <c r="M57" s="959"/>
      <c r="N57" s="675"/>
      <c r="O57" s="676"/>
      <c r="P57" s="663"/>
      <c r="Q57" s="957"/>
      <c r="R57" s="1408"/>
      <c r="S57" s="1409"/>
      <c r="T57" s="1410"/>
      <c r="U57" s="959"/>
      <c r="V57" s="675"/>
      <c r="W57" s="959"/>
      <c r="X57" s="959"/>
      <c r="Y57" s="959"/>
      <c r="Z57" s="675"/>
      <c r="AA57" s="676"/>
      <c r="AB57" s="676"/>
      <c r="AC57" s="676"/>
      <c r="AD57" s="677"/>
      <c r="AE57" s="676"/>
      <c r="AF57" s="676"/>
      <c r="AG57" s="676"/>
      <c r="AH57" s="677"/>
      <c r="AI57" s="959"/>
      <c r="AJ57" s="959"/>
      <c r="AK57" s="689"/>
      <c r="AL57" s="690"/>
      <c r="AM57" s="689"/>
      <c r="AN57" s="689"/>
      <c r="AO57" s="689"/>
      <c r="AP57" s="690"/>
      <c r="AQ57" s="689"/>
      <c r="AR57" s="689"/>
      <c r="AS57" s="689"/>
      <c r="AT57" s="690"/>
      <c r="AU57" s="689"/>
      <c r="AV57" s="689"/>
      <c r="AW57" s="689"/>
      <c r="AX57" s="690"/>
      <c r="AY57" s="689"/>
      <c r="AZ57" s="689"/>
      <c r="BA57" s="689"/>
      <c r="BB57" s="690"/>
      <c r="BC57" s="689"/>
      <c r="BD57" s="689"/>
      <c r="BE57" s="689"/>
      <c r="BF57" s="690"/>
      <c r="BG57" s="689"/>
      <c r="BH57" s="689"/>
      <c r="BI57" s="689"/>
      <c r="BJ57" s="690"/>
      <c r="BK57" s="689"/>
      <c r="BL57" s="689"/>
      <c r="BM57" s="689"/>
      <c r="BN57" s="690"/>
      <c r="BO57" s="689"/>
      <c r="BP57" s="689"/>
      <c r="BQ57" s="689"/>
      <c r="BR57" s="690"/>
      <c r="BS57" s="689"/>
      <c r="BT57" s="689"/>
      <c r="BU57" s="689"/>
      <c r="BV57" s="690"/>
      <c r="BW57" s="689"/>
      <c r="BX57" s="689"/>
      <c r="BY57" s="689"/>
      <c r="BZ57" s="697"/>
      <c r="CA57" s="679"/>
      <c r="CB57" s="657"/>
      <c r="CC57" s="657"/>
      <c r="CD57" s="657"/>
      <c r="CE57" s="657"/>
      <c r="CF57" s="657"/>
      <c r="CG57" s="657"/>
      <c r="CH57" s="657"/>
      <c r="CI57" s="657"/>
    </row>
    <row r="58" spans="1:87" ht="20.25" customHeight="1">
      <c r="A58" s="1386" t="str">
        <f>BE39</f>
        <v/>
      </c>
      <c r="B58" s="1387"/>
      <c r="C58" s="1388"/>
      <c r="D58" s="1390" t="s">
        <v>77</v>
      </c>
      <c r="E58" s="1390"/>
      <c r="F58" s="1390"/>
      <c r="G58" s="698"/>
      <c r="H58" s="699"/>
      <c r="I58" s="699"/>
      <c r="J58" s="700"/>
      <c r="K58" s="701"/>
      <c r="L58" s="701"/>
      <c r="M58" s="682"/>
      <c r="N58" s="683"/>
      <c r="O58" s="662"/>
      <c r="P58" s="662"/>
      <c r="Q58" s="955"/>
      <c r="R58" s="1408"/>
      <c r="S58" s="1409"/>
      <c r="T58" s="1410"/>
      <c r="U58" s="680"/>
      <c r="V58" s="681"/>
      <c r="W58" s="680"/>
      <c r="X58" s="680"/>
      <c r="Y58" s="682"/>
      <c r="Z58" s="683"/>
      <c r="AA58" s="662"/>
      <c r="AB58" s="662"/>
      <c r="AC58" s="662"/>
      <c r="AD58" s="683"/>
      <c r="AE58" s="662"/>
      <c r="AF58" s="662"/>
      <c r="AG58" s="954"/>
      <c r="AH58" s="702"/>
      <c r="AI58" s="954"/>
      <c r="AJ58" s="954"/>
      <c r="AK58" s="680"/>
      <c r="AL58" s="681"/>
      <c r="AM58" s="680"/>
      <c r="AN58" s="680"/>
      <c r="AO58" s="680"/>
      <c r="AP58" s="681"/>
      <c r="AQ58" s="680"/>
      <c r="AR58" s="680"/>
      <c r="AS58" s="680"/>
      <c r="AT58" s="681"/>
      <c r="AU58" s="680"/>
      <c r="AV58" s="680"/>
      <c r="AW58" s="680"/>
      <c r="AX58" s="681"/>
      <c r="AY58" s="680"/>
      <c r="AZ58" s="680"/>
      <c r="BA58" s="680"/>
      <c r="BB58" s="681"/>
      <c r="BC58" s="680"/>
      <c r="BD58" s="680"/>
      <c r="BE58" s="680"/>
      <c r="BF58" s="681"/>
      <c r="BG58" s="680"/>
      <c r="BH58" s="680"/>
      <c r="BI58" s="680"/>
      <c r="BJ58" s="681"/>
      <c r="BK58" s="680"/>
      <c r="BL58" s="680"/>
      <c r="BM58" s="680"/>
      <c r="BN58" s="681"/>
      <c r="BO58" s="680"/>
      <c r="BP58" s="680"/>
      <c r="BQ58" s="680"/>
      <c r="BR58" s="681"/>
      <c r="BS58" s="680"/>
      <c r="BT58" s="680"/>
      <c r="BU58" s="680"/>
      <c r="BV58" s="681"/>
      <c r="BW58" s="680"/>
      <c r="BX58" s="680"/>
      <c r="BY58" s="680"/>
      <c r="BZ58" s="684"/>
      <c r="CA58" s="668"/>
      <c r="CB58" s="657"/>
      <c r="CC58" s="657"/>
      <c r="CD58" s="657"/>
      <c r="CE58" s="657"/>
      <c r="CF58" s="657"/>
      <c r="CG58" s="657"/>
      <c r="CH58" s="657"/>
      <c r="CI58" s="657"/>
    </row>
    <row r="59" spans="1:87" ht="20.25" customHeight="1">
      <c r="A59" s="1386"/>
      <c r="B59" s="1387"/>
      <c r="C59" s="1388"/>
      <c r="D59" s="1390"/>
      <c r="E59" s="1390"/>
      <c r="F59" s="1390"/>
      <c r="G59" s="691"/>
      <c r="H59" s="692"/>
      <c r="I59" s="692"/>
      <c r="J59" s="687"/>
      <c r="K59" s="688"/>
      <c r="L59" s="688"/>
      <c r="M59" s="663"/>
      <c r="N59" s="671"/>
      <c r="O59" s="663"/>
      <c r="P59" s="663"/>
      <c r="Q59" s="957"/>
      <c r="R59" s="1408"/>
      <c r="S59" s="1409"/>
      <c r="T59" s="1410"/>
      <c r="U59" s="685"/>
      <c r="V59" s="686"/>
      <c r="W59" s="685"/>
      <c r="X59" s="685"/>
      <c r="Y59" s="663"/>
      <c r="Z59" s="671"/>
      <c r="AA59" s="663"/>
      <c r="AB59" s="663"/>
      <c r="AC59" s="663"/>
      <c r="AD59" s="671"/>
      <c r="AE59" s="663"/>
      <c r="AF59" s="663"/>
      <c r="AG59" s="956"/>
      <c r="AH59" s="670"/>
      <c r="AI59" s="956"/>
      <c r="AJ59" s="956"/>
      <c r="AK59" s="685"/>
      <c r="AL59" s="686"/>
      <c r="AM59" s="685"/>
      <c r="AN59" s="685"/>
      <c r="AO59" s="685"/>
      <c r="AP59" s="686"/>
      <c r="AQ59" s="685"/>
      <c r="AR59" s="685"/>
      <c r="AS59" s="685"/>
      <c r="AT59" s="686"/>
      <c r="AU59" s="685"/>
      <c r="AV59" s="685"/>
      <c r="AW59" s="685"/>
      <c r="AX59" s="686"/>
      <c r="AY59" s="685"/>
      <c r="AZ59" s="685"/>
      <c r="BA59" s="685"/>
      <c r="BB59" s="686"/>
      <c r="BC59" s="685"/>
      <c r="BD59" s="685"/>
      <c r="BE59" s="685"/>
      <c r="BF59" s="686"/>
      <c r="BG59" s="685"/>
      <c r="BH59" s="685"/>
      <c r="BI59" s="685"/>
      <c r="BJ59" s="686"/>
      <c r="BK59" s="685"/>
      <c r="BL59" s="685"/>
      <c r="BM59" s="685"/>
      <c r="BN59" s="686"/>
      <c r="BO59" s="685"/>
      <c r="BP59" s="685"/>
      <c r="BQ59" s="685"/>
      <c r="BR59" s="686"/>
      <c r="BS59" s="685"/>
      <c r="BT59" s="685"/>
      <c r="BU59" s="685"/>
      <c r="BV59" s="686"/>
      <c r="BW59" s="956"/>
      <c r="BX59" s="956"/>
      <c r="BY59" s="956"/>
      <c r="BZ59" s="957"/>
      <c r="CA59" s="668"/>
      <c r="CB59" s="657"/>
      <c r="CC59" s="657"/>
      <c r="CD59" s="657"/>
      <c r="CE59" s="657"/>
      <c r="CF59" s="657"/>
      <c r="CG59" s="657"/>
      <c r="CH59" s="657"/>
      <c r="CI59" s="657"/>
    </row>
    <row r="60" spans="1:87" ht="20.25" customHeight="1">
      <c r="A60" s="1386" t="s">
        <v>492</v>
      </c>
      <c r="B60" s="1387"/>
      <c r="C60" s="1388"/>
      <c r="D60" s="1390"/>
      <c r="E60" s="1390"/>
      <c r="F60" s="1390"/>
      <c r="G60" s="691"/>
      <c r="H60" s="692"/>
      <c r="I60" s="692"/>
      <c r="J60" s="687"/>
      <c r="K60" s="688"/>
      <c r="L60" s="688"/>
      <c r="M60" s="663"/>
      <c r="N60" s="671"/>
      <c r="O60" s="663"/>
      <c r="P60" s="663"/>
      <c r="Q60" s="957"/>
      <c r="R60" s="1408"/>
      <c r="S60" s="1409"/>
      <c r="T60" s="1410"/>
      <c r="U60" s="685"/>
      <c r="V60" s="686"/>
      <c r="W60" s="685"/>
      <c r="X60" s="685"/>
      <c r="Y60" s="663"/>
      <c r="Z60" s="671"/>
      <c r="AA60" s="663"/>
      <c r="AB60" s="663"/>
      <c r="AC60" s="663"/>
      <c r="AD60" s="671"/>
      <c r="AE60" s="663"/>
      <c r="AF60" s="663"/>
      <c r="AG60" s="956"/>
      <c r="AH60" s="670"/>
      <c r="AI60" s="956"/>
      <c r="AJ60" s="956"/>
      <c r="AK60" s="685"/>
      <c r="AL60" s="686"/>
      <c r="AM60" s="685"/>
      <c r="AN60" s="685"/>
      <c r="AO60" s="685"/>
      <c r="AP60" s="686"/>
      <c r="AQ60" s="685"/>
      <c r="AR60" s="685"/>
      <c r="AS60" s="685"/>
      <c r="AT60" s="686"/>
      <c r="AU60" s="685"/>
      <c r="AV60" s="685"/>
      <c r="AW60" s="685"/>
      <c r="AX60" s="686"/>
      <c r="AY60" s="685"/>
      <c r="AZ60" s="685"/>
      <c r="BA60" s="685"/>
      <c r="BB60" s="686"/>
      <c r="BC60" s="685"/>
      <c r="BD60" s="685"/>
      <c r="BE60" s="663"/>
      <c r="BF60" s="687"/>
      <c r="BG60" s="688"/>
      <c r="BH60" s="688"/>
      <c r="BI60" s="688"/>
      <c r="BJ60" s="687"/>
      <c r="BK60" s="688"/>
      <c r="BL60" s="688"/>
      <c r="BM60" s="688"/>
      <c r="BN60" s="687"/>
      <c r="BO60" s="688"/>
      <c r="BP60" s="688"/>
      <c r="BQ60" s="688"/>
      <c r="BR60" s="687"/>
      <c r="BS60" s="688"/>
      <c r="BT60" s="688"/>
      <c r="BU60" s="688"/>
      <c r="BV60" s="687"/>
      <c r="BW60" s="956"/>
      <c r="BX60" s="956"/>
      <c r="BY60" s="956"/>
      <c r="BZ60" s="957"/>
      <c r="CA60" s="672"/>
      <c r="CB60" s="657"/>
      <c r="CC60" s="657"/>
      <c r="CD60" s="657"/>
      <c r="CE60" s="657"/>
      <c r="CF60" s="657"/>
      <c r="CG60" s="657"/>
      <c r="CH60" s="657"/>
      <c r="CI60" s="657"/>
    </row>
    <row r="61" spans="1:87" ht="20.25" customHeight="1">
      <c r="A61" s="1419"/>
      <c r="B61" s="1420"/>
      <c r="C61" s="1421"/>
      <c r="D61" s="1390"/>
      <c r="E61" s="1390"/>
      <c r="F61" s="1390"/>
      <c r="G61" s="695"/>
      <c r="H61" s="696"/>
      <c r="I61" s="696"/>
      <c r="J61" s="697"/>
      <c r="K61" s="689"/>
      <c r="L61" s="689"/>
      <c r="M61" s="676"/>
      <c r="N61" s="676"/>
      <c r="O61" s="706"/>
      <c r="P61" s="676"/>
      <c r="Q61" s="960"/>
      <c r="R61" s="1411"/>
      <c r="S61" s="1412"/>
      <c r="T61" s="1413"/>
      <c r="U61" s="689"/>
      <c r="V61" s="689"/>
      <c r="W61" s="705"/>
      <c r="X61" s="689"/>
      <c r="Y61" s="676"/>
      <c r="Z61" s="676"/>
      <c r="AA61" s="706"/>
      <c r="AB61" s="676"/>
      <c r="AC61" s="676"/>
      <c r="AD61" s="676"/>
      <c r="AE61" s="706"/>
      <c r="AF61" s="676"/>
      <c r="AG61" s="959"/>
      <c r="AH61" s="960"/>
      <c r="AI61" s="959"/>
      <c r="AJ61" s="959"/>
      <c r="AK61" s="689"/>
      <c r="AL61" s="689"/>
      <c r="AM61" s="705"/>
      <c r="AN61" s="689"/>
      <c r="AO61" s="689"/>
      <c r="AP61" s="689"/>
      <c r="AQ61" s="705"/>
      <c r="AR61" s="689"/>
      <c r="AS61" s="689"/>
      <c r="AT61" s="689"/>
      <c r="AU61" s="705"/>
      <c r="AV61" s="689"/>
      <c r="AW61" s="689"/>
      <c r="AX61" s="689"/>
      <c r="AY61" s="705"/>
      <c r="AZ61" s="689"/>
      <c r="BA61" s="689"/>
      <c r="BB61" s="689"/>
      <c r="BC61" s="705"/>
      <c r="BD61" s="689"/>
      <c r="BE61" s="689"/>
      <c r="BF61" s="689"/>
      <c r="BG61" s="705"/>
      <c r="BH61" s="689"/>
      <c r="BI61" s="689"/>
      <c r="BJ61" s="689"/>
      <c r="BK61" s="705"/>
      <c r="BL61" s="689"/>
      <c r="BM61" s="689"/>
      <c r="BN61" s="689"/>
      <c r="BO61" s="705"/>
      <c r="BP61" s="689"/>
      <c r="BQ61" s="689"/>
      <c r="BR61" s="689"/>
      <c r="BS61" s="705"/>
      <c r="BT61" s="689"/>
      <c r="BU61" s="689"/>
      <c r="BV61" s="689"/>
      <c r="BW61" s="958"/>
      <c r="BX61" s="959"/>
      <c r="BY61" s="959"/>
      <c r="BZ61" s="960"/>
      <c r="CA61" s="679"/>
      <c r="CB61" s="657"/>
      <c r="CC61" s="657"/>
      <c r="CD61" s="657"/>
      <c r="CE61" s="657"/>
      <c r="CF61" s="657"/>
      <c r="CG61" s="657"/>
      <c r="CH61" s="657"/>
      <c r="CI61" s="657"/>
    </row>
    <row r="62" spans="1:87" ht="13.5" customHeight="1">
      <c r="A62" s="708"/>
      <c r="B62" s="708"/>
      <c r="C62" s="708"/>
      <c r="D62" s="708"/>
      <c r="E62" s="708"/>
      <c r="F62" s="708"/>
      <c r="G62" s="1461"/>
      <c r="H62" s="1461"/>
      <c r="I62" s="1391">
        <v>0.25</v>
      </c>
      <c r="J62" s="1391"/>
      <c r="K62" s="1391"/>
      <c r="L62" s="1391"/>
      <c r="M62" s="1391">
        <v>0.29166666666666669</v>
      </c>
      <c r="N62" s="1391"/>
      <c r="O62" s="1391"/>
      <c r="P62" s="1391"/>
      <c r="Q62" s="1391">
        <v>0.33333333333333331</v>
      </c>
      <c r="R62" s="1391"/>
      <c r="S62" s="1391"/>
      <c r="T62" s="1391"/>
      <c r="U62" s="1391">
        <v>0.375</v>
      </c>
      <c r="V62" s="1391"/>
      <c r="W62" s="1391"/>
      <c r="X62" s="1391"/>
      <c r="Y62" s="1391">
        <v>0.41666666666666669</v>
      </c>
      <c r="Z62" s="1418"/>
      <c r="AA62" s="1391"/>
      <c r="AB62" s="1391"/>
      <c r="AC62" s="1391">
        <v>0.45833333333333331</v>
      </c>
      <c r="AD62" s="1391"/>
      <c r="AE62" s="1391"/>
      <c r="AF62" s="1391"/>
      <c r="AG62" s="1385">
        <v>0.5</v>
      </c>
      <c r="AH62" s="1385"/>
      <c r="AI62" s="1385"/>
      <c r="AJ62" s="1385"/>
      <c r="AK62" s="1385">
        <v>4.1666666666666664E-2</v>
      </c>
      <c r="AL62" s="1385"/>
      <c r="AM62" s="1385"/>
      <c r="AN62" s="1385"/>
      <c r="AO62" s="1385">
        <v>8.3333333333333329E-2</v>
      </c>
      <c r="AP62" s="1385"/>
      <c r="AQ62" s="1385"/>
      <c r="AR62" s="1385"/>
      <c r="AS62" s="1385">
        <v>0.125</v>
      </c>
      <c r="AT62" s="1385"/>
      <c r="AU62" s="1385"/>
      <c r="AV62" s="1385"/>
      <c r="AW62" s="1385">
        <v>0.16666666666666666</v>
      </c>
      <c r="AX62" s="1385"/>
      <c r="AY62" s="1385"/>
      <c r="AZ62" s="1385"/>
      <c r="BA62" s="1385">
        <v>0.20833333333333334</v>
      </c>
      <c r="BB62" s="1385"/>
      <c r="BC62" s="1385"/>
      <c r="BD62" s="1385"/>
      <c r="BE62" s="1385">
        <v>0.25</v>
      </c>
      <c r="BF62" s="1385"/>
      <c r="BG62" s="1385"/>
      <c r="BH62" s="1385"/>
      <c r="BI62" s="1385">
        <v>0.29166666666666669</v>
      </c>
      <c r="BJ62" s="1385"/>
      <c r="BK62" s="1385"/>
      <c r="BL62" s="1385"/>
      <c r="BM62" s="1385">
        <v>0.33333333333333331</v>
      </c>
      <c r="BN62" s="1385"/>
      <c r="BO62" s="1385"/>
      <c r="BP62" s="1385"/>
      <c r="BQ62" s="1385">
        <v>0.375</v>
      </c>
      <c r="BR62" s="1385"/>
      <c r="BS62" s="1385"/>
      <c r="BT62" s="1385"/>
      <c r="BU62" s="1385">
        <v>0.41666666666666669</v>
      </c>
      <c r="BV62" s="1414"/>
      <c r="BW62" s="1414"/>
      <c r="BX62" s="1414"/>
      <c r="BY62" s="652"/>
      <c r="BZ62" s="652"/>
      <c r="CA62" s="652"/>
      <c r="CB62" s="657"/>
      <c r="CC62" s="657"/>
      <c r="CD62" s="657"/>
      <c r="CE62" s="657"/>
      <c r="CF62" s="657"/>
      <c r="CG62" s="657"/>
      <c r="CH62" s="657"/>
      <c r="CI62" s="657"/>
    </row>
    <row r="63" spans="1:87" ht="13.5" customHeight="1">
      <c r="A63" s="1415" t="s">
        <v>75</v>
      </c>
      <c r="B63" s="1415"/>
      <c r="C63" s="1415"/>
      <c r="D63" s="1416"/>
      <c r="E63" s="1416"/>
      <c r="F63" s="1416"/>
      <c r="G63" s="1416"/>
      <c r="H63" s="1416"/>
      <c r="I63" s="1416"/>
      <c r="J63" s="1416"/>
      <c r="K63" s="1416"/>
      <c r="L63" s="1416"/>
      <c r="M63" s="1416"/>
      <c r="N63" s="1416"/>
      <c r="O63" s="1416"/>
      <c r="P63" s="1416"/>
      <c r="Q63" s="1416"/>
      <c r="R63" s="1416"/>
      <c r="S63" s="1416"/>
      <c r="T63" s="1416"/>
      <c r="U63" s="1416"/>
      <c r="V63" s="1416"/>
      <c r="W63" s="1416"/>
      <c r="X63" s="1416"/>
      <c r="Y63" s="1416"/>
      <c r="Z63" s="1416"/>
      <c r="AA63" s="1416"/>
      <c r="AB63" s="1416"/>
      <c r="AC63" s="1416"/>
      <c r="AD63" s="1416"/>
      <c r="AE63" s="1416"/>
      <c r="AF63" s="1416"/>
      <c r="AG63" s="1416"/>
      <c r="AH63" s="1416"/>
      <c r="AI63" s="1416"/>
      <c r="AJ63" s="1416"/>
      <c r="AK63" s="1416"/>
      <c r="AL63" s="1416"/>
      <c r="AM63" s="1416"/>
      <c r="AN63" s="1416"/>
      <c r="AO63" s="1416"/>
      <c r="AP63" s="1416"/>
      <c r="AQ63" s="1416"/>
      <c r="AR63" s="1416"/>
      <c r="AS63" s="1416"/>
      <c r="AT63" s="1416"/>
      <c r="AU63" s="1416"/>
      <c r="AV63" s="1416"/>
      <c r="AW63" s="1416"/>
      <c r="AX63" s="1416"/>
      <c r="AY63" s="1416"/>
      <c r="AZ63" s="1416"/>
      <c r="BA63" s="1416"/>
      <c r="BB63" s="1416"/>
      <c r="BC63" s="1416"/>
      <c r="BD63" s="1416"/>
      <c r="BE63" s="1416"/>
      <c r="BF63" s="1416"/>
      <c r="BG63" s="1416"/>
      <c r="BH63" s="1416"/>
      <c r="BI63" s="1416"/>
      <c r="BJ63" s="1416"/>
      <c r="BK63" s="1416"/>
      <c r="BL63" s="1416"/>
      <c r="BM63" s="1416"/>
      <c r="BN63" s="1416"/>
      <c r="BO63" s="1416"/>
      <c r="BP63" s="1416"/>
      <c r="BQ63" s="1416"/>
      <c r="BR63" s="1416"/>
      <c r="BS63" s="1416"/>
      <c r="BT63" s="1416"/>
      <c r="BU63" s="1416"/>
      <c r="BV63" s="1416"/>
      <c r="BW63" s="1416"/>
      <c r="BX63" s="1416"/>
      <c r="BY63" s="1416"/>
      <c r="BZ63" s="1416"/>
      <c r="CA63" s="672"/>
      <c r="CB63" s="709"/>
      <c r="CC63" s="709"/>
      <c r="CD63" s="709"/>
      <c r="CE63" s="709"/>
      <c r="CF63" s="709"/>
      <c r="CG63" s="709"/>
      <c r="CH63" s="709"/>
      <c r="CI63" s="709"/>
    </row>
    <row r="64" spans="1:87">
      <c r="A64" s="1415"/>
      <c r="B64" s="1415"/>
      <c r="C64" s="1415"/>
      <c r="D64" s="1416"/>
      <c r="E64" s="1416"/>
      <c r="F64" s="1416"/>
      <c r="G64" s="1416"/>
      <c r="H64" s="1416"/>
      <c r="I64" s="1416"/>
      <c r="J64" s="1416"/>
      <c r="K64" s="1416"/>
      <c r="L64" s="1416"/>
      <c r="M64" s="1416"/>
      <c r="N64" s="1416"/>
      <c r="O64" s="1416"/>
      <c r="P64" s="1416"/>
      <c r="Q64" s="1416"/>
      <c r="R64" s="1416"/>
      <c r="S64" s="1416"/>
      <c r="T64" s="1416"/>
      <c r="U64" s="1416"/>
      <c r="V64" s="1416"/>
      <c r="W64" s="1416"/>
      <c r="X64" s="1416"/>
      <c r="Y64" s="1416"/>
      <c r="Z64" s="1416"/>
      <c r="AA64" s="1416"/>
      <c r="AB64" s="1416"/>
      <c r="AC64" s="1416"/>
      <c r="AD64" s="1416"/>
      <c r="AE64" s="1416"/>
      <c r="AF64" s="1416"/>
      <c r="AG64" s="1416"/>
      <c r="AH64" s="1416"/>
      <c r="AI64" s="1416"/>
      <c r="AJ64" s="1416"/>
      <c r="AK64" s="1416"/>
      <c r="AL64" s="1416"/>
      <c r="AM64" s="1416"/>
      <c r="AN64" s="1416"/>
      <c r="AO64" s="1416"/>
      <c r="AP64" s="1416"/>
      <c r="AQ64" s="1416"/>
      <c r="AR64" s="1416"/>
      <c r="AS64" s="1416"/>
      <c r="AT64" s="1416"/>
      <c r="AU64" s="1416"/>
      <c r="AV64" s="1416"/>
      <c r="AW64" s="1416"/>
      <c r="AX64" s="1416"/>
      <c r="AY64" s="1416"/>
      <c r="AZ64" s="1416"/>
      <c r="BA64" s="1416"/>
      <c r="BB64" s="1416"/>
      <c r="BC64" s="1416"/>
      <c r="BD64" s="1416"/>
      <c r="BE64" s="1416"/>
      <c r="BF64" s="1416"/>
      <c r="BG64" s="1416"/>
      <c r="BH64" s="1416"/>
      <c r="BI64" s="1416"/>
      <c r="BJ64" s="1416"/>
      <c r="BK64" s="1416"/>
      <c r="BL64" s="1416"/>
      <c r="BM64" s="1416"/>
      <c r="BN64" s="1416"/>
      <c r="BO64" s="1416"/>
      <c r="BP64" s="1416"/>
      <c r="BQ64" s="1416"/>
      <c r="BR64" s="1416"/>
      <c r="BS64" s="1416"/>
      <c r="BT64" s="1416"/>
      <c r="BU64" s="1416"/>
      <c r="BV64" s="1416"/>
      <c r="BW64" s="1416"/>
      <c r="BX64" s="1416"/>
      <c r="BY64" s="1416"/>
      <c r="BZ64" s="1416"/>
      <c r="CA64" s="672"/>
      <c r="CB64" s="709"/>
      <c r="CC64" s="709"/>
      <c r="CD64" s="709"/>
      <c r="CE64" s="709"/>
      <c r="CF64" s="709"/>
      <c r="CG64" s="709"/>
      <c r="CH64" s="709"/>
      <c r="CI64" s="709"/>
    </row>
    <row r="65" spans="1:87">
      <c r="A65" s="1415"/>
      <c r="B65" s="1415"/>
      <c r="C65" s="1415"/>
      <c r="D65" s="1416"/>
      <c r="E65" s="1416"/>
      <c r="F65" s="1416"/>
      <c r="G65" s="1416"/>
      <c r="H65" s="1416"/>
      <c r="I65" s="1416"/>
      <c r="J65" s="1416"/>
      <c r="K65" s="1416"/>
      <c r="L65" s="1416"/>
      <c r="M65" s="1416"/>
      <c r="N65" s="1416"/>
      <c r="O65" s="1416"/>
      <c r="P65" s="1416"/>
      <c r="Q65" s="1416"/>
      <c r="R65" s="1416"/>
      <c r="S65" s="1416"/>
      <c r="T65" s="1416"/>
      <c r="U65" s="1416"/>
      <c r="V65" s="1416"/>
      <c r="W65" s="1416"/>
      <c r="X65" s="1416"/>
      <c r="Y65" s="1416"/>
      <c r="Z65" s="1416"/>
      <c r="AA65" s="1416"/>
      <c r="AB65" s="1416"/>
      <c r="AC65" s="1416"/>
      <c r="AD65" s="1416"/>
      <c r="AE65" s="1416"/>
      <c r="AF65" s="1416"/>
      <c r="AG65" s="1416"/>
      <c r="AH65" s="1416"/>
      <c r="AI65" s="1416"/>
      <c r="AJ65" s="1416"/>
      <c r="AK65" s="1416"/>
      <c r="AL65" s="1416"/>
      <c r="AM65" s="1416"/>
      <c r="AN65" s="1416"/>
      <c r="AO65" s="1416"/>
      <c r="AP65" s="1416"/>
      <c r="AQ65" s="1416"/>
      <c r="AR65" s="1416"/>
      <c r="AS65" s="1416"/>
      <c r="AT65" s="1416"/>
      <c r="AU65" s="1416"/>
      <c r="AV65" s="1416"/>
      <c r="AW65" s="1416"/>
      <c r="AX65" s="1416"/>
      <c r="AY65" s="1416"/>
      <c r="AZ65" s="1416"/>
      <c r="BA65" s="1416"/>
      <c r="BB65" s="1416"/>
      <c r="BC65" s="1416"/>
      <c r="BD65" s="1416"/>
      <c r="BE65" s="1416"/>
      <c r="BF65" s="1416"/>
      <c r="BG65" s="1416"/>
      <c r="BH65" s="1416"/>
      <c r="BI65" s="1416"/>
      <c r="BJ65" s="1416"/>
      <c r="BK65" s="1416"/>
      <c r="BL65" s="1416"/>
      <c r="BM65" s="1416"/>
      <c r="BN65" s="1416"/>
      <c r="BO65" s="1416"/>
      <c r="BP65" s="1416"/>
      <c r="BQ65" s="1416"/>
      <c r="BR65" s="1416"/>
      <c r="BS65" s="1416"/>
      <c r="BT65" s="1416"/>
      <c r="BU65" s="1416"/>
      <c r="BV65" s="1416"/>
      <c r="BW65" s="1416"/>
      <c r="BX65" s="1416"/>
      <c r="BY65" s="1416"/>
      <c r="BZ65" s="1416"/>
      <c r="CA65" s="672"/>
      <c r="CB65" s="709"/>
      <c r="CC65" s="709"/>
      <c r="CD65" s="709"/>
      <c r="CE65" s="709"/>
      <c r="CF65" s="709"/>
      <c r="CG65" s="709"/>
      <c r="CH65" s="709"/>
      <c r="CI65" s="709"/>
    </row>
    <row r="66" spans="1:87">
      <c r="A66" s="1415"/>
      <c r="B66" s="1415"/>
      <c r="C66" s="1415"/>
      <c r="D66" s="1416"/>
      <c r="E66" s="1416"/>
      <c r="F66" s="1416"/>
      <c r="G66" s="1416"/>
      <c r="H66" s="1416"/>
      <c r="I66" s="1416"/>
      <c r="J66" s="1416"/>
      <c r="K66" s="1416"/>
      <c r="L66" s="1416"/>
      <c r="M66" s="1416"/>
      <c r="N66" s="1416"/>
      <c r="O66" s="1416"/>
      <c r="P66" s="1416"/>
      <c r="Q66" s="1416"/>
      <c r="R66" s="1416"/>
      <c r="S66" s="1416"/>
      <c r="T66" s="1416"/>
      <c r="U66" s="1416"/>
      <c r="V66" s="1416"/>
      <c r="W66" s="1416"/>
      <c r="X66" s="1416"/>
      <c r="Y66" s="1416"/>
      <c r="Z66" s="1416"/>
      <c r="AA66" s="1416"/>
      <c r="AB66" s="1416"/>
      <c r="AC66" s="1416"/>
      <c r="AD66" s="1416"/>
      <c r="AE66" s="1416"/>
      <c r="AF66" s="1416"/>
      <c r="AG66" s="1416"/>
      <c r="AH66" s="1416"/>
      <c r="AI66" s="1416"/>
      <c r="AJ66" s="1416"/>
      <c r="AK66" s="1416"/>
      <c r="AL66" s="1416"/>
      <c r="AM66" s="1416"/>
      <c r="AN66" s="1416"/>
      <c r="AO66" s="1416"/>
      <c r="AP66" s="1416"/>
      <c r="AQ66" s="1416"/>
      <c r="AR66" s="1416"/>
      <c r="AS66" s="1416"/>
      <c r="AT66" s="1416"/>
      <c r="AU66" s="1416"/>
      <c r="AV66" s="1416"/>
      <c r="AW66" s="1416"/>
      <c r="AX66" s="1416"/>
      <c r="AY66" s="1416"/>
      <c r="AZ66" s="1416"/>
      <c r="BA66" s="1416"/>
      <c r="BB66" s="1416"/>
      <c r="BC66" s="1416"/>
      <c r="BD66" s="1416"/>
      <c r="BE66" s="1416"/>
      <c r="BF66" s="1416"/>
      <c r="BG66" s="1416"/>
      <c r="BH66" s="1416"/>
      <c r="BI66" s="1416"/>
      <c r="BJ66" s="1416"/>
      <c r="BK66" s="1416"/>
      <c r="BL66" s="1416"/>
      <c r="BM66" s="1416"/>
      <c r="BN66" s="1416"/>
      <c r="BO66" s="1416"/>
      <c r="BP66" s="1416"/>
      <c r="BQ66" s="1416"/>
      <c r="BR66" s="1416"/>
      <c r="BS66" s="1416"/>
      <c r="BT66" s="1416"/>
      <c r="BU66" s="1416"/>
      <c r="BV66" s="1416"/>
      <c r="BW66" s="1416"/>
      <c r="BX66" s="1416"/>
      <c r="BY66" s="1416"/>
      <c r="BZ66" s="1416"/>
      <c r="CA66" s="672"/>
      <c r="CB66" s="709"/>
      <c r="CC66" s="709"/>
      <c r="CD66" s="709"/>
      <c r="CE66" s="709"/>
      <c r="CF66" s="709"/>
      <c r="CG66" s="709"/>
      <c r="CH66" s="709"/>
      <c r="CI66" s="709"/>
    </row>
    <row r="67" spans="1:87">
      <c r="A67" s="1415"/>
      <c r="B67" s="1415"/>
      <c r="C67" s="1415"/>
      <c r="D67" s="1416"/>
      <c r="E67" s="1416"/>
      <c r="F67" s="1416"/>
      <c r="G67" s="1416"/>
      <c r="H67" s="1416"/>
      <c r="I67" s="1416"/>
      <c r="J67" s="1416"/>
      <c r="K67" s="1416"/>
      <c r="L67" s="1416"/>
      <c r="M67" s="1416"/>
      <c r="N67" s="1416"/>
      <c r="O67" s="1416"/>
      <c r="P67" s="1416"/>
      <c r="Q67" s="1416"/>
      <c r="R67" s="1416"/>
      <c r="S67" s="1416"/>
      <c r="T67" s="1416"/>
      <c r="U67" s="1416"/>
      <c r="V67" s="1416"/>
      <c r="W67" s="1416"/>
      <c r="X67" s="1416"/>
      <c r="Y67" s="1416"/>
      <c r="Z67" s="1416"/>
      <c r="AA67" s="1416"/>
      <c r="AB67" s="1416"/>
      <c r="AC67" s="1416"/>
      <c r="AD67" s="1416"/>
      <c r="AE67" s="1416"/>
      <c r="AF67" s="1416"/>
      <c r="AG67" s="1416"/>
      <c r="AH67" s="1416"/>
      <c r="AI67" s="1416"/>
      <c r="AJ67" s="1416"/>
      <c r="AK67" s="1416"/>
      <c r="AL67" s="1416"/>
      <c r="AM67" s="1416"/>
      <c r="AN67" s="1416"/>
      <c r="AO67" s="1416"/>
      <c r="AP67" s="1416"/>
      <c r="AQ67" s="1416"/>
      <c r="AR67" s="1416"/>
      <c r="AS67" s="1416"/>
      <c r="AT67" s="1416"/>
      <c r="AU67" s="1416"/>
      <c r="AV67" s="1416"/>
      <c r="AW67" s="1416"/>
      <c r="AX67" s="1416"/>
      <c r="AY67" s="1416"/>
      <c r="AZ67" s="1416"/>
      <c r="BA67" s="1416"/>
      <c r="BB67" s="1416"/>
      <c r="BC67" s="1416"/>
      <c r="BD67" s="1416"/>
      <c r="BE67" s="1416"/>
      <c r="BF67" s="1416"/>
      <c r="BG67" s="1416"/>
      <c r="BH67" s="1416"/>
      <c r="BI67" s="1416"/>
      <c r="BJ67" s="1416"/>
      <c r="BK67" s="1416"/>
      <c r="BL67" s="1416"/>
      <c r="BM67" s="1416"/>
      <c r="BN67" s="1416"/>
      <c r="BO67" s="1416"/>
      <c r="BP67" s="1416"/>
      <c r="BQ67" s="1416"/>
      <c r="BR67" s="1416"/>
      <c r="BS67" s="1416"/>
      <c r="BT67" s="1416"/>
      <c r="BU67" s="1416"/>
      <c r="BV67" s="1416"/>
      <c r="BW67" s="1416"/>
      <c r="BX67" s="1416"/>
      <c r="BY67" s="1416"/>
      <c r="BZ67" s="1416"/>
      <c r="CA67" s="672"/>
      <c r="CB67" s="709"/>
      <c r="CC67" s="709"/>
      <c r="CD67" s="709"/>
      <c r="CE67" s="709"/>
      <c r="CF67" s="709"/>
      <c r="CG67" s="709"/>
      <c r="CH67" s="709"/>
      <c r="CI67" s="709"/>
    </row>
    <row r="68" spans="1:87">
      <c r="A68" s="1417" t="s">
        <v>88</v>
      </c>
      <c r="B68" s="1417"/>
      <c r="C68" s="1417"/>
      <c r="D68" s="1417"/>
      <c r="E68" s="1417"/>
      <c r="F68" s="1417"/>
      <c r="G68" s="1417"/>
      <c r="H68" s="1417"/>
      <c r="I68" s="1417"/>
      <c r="J68" s="1417"/>
      <c r="K68" s="1417"/>
      <c r="L68" s="1417"/>
      <c r="M68" s="1417"/>
      <c r="N68" s="1417"/>
      <c r="O68" s="1417"/>
      <c r="P68" s="1417"/>
      <c r="Q68" s="1417"/>
      <c r="R68" s="1417"/>
      <c r="S68" s="1417"/>
      <c r="T68" s="1417"/>
      <c r="U68" s="1417"/>
      <c r="V68" s="1417"/>
      <c r="W68" s="1417"/>
      <c r="X68" s="1417"/>
      <c r="Y68" s="1417"/>
      <c r="Z68" s="1417"/>
      <c r="AA68" s="1417"/>
      <c r="AB68" s="1417"/>
      <c r="AC68" s="1417"/>
      <c r="AD68" s="1417"/>
      <c r="AE68" s="1417"/>
      <c r="AF68" s="1417"/>
      <c r="AG68" s="1417"/>
      <c r="AH68" s="1417"/>
      <c r="AI68" s="1417"/>
      <c r="AJ68" s="1417"/>
      <c r="AK68" s="1417"/>
      <c r="AL68" s="1417"/>
      <c r="AM68" s="1417"/>
      <c r="AN68" s="1417"/>
      <c r="AO68" s="1417"/>
      <c r="AP68" s="1417"/>
      <c r="AQ68" s="1417"/>
      <c r="AR68" s="1417"/>
      <c r="AS68" s="1417"/>
      <c r="AT68" s="1417"/>
      <c r="AU68" s="1417"/>
      <c r="AV68" s="1417"/>
      <c r="AW68" s="1417"/>
      <c r="AX68" s="1417"/>
      <c r="AY68" s="1417"/>
      <c r="AZ68" s="1417"/>
      <c r="BA68" s="1417"/>
      <c r="BB68" s="1417"/>
      <c r="BC68" s="1417"/>
      <c r="BD68" s="1417"/>
      <c r="BE68" s="1417"/>
      <c r="BF68" s="1417"/>
      <c r="BG68" s="1417"/>
      <c r="BH68" s="1417"/>
      <c r="BI68" s="1417"/>
      <c r="BJ68" s="1417"/>
      <c r="BK68" s="1417"/>
      <c r="BL68" s="1417"/>
      <c r="BM68" s="1417"/>
      <c r="BN68" s="1417"/>
      <c r="BO68" s="1417"/>
      <c r="BP68" s="1417"/>
      <c r="BQ68" s="1417"/>
      <c r="BR68" s="1417"/>
      <c r="BS68" s="1417"/>
      <c r="BT68" s="1417"/>
      <c r="BU68" s="1417"/>
      <c r="BV68" s="1417"/>
      <c r="BW68" s="1417"/>
      <c r="BX68" s="1417"/>
      <c r="BY68" s="1417"/>
      <c r="BZ68" s="1417"/>
      <c r="CA68" s="652"/>
      <c r="CB68" s="657"/>
      <c r="CC68" s="657"/>
      <c r="CD68" s="657"/>
      <c r="CE68" s="657"/>
      <c r="CF68" s="657"/>
      <c r="CG68" s="657"/>
      <c r="CH68" s="657"/>
      <c r="CI68" s="657"/>
    </row>
    <row r="69" spans="1:87">
      <c r="A69" s="1404" t="s">
        <v>87</v>
      </c>
      <c r="B69" s="1404"/>
      <c r="C69" s="1404"/>
      <c r="D69" s="1404"/>
      <c r="E69" s="1404"/>
      <c r="F69" s="1404"/>
      <c r="G69" s="1404"/>
      <c r="H69" s="1404"/>
      <c r="I69" s="1404"/>
      <c r="J69" s="1404"/>
      <c r="K69" s="1404"/>
      <c r="L69" s="1404"/>
      <c r="M69" s="1404"/>
      <c r="N69" s="1404"/>
      <c r="O69" s="1404"/>
      <c r="P69" s="1404"/>
      <c r="Q69" s="1404"/>
      <c r="R69" s="1404"/>
      <c r="S69" s="1404"/>
      <c r="T69" s="1404"/>
      <c r="U69" s="1404"/>
      <c r="V69" s="1404"/>
      <c r="W69" s="1404"/>
      <c r="X69" s="1404"/>
      <c r="Y69" s="1404"/>
      <c r="Z69" s="1404"/>
      <c r="AA69" s="1404"/>
      <c r="AB69" s="1404"/>
      <c r="AC69" s="1404"/>
      <c r="AD69" s="1404"/>
      <c r="AE69" s="1404"/>
      <c r="AF69" s="1404"/>
      <c r="AG69" s="1404"/>
      <c r="AH69" s="1404"/>
      <c r="AI69" s="1404"/>
      <c r="AJ69" s="1404"/>
      <c r="AK69" s="1404"/>
      <c r="AL69" s="1404"/>
      <c r="AM69" s="1404"/>
      <c r="AN69" s="1404"/>
      <c r="AO69" s="1404"/>
      <c r="AP69" s="1404"/>
      <c r="AQ69" s="1404"/>
      <c r="AR69" s="1404"/>
      <c r="AS69" s="1404"/>
      <c r="AT69" s="1404"/>
      <c r="AU69" s="1404"/>
      <c r="AV69" s="1404"/>
      <c r="AW69" s="1404"/>
      <c r="AX69" s="1404"/>
      <c r="AY69" s="1404"/>
      <c r="AZ69" s="1404"/>
      <c r="BA69" s="1404"/>
      <c r="BB69" s="1404"/>
      <c r="BC69" s="1404"/>
      <c r="BD69" s="1404"/>
      <c r="BE69" s="1404"/>
      <c r="BF69" s="1404"/>
      <c r="BG69" s="1404"/>
      <c r="BH69" s="1404"/>
      <c r="BI69" s="1404"/>
      <c r="BJ69" s="1404"/>
      <c r="BK69" s="1404"/>
      <c r="BL69" s="1404"/>
      <c r="BM69" s="1404"/>
      <c r="BN69" s="1404"/>
      <c r="BO69" s="1404"/>
      <c r="BP69" s="1404"/>
      <c r="BQ69" s="1404"/>
      <c r="BR69" s="1404"/>
      <c r="BS69" s="1404"/>
      <c r="BT69" s="1404"/>
      <c r="BU69" s="1404"/>
      <c r="BV69" s="1404"/>
      <c r="BW69" s="1404"/>
      <c r="BX69" s="1404"/>
      <c r="BY69" s="1404"/>
      <c r="BZ69" s="1404"/>
      <c r="CA69" s="652"/>
      <c r="CB69" s="657"/>
      <c r="CC69" s="657"/>
      <c r="CD69" s="657"/>
      <c r="CE69" s="657"/>
      <c r="CF69" s="657"/>
      <c r="CG69" s="657"/>
      <c r="CH69" s="657"/>
      <c r="CI69" s="657"/>
    </row>
    <row r="70" spans="1:87">
      <c r="A70" s="1404" t="s">
        <v>86</v>
      </c>
      <c r="B70" s="1404"/>
      <c r="C70" s="1404"/>
      <c r="D70" s="1404"/>
      <c r="E70" s="1404"/>
      <c r="F70" s="1404"/>
      <c r="G70" s="1404"/>
      <c r="H70" s="1404"/>
      <c r="I70" s="1404"/>
      <c r="J70" s="1404"/>
      <c r="K70" s="1404"/>
      <c r="L70" s="1404"/>
      <c r="M70" s="1404"/>
      <c r="N70" s="1404"/>
      <c r="O70" s="1404"/>
      <c r="P70" s="1404"/>
      <c r="Q70" s="1404"/>
      <c r="R70" s="1404"/>
      <c r="S70" s="1404"/>
      <c r="T70" s="1404"/>
      <c r="U70" s="1404"/>
      <c r="V70" s="1404"/>
      <c r="W70" s="1404"/>
      <c r="X70" s="1404"/>
      <c r="Y70" s="1404"/>
      <c r="Z70" s="1404"/>
      <c r="AA70" s="1404"/>
      <c r="AB70" s="1404"/>
      <c r="AC70" s="1404"/>
      <c r="AD70" s="1404"/>
      <c r="AE70" s="1404"/>
      <c r="AF70" s="1404"/>
      <c r="AG70" s="1404"/>
      <c r="AH70" s="1404"/>
      <c r="AI70" s="1404"/>
      <c r="AJ70" s="1404"/>
      <c r="AK70" s="1404"/>
      <c r="AL70" s="1404"/>
      <c r="AM70" s="1404"/>
      <c r="AN70" s="1404"/>
      <c r="AO70" s="1404"/>
      <c r="AP70" s="1404"/>
      <c r="AQ70" s="1404"/>
      <c r="AR70" s="1404"/>
      <c r="AS70" s="1404"/>
      <c r="AT70" s="1404"/>
      <c r="AU70" s="1404"/>
      <c r="AV70" s="1404"/>
      <c r="AW70" s="1404"/>
      <c r="AX70" s="1404"/>
      <c r="AY70" s="1404"/>
      <c r="AZ70" s="1404"/>
      <c r="BA70" s="1404"/>
      <c r="BB70" s="1404"/>
      <c r="BC70" s="1404"/>
      <c r="BD70" s="1404"/>
      <c r="BE70" s="1404"/>
      <c r="BF70" s="1404"/>
      <c r="BG70" s="1404"/>
      <c r="BH70" s="1404"/>
      <c r="BI70" s="1404"/>
      <c r="BJ70" s="1404"/>
      <c r="BK70" s="1404"/>
      <c r="BL70" s="1404"/>
      <c r="BM70" s="1404"/>
      <c r="BN70" s="1404"/>
      <c r="BO70" s="1404"/>
      <c r="BP70" s="1404"/>
      <c r="BQ70" s="1404"/>
      <c r="BR70" s="1404"/>
      <c r="BS70" s="1404"/>
      <c r="BT70" s="1404"/>
      <c r="BU70" s="1404"/>
      <c r="BV70" s="1404"/>
      <c r="BW70" s="1404"/>
      <c r="BX70" s="1404"/>
      <c r="BY70" s="1404"/>
      <c r="BZ70" s="1404"/>
      <c r="CA70" s="652"/>
      <c r="CB70" s="657"/>
      <c r="CC70" s="657"/>
      <c r="CD70" s="657"/>
      <c r="CE70" s="657"/>
      <c r="CF70" s="657"/>
      <c r="CG70" s="657"/>
      <c r="CH70" s="657"/>
      <c r="CI70" s="657"/>
    </row>
    <row r="71" spans="1:87" s="252" customFormat="1" ht="23.25">
      <c r="A71" s="1452" t="s">
        <v>3113</v>
      </c>
      <c r="B71" s="1452"/>
      <c r="C71" s="1452"/>
      <c r="D71" s="1452"/>
      <c r="E71" s="1452"/>
      <c r="F71" s="1452"/>
      <c r="G71" s="1452"/>
      <c r="H71" s="1452"/>
      <c r="I71" s="1452"/>
      <c r="J71" s="1452"/>
      <c r="K71" s="1452"/>
      <c r="L71" s="1452"/>
      <c r="M71" s="1452"/>
      <c r="N71" s="1452"/>
      <c r="O71" s="1452"/>
      <c r="P71" s="1452"/>
      <c r="Q71" s="1452"/>
      <c r="R71" s="1452"/>
      <c r="S71" s="1452"/>
      <c r="T71" s="1452"/>
      <c r="U71" s="1452"/>
      <c r="V71" s="1452"/>
      <c r="W71" s="1452"/>
      <c r="X71" s="1452"/>
      <c r="Y71" s="1452"/>
      <c r="Z71" s="1452"/>
      <c r="AA71" s="1452"/>
      <c r="AB71" s="1452"/>
      <c r="AC71" s="1452"/>
      <c r="AD71" s="1452"/>
      <c r="AE71" s="1452"/>
      <c r="AF71" s="1452"/>
      <c r="AG71" s="1452"/>
      <c r="AH71" s="1452"/>
      <c r="AI71" s="1452"/>
      <c r="AJ71" s="1452"/>
      <c r="AK71" s="1452"/>
      <c r="AL71" s="1452"/>
      <c r="AM71" s="1452"/>
      <c r="AN71" s="1452"/>
      <c r="AO71" s="1452"/>
      <c r="AP71" s="1452"/>
      <c r="AQ71" s="1452"/>
      <c r="AR71" s="1452"/>
      <c r="AS71" s="1452"/>
      <c r="AT71" s="1452"/>
      <c r="AU71" s="1452"/>
      <c r="AV71" s="1452"/>
      <c r="AW71" s="1452"/>
      <c r="AX71" s="1452"/>
      <c r="AY71" s="1452"/>
      <c r="AZ71" s="1452"/>
      <c r="BA71" s="1452"/>
      <c r="BB71" s="1452"/>
      <c r="BC71" s="1452"/>
      <c r="BD71" s="1452"/>
      <c r="BE71" s="1452"/>
      <c r="BF71" s="1452"/>
      <c r="BG71" s="1452"/>
      <c r="BH71" s="1452"/>
      <c r="BI71" s="1452"/>
      <c r="BJ71" s="1452"/>
      <c r="BK71" s="1452"/>
      <c r="BL71" s="1452"/>
      <c r="BM71" s="1452"/>
      <c r="BN71" s="1452"/>
      <c r="BO71" s="1452"/>
      <c r="BP71" s="1452"/>
      <c r="BQ71" s="1452"/>
      <c r="BR71" s="1452"/>
      <c r="BS71" s="1452"/>
      <c r="BT71" s="1452"/>
      <c r="BU71" s="1452"/>
      <c r="BV71" s="1452"/>
      <c r="BW71" s="1452"/>
      <c r="BX71" s="1452"/>
      <c r="BY71" s="1452"/>
      <c r="BZ71" s="1452"/>
      <c r="CA71" s="643"/>
      <c r="CB71" s="644"/>
      <c r="CC71" s="644"/>
      <c r="CD71" s="644"/>
      <c r="CE71" s="644"/>
      <c r="CF71" s="644"/>
      <c r="CG71" s="644"/>
      <c r="CH71" s="644"/>
      <c r="CI71" s="644"/>
    </row>
    <row r="72" spans="1:87" s="252" customFormat="1" ht="9.9499999999999993" customHeight="1">
      <c r="B72" s="749"/>
      <c r="C72" s="749"/>
      <c r="D72" s="749"/>
      <c r="E72" s="749"/>
      <c r="F72" s="749"/>
      <c r="G72" s="749"/>
      <c r="H72" s="749"/>
      <c r="I72" s="749"/>
      <c r="J72" s="749"/>
      <c r="K72" s="749"/>
      <c r="L72" s="749"/>
      <c r="M72" s="749"/>
      <c r="N72" s="749"/>
      <c r="O72" s="749"/>
      <c r="P72" s="749"/>
      <c r="Q72" s="749"/>
      <c r="R72" s="749"/>
      <c r="S72" s="749"/>
      <c r="T72" s="749"/>
      <c r="U72" s="749"/>
      <c r="V72" s="749"/>
      <c r="W72" s="749"/>
      <c r="X72" s="749"/>
      <c r="Y72" s="749"/>
      <c r="Z72" s="749"/>
      <c r="AA72" s="749"/>
      <c r="AB72" s="749"/>
      <c r="AC72" s="749"/>
      <c r="AD72" s="749"/>
      <c r="AE72" s="749"/>
      <c r="AF72" s="749"/>
      <c r="AG72" s="1462"/>
      <c r="AH72" s="1462"/>
      <c r="AI72" s="1462"/>
      <c r="AJ72" s="1462"/>
      <c r="AK72" s="1462"/>
      <c r="AL72" s="1462"/>
      <c r="AM72" s="1462"/>
      <c r="AN72" s="1462"/>
      <c r="AO72" s="1462"/>
      <c r="AP72" s="1462"/>
      <c r="AQ72" s="1462"/>
      <c r="AR72" s="1462"/>
      <c r="AS72" s="1462"/>
      <c r="AT72" s="1462"/>
      <c r="AU72" s="1462"/>
      <c r="AV72" s="1462"/>
      <c r="AW72" s="1462"/>
      <c r="AX72" s="1462"/>
      <c r="AY72" s="1462"/>
      <c r="AZ72" s="1462"/>
      <c r="BA72" s="1462"/>
      <c r="BB72" s="1462"/>
      <c r="BC72" s="1462"/>
      <c r="BD72" s="1462"/>
      <c r="BE72" s="1462"/>
      <c r="BF72" s="1462"/>
      <c r="BG72" s="1462"/>
      <c r="BH72" s="1462"/>
      <c r="BI72" s="1462"/>
      <c r="BJ72" s="1462"/>
      <c r="BK72" s="1462"/>
      <c r="BL72" s="1462"/>
      <c r="BM72" s="1462"/>
      <c r="BN72" s="1462"/>
      <c r="BO72" s="1462"/>
      <c r="BP72" s="1462"/>
      <c r="BQ72" s="1462"/>
      <c r="BR72" s="1462"/>
      <c r="BS72" s="1462"/>
      <c r="BT72" s="1462"/>
      <c r="BU72" s="1462"/>
      <c r="BV72" s="1462"/>
      <c r="BW72" s="1453" t="s">
        <v>85</v>
      </c>
      <c r="BX72" s="1453"/>
      <c r="BY72" s="1454">
        <v>1</v>
      </c>
      <c r="BZ72" s="1454"/>
      <c r="CA72" s="294"/>
    </row>
    <row r="73" spans="1:87" s="252" customFormat="1" ht="9.9499999999999993" customHeight="1">
      <c r="B73" s="749"/>
      <c r="C73" s="749"/>
      <c r="D73" s="749"/>
      <c r="E73" s="749"/>
      <c r="F73" s="749"/>
      <c r="G73" s="749"/>
      <c r="H73" s="749"/>
      <c r="I73" s="749"/>
      <c r="J73" s="749"/>
      <c r="K73" s="749"/>
      <c r="L73" s="749"/>
      <c r="M73" s="749"/>
      <c r="N73" s="749"/>
      <c r="O73" s="749"/>
      <c r="P73" s="749"/>
      <c r="Q73" s="749"/>
      <c r="R73" s="749"/>
      <c r="S73" s="749"/>
      <c r="T73" s="749"/>
      <c r="U73" s="749"/>
      <c r="V73" s="749"/>
      <c r="W73" s="749"/>
      <c r="X73" s="749"/>
      <c r="Y73" s="749"/>
      <c r="Z73" s="749"/>
      <c r="AA73" s="749"/>
      <c r="AB73" s="749"/>
      <c r="AC73" s="749"/>
      <c r="AD73" s="749"/>
      <c r="AE73" s="749"/>
      <c r="AF73" s="749"/>
      <c r="AG73" s="1462"/>
      <c r="AH73" s="1462"/>
      <c r="AI73" s="1462"/>
      <c r="AJ73" s="1462"/>
      <c r="AK73" s="1462"/>
      <c r="AL73" s="1462"/>
      <c r="AM73" s="1462"/>
      <c r="AN73" s="1462"/>
      <c r="AO73" s="1462"/>
      <c r="AP73" s="1462"/>
      <c r="AQ73" s="1462"/>
      <c r="AR73" s="1462"/>
      <c r="AS73" s="1462"/>
      <c r="AT73" s="1462"/>
      <c r="AU73" s="1462"/>
      <c r="AV73" s="1462"/>
      <c r="AW73" s="1462"/>
      <c r="AX73" s="1462"/>
      <c r="AY73" s="1462"/>
      <c r="AZ73" s="1462"/>
      <c r="BA73" s="1462"/>
      <c r="BB73" s="1462"/>
      <c r="BC73" s="1462"/>
      <c r="BD73" s="1462"/>
      <c r="BE73" s="1462"/>
      <c r="BF73" s="1462"/>
      <c r="BG73" s="1462"/>
      <c r="BH73" s="1462"/>
      <c r="BI73" s="1462"/>
      <c r="BJ73" s="1462"/>
      <c r="BK73" s="1462"/>
      <c r="BL73" s="1462"/>
      <c r="BM73" s="1462"/>
      <c r="BN73" s="1462"/>
      <c r="BO73" s="1462"/>
      <c r="BP73" s="1462"/>
      <c r="BQ73" s="1462"/>
      <c r="BR73" s="1462"/>
      <c r="BS73" s="1462"/>
      <c r="BT73" s="1462"/>
      <c r="BU73" s="1462"/>
      <c r="BV73" s="1462"/>
      <c r="CA73" s="294"/>
    </row>
    <row r="74" spans="1:87" s="252" customFormat="1" ht="12" customHeight="1">
      <c r="A74" s="1455" t="s">
        <v>84</v>
      </c>
      <c r="B74" s="1455"/>
      <c r="C74" s="1455"/>
      <c r="D74" s="1455"/>
      <c r="E74" s="1455"/>
      <c r="F74" s="1455"/>
      <c r="G74" s="1455"/>
      <c r="H74" s="1457" t="s">
        <v>3040</v>
      </c>
      <c r="I74" s="1457"/>
      <c r="J74" s="1457"/>
      <c r="K74" s="1457"/>
      <c r="L74" s="1457"/>
      <c r="M74" s="1457"/>
      <c r="N74" s="1457"/>
      <c r="O74" s="1457"/>
      <c r="P74" s="1457"/>
      <c r="Q74" s="1457"/>
      <c r="R74" s="1457"/>
      <c r="S74" s="1457"/>
      <c r="T74" s="1457"/>
      <c r="U74" s="1457"/>
      <c r="V74" s="1457"/>
      <c r="W74" s="1457"/>
      <c r="X74" s="1455" t="s">
        <v>82</v>
      </c>
      <c r="Y74" s="1455"/>
      <c r="Z74" s="1455"/>
      <c r="AA74" s="1455"/>
      <c r="AB74" s="1455"/>
      <c r="AC74" s="1455"/>
      <c r="AD74" s="1455"/>
      <c r="AE74" s="1459" t="s">
        <v>3088</v>
      </c>
      <c r="AF74" s="1459"/>
      <c r="AG74" s="1459"/>
      <c r="AH74" s="1459"/>
      <c r="AI74" s="1453" t="s">
        <v>16</v>
      </c>
      <c r="AJ74" s="1453"/>
      <c r="AK74" s="1459">
        <v>6</v>
      </c>
      <c r="AL74" s="1459"/>
      <c r="AM74" s="1453" t="s">
        <v>15</v>
      </c>
      <c r="AN74" s="1453"/>
      <c r="AO74" s="1459">
        <v>2</v>
      </c>
      <c r="AP74" s="1459"/>
      <c r="AQ74" s="1453" t="s">
        <v>14</v>
      </c>
      <c r="AR74" s="1453"/>
      <c r="AS74" s="1453" t="s">
        <v>38</v>
      </c>
      <c r="AT74" s="1453"/>
      <c r="AU74" s="1459" t="s">
        <v>3041</v>
      </c>
      <c r="AV74" s="1459"/>
      <c r="AW74" s="1453" t="s">
        <v>37</v>
      </c>
      <c r="AX74" s="1453"/>
      <c r="AY74" s="1453" t="s">
        <v>35</v>
      </c>
      <c r="AZ74" s="1453"/>
      <c r="BA74" s="1459">
        <v>6</v>
      </c>
      <c r="BB74" s="1459"/>
      <c r="BC74" s="1453" t="s">
        <v>15</v>
      </c>
      <c r="BD74" s="1453"/>
      <c r="BE74" s="1459">
        <v>3</v>
      </c>
      <c r="BF74" s="1459"/>
      <c r="BG74" s="1453" t="s">
        <v>14</v>
      </c>
      <c r="BH74" s="1453"/>
      <c r="BI74" s="1453" t="s">
        <v>38</v>
      </c>
      <c r="BJ74" s="1453"/>
      <c r="BK74" s="1459" t="s">
        <v>3042</v>
      </c>
      <c r="BL74" s="1459"/>
      <c r="BM74" s="1453" t="s">
        <v>37</v>
      </c>
      <c r="BN74" s="1453"/>
      <c r="BO74" s="1453"/>
      <c r="BP74" s="1511"/>
      <c r="BQ74" s="1453"/>
      <c r="BR74" s="1453"/>
      <c r="BS74" s="1508">
        <v>1</v>
      </c>
      <c r="BT74" s="1508"/>
      <c r="BU74" s="1453" t="s">
        <v>46</v>
      </c>
      <c r="BV74" s="1453"/>
      <c r="BW74" s="1508">
        <v>2</v>
      </c>
      <c r="BX74" s="1508"/>
      <c r="BY74" s="1453" t="s">
        <v>14</v>
      </c>
      <c r="BZ74" s="1453"/>
      <c r="CA74" s="294"/>
    </row>
    <row r="75" spans="1:87" s="252" customFormat="1" ht="12" customHeight="1">
      <c r="A75" s="1456"/>
      <c r="B75" s="1456"/>
      <c r="C75" s="1456"/>
      <c r="D75" s="1456"/>
      <c r="E75" s="1456"/>
      <c r="F75" s="1456"/>
      <c r="G75" s="1456"/>
      <c r="H75" s="1458"/>
      <c r="I75" s="1458"/>
      <c r="J75" s="1458"/>
      <c r="K75" s="1458"/>
      <c r="L75" s="1458"/>
      <c r="M75" s="1458"/>
      <c r="N75" s="1458"/>
      <c r="O75" s="1458"/>
      <c r="P75" s="1458"/>
      <c r="Q75" s="1458"/>
      <c r="R75" s="1458"/>
      <c r="S75" s="1458"/>
      <c r="T75" s="1458"/>
      <c r="U75" s="1458"/>
      <c r="V75" s="1458"/>
      <c r="W75" s="1458"/>
      <c r="X75" s="1456"/>
      <c r="Y75" s="1456"/>
      <c r="Z75" s="1456"/>
      <c r="AA75" s="1456"/>
      <c r="AB75" s="1456"/>
      <c r="AC75" s="1456"/>
      <c r="AD75" s="1456"/>
      <c r="AE75" s="1460"/>
      <c r="AF75" s="1460"/>
      <c r="AG75" s="1460"/>
      <c r="AH75" s="1460"/>
      <c r="AI75" s="1454"/>
      <c r="AJ75" s="1454"/>
      <c r="AK75" s="1460"/>
      <c r="AL75" s="1460"/>
      <c r="AM75" s="1454"/>
      <c r="AN75" s="1454"/>
      <c r="AO75" s="1460"/>
      <c r="AP75" s="1460"/>
      <c r="AQ75" s="1454"/>
      <c r="AR75" s="1454"/>
      <c r="AS75" s="1454"/>
      <c r="AT75" s="1454"/>
      <c r="AU75" s="1460"/>
      <c r="AV75" s="1460"/>
      <c r="AW75" s="1454"/>
      <c r="AX75" s="1454"/>
      <c r="AY75" s="1454"/>
      <c r="AZ75" s="1454"/>
      <c r="BA75" s="1460"/>
      <c r="BB75" s="1460"/>
      <c r="BC75" s="1454"/>
      <c r="BD75" s="1454"/>
      <c r="BE75" s="1460"/>
      <c r="BF75" s="1460"/>
      <c r="BG75" s="1454"/>
      <c r="BH75" s="1454"/>
      <c r="BI75" s="1454"/>
      <c r="BJ75" s="1454"/>
      <c r="BK75" s="1460"/>
      <c r="BL75" s="1460"/>
      <c r="BM75" s="1454"/>
      <c r="BN75" s="1454"/>
      <c r="BO75" s="1512"/>
      <c r="BP75" s="1512"/>
      <c r="BQ75" s="1454"/>
      <c r="BR75" s="1454"/>
      <c r="BS75" s="1454" t="s">
        <v>47</v>
      </c>
      <c r="BT75" s="1454"/>
      <c r="BU75" s="1454"/>
      <c r="BV75" s="1454"/>
      <c r="BW75" s="1509" t="e">
        <f>CONCATENATE('[1]01 使用承認申請書'!V166)</f>
        <v>#REF!</v>
      </c>
      <c r="BX75" s="1509"/>
      <c r="BY75" s="1454" t="s">
        <v>14</v>
      </c>
      <c r="BZ75" s="1454"/>
      <c r="CA75" s="294"/>
    </row>
    <row r="76" spans="1:87" s="252" customFormat="1" ht="12" customHeight="1">
      <c r="A76" s="744"/>
      <c r="B76" s="744"/>
      <c r="C76" s="744"/>
      <c r="D76" s="744"/>
      <c r="E76" s="744"/>
      <c r="F76" s="744"/>
      <c r="G76" s="744"/>
      <c r="H76" s="745"/>
      <c r="I76" s="745"/>
      <c r="J76" s="745"/>
      <c r="K76" s="745"/>
      <c r="L76" s="745"/>
      <c r="M76" s="745"/>
      <c r="N76" s="745"/>
      <c r="O76" s="745"/>
      <c r="P76" s="745"/>
      <c r="Q76" s="745"/>
      <c r="R76" s="745"/>
      <c r="S76" s="745"/>
      <c r="T76" s="745"/>
      <c r="U76" s="745"/>
      <c r="V76" s="745"/>
      <c r="W76" s="745"/>
      <c r="X76" s="744"/>
      <c r="Y76" s="744"/>
      <c r="Z76" s="744"/>
      <c r="AA76" s="744"/>
      <c r="AB76" s="744"/>
      <c r="AC76" s="744"/>
      <c r="AD76" s="744"/>
      <c r="AE76" s="741"/>
      <c r="AF76" s="741"/>
      <c r="AG76" s="742"/>
      <c r="AH76" s="648"/>
      <c r="AI76" s="746"/>
      <c r="AJ76" s="741"/>
      <c r="AK76" s="742"/>
      <c r="AL76" s="742"/>
      <c r="AM76" s="741"/>
      <c r="AN76" s="741"/>
      <c r="AO76" s="742"/>
      <c r="AP76" s="742"/>
      <c r="AQ76" s="741"/>
      <c r="AR76" s="741"/>
      <c r="AS76" s="741"/>
      <c r="AT76" s="741"/>
      <c r="AU76" s="742"/>
      <c r="AV76" s="742"/>
      <c r="AW76" s="741"/>
      <c r="AX76" s="741"/>
      <c r="AY76" s="741"/>
      <c r="AZ76" s="741"/>
      <c r="BA76" s="742"/>
      <c r="BB76" s="742"/>
      <c r="BC76" s="741"/>
      <c r="BD76" s="741"/>
      <c r="BE76" s="742"/>
      <c r="BF76" s="742"/>
      <c r="BG76" s="741"/>
      <c r="BH76" s="741"/>
      <c r="BI76" s="741"/>
      <c r="BJ76" s="741"/>
      <c r="BK76" s="742"/>
      <c r="BL76" s="742"/>
      <c r="BM76" s="741"/>
      <c r="BN76" s="741"/>
      <c r="BO76" s="743"/>
      <c r="BP76" s="743"/>
      <c r="BQ76" s="741"/>
      <c r="BR76" s="741"/>
      <c r="BS76" s="741"/>
      <c r="BT76" s="741"/>
      <c r="BU76" s="741"/>
      <c r="BV76" s="741"/>
      <c r="BW76" s="649"/>
      <c r="BX76" s="649"/>
      <c r="BY76" s="741"/>
      <c r="BZ76" s="741"/>
      <c r="CA76" s="294"/>
    </row>
    <row r="77" spans="1:87" ht="10.5" customHeight="1">
      <c r="A77" s="650"/>
      <c r="B77" s="650"/>
      <c r="C77" s="650"/>
      <c r="D77" s="650"/>
      <c r="E77" s="650"/>
      <c r="F77" s="650"/>
      <c r="G77" s="651"/>
      <c r="H77" s="650"/>
      <c r="I77" s="650"/>
      <c r="J77" s="650"/>
      <c r="K77" s="650"/>
      <c r="L77" s="650"/>
      <c r="M77" s="1505">
        <v>0.28125</v>
      </c>
      <c r="N77" s="1506"/>
      <c r="O77" s="1506"/>
      <c r="P77" s="1506"/>
      <c r="Q77" s="1507" t="s">
        <v>1901</v>
      </c>
      <c r="R77" s="1507"/>
      <c r="S77" s="1507"/>
      <c r="T77" s="1505">
        <v>0.36458333333333331</v>
      </c>
      <c r="U77" s="1506"/>
      <c r="V77" s="1506"/>
      <c r="W77" s="1506"/>
      <c r="X77" s="650"/>
      <c r="Y77" s="650"/>
      <c r="Z77" s="650"/>
      <c r="AA77" s="652"/>
      <c r="AB77" s="652"/>
      <c r="AC77" s="652"/>
      <c r="AD77" s="652"/>
      <c r="AE77" s="652"/>
      <c r="AF77" s="1505">
        <v>0.47916666666666669</v>
      </c>
      <c r="AG77" s="1506"/>
      <c r="AH77" s="1506"/>
      <c r="AI77" s="1506"/>
      <c r="AJ77" s="1507" t="s">
        <v>1901</v>
      </c>
      <c r="AK77" s="1507"/>
      <c r="AL77" s="1507"/>
      <c r="AM77" s="1505">
        <v>6.25E-2</v>
      </c>
      <c r="AN77" s="1506"/>
      <c r="AO77" s="1506"/>
      <c r="AP77" s="1506"/>
      <c r="AQ77" s="652"/>
      <c r="AR77" s="652"/>
      <c r="AS77" s="652"/>
      <c r="AT77" s="652"/>
      <c r="AU77" s="652"/>
      <c r="AV77" s="652"/>
      <c r="AW77" s="652"/>
      <c r="AX77" s="652"/>
      <c r="AY77" s="652"/>
      <c r="AZ77" s="652"/>
      <c r="BA77" s="1505">
        <v>0.20833333333333334</v>
      </c>
      <c r="BB77" s="1506"/>
      <c r="BC77" s="1506"/>
      <c r="BD77" s="1506"/>
      <c r="BE77" s="1507" t="s">
        <v>1901</v>
      </c>
      <c r="BF77" s="1507"/>
      <c r="BG77" s="1507"/>
      <c r="BH77" s="1507"/>
      <c r="BI77" s="1505">
        <v>0.29166666666666669</v>
      </c>
      <c r="BJ77" s="1506"/>
      <c r="BK77" s="1506"/>
      <c r="BL77" s="1506"/>
      <c r="BM77" s="652"/>
      <c r="BN77" s="652"/>
      <c r="BO77" s="652"/>
      <c r="BP77" s="652"/>
      <c r="BQ77" s="652"/>
      <c r="BR77" s="652"/>
      <c r="BS77" s="652"/>
      <c r="BT77" s="652"/>
      <c r="BU77" s="652"/>
      <c r="BV77" s="652"/>
      <c r="BW77" s="652"/>
      <c r="BX77" s="652"/>
      <c r="BY77" s="652"/>
      <c r="BZ77" s="652"/>
      <c r="CA77" s="652"/>
    </row>
    <row r="78" spans="1:87" ht="10.5" customHeight="1">
      <c r="A78" s="650"/>
      <c r="B78" s="650"/>
      <c r="C78" s="650"/>
      <c r="D78" s="650"/>
      <c r="E78" s="650"/>
      <c r="F78" s="650"/>
      <c r="G78" s="651"/>
      <c r="H78" s="650"/>
      <c r="I78" s="650"/>
      <c r="J78" s="650"/>
      <c r="K78" s="650"/>
      <c r="L78" s="650"/>
      <c r="M78" s="650"/>
      <c r="N78" s="650"/>
      <c r="O78" s="1491" t="s">
        <v>1837</v>
      </c>
      <c r="P78" s="1492"/>
      <c r="Q78" s="1492"/>
      <c r="R78" s="1492"/>
      <c r="S78" s="1492"/>
      <c r="T78" s="1493"/>
      <c r="U78" s="650"/>
      <c r="V78" s="650"/>
      <c r="W78" s="650"/>
      <c r="X78" s="650"/>
      <c r="Y78" s="650"/>
      <c r="Z78" s="650"/>
      <c r="AA78" s="652"/>
      <c r="AB78" s="652"/>
      <c r="AC78" s="652"/>
      <c r="AD78" s="652"/>
      <c r="AE78" s="652"/>
      <c r="AF78" s="654"/>
      <c r="AG78" s="654"/>
      <c r="AH78" s="1491" t="s">
        <v>1837</v>
      </c>
      <c r="AI78" s="1494"/>
      <c r="AJ78" s="1494"/>
      <c r="AK78" s="1494"/>
      <c r="AL78" s="1494"/>
      <c r="AM78" s="1494"/>
      <c r="AN78" s="1495"/>
      <c r="AO78" s="652"/>
      <c r="AP78" s="652"/>
      <c r="AQ78" s="652"/>
      <c r="AR78" s="652"/>
      <c r="AS78" s="652"/>
      <c r="AT78" s="652"/>
      <c r="AU78" s="652"/>
      <c r="AV78" s="652"/>
      <c r="AW78" s="652"/>
      <c r="AX78" s="652"/>
      <c r="AY78" s="652"/>
      <c r="AZ78" s="652"/>
      <c r="BA78" s="652"/>
      <c r="BB78" s="652"/>
      <c r="BC78" s="1496" t="s">
        <v>1837</v>
      </c>
      <c r="BD78" s="1494"/>
      <c r="BE78" s="1494"/>
      <c r="BF78" s="1494"/>
      <c r="BG78" s="1494"/>
      <c r="BH78" s="1494"/>
      <c r="BI78" s="1494"/>
      <c r="BJ78" s="1495"/>
      <c r="BK78" s="652"/>
      <c r="BL78" s="652"/>
      <c r="BM78" s="652"/>
      <c r="BN78" s="652"/>
      <c r="BO78" s="652"/>
      <c r="BP78" s="652"/>
      <c r="BQ78" s="652"/>
      <c r="BR78" s="652"/>
      <c r="BS78" s="652"/>
      <c r="BT78" s="652"/>
      <c r="BU78" s="652"/>
      <c r="BV78" s="652"/>
      <c r="BW78" s="652"/>
      <c r="BX78" s="652"/>
      <c r="BY78" s="652"/>
      <c r="BZ78" s="652"/>
      <c r="CA78" s="652"/>
    </row>
    <row r="79" spans="1:87" ht="10.5" customHeight="1">
      <c r="A79" s="1497" t="s">
        <v>80</v>
      </c>
      <c r="B79" s="1497"/>
      <c r="C79" s="1497"/>
      <c r="D79" s="1497" t="s">
        <v>79</v>
      </c>
      <c r="E79" s="1497"/>
      <c r="F79" s="1497"/>
      <c r="G79" s="651"/>
      <c r="H79" s="650"/>
      <c r="I79" s="650"/>
      <c r="J79" s="650"/>
      <c r="K79" s="650"/>
      <c r="L79" s="650"/>
      <c r="M79" s="650"/>
      <c r="N79" s="650"/>
      <c r="O79" s="650"/>
      <c r="P79" s="650"/>
      <c r="Q79" s="650"/>
      <c r="R79" s="650"/>
      <c r="S79" s="650"/>
      <c r="T79" s="650"/>
      <c r="U79" s="650"/>
      <c r="V79" s="650"/>
      <c r="W79" s="650"/>
      <c r="X79" s="650"/>
      <c r="Y79" s="650"/>
      <c r="Z79" s="650"/>
      <c r="AA79" s="652"/>
      <c r="AB79" s="652"/>
      <c r="AC79" s="652"/>
      <c r="AD79" s="652"/>
      <c r="AE79" s="652"/>
      <c r="AF79" s="654"/>
      <c r="AG79" s="654"/>
      <c r="AH79" s="655"/>
      <c r="AI79" s="1498" t="s">
        <v>1404</v>
      </c>
      <c r="AJ79" s="1498"/>
      <c r="AK79" s="1498"/>
      <c r="AL79" s="1498"/>
      <c r="AM79" s="1498"/>
      <c r="AN79" s="1498"/>
      <c r="AO79" s="1498"/>
      <c r="AP79" s="1498"/>
      <c r="AQ79" s="1498"/>
      <c r="AR79" s="1498"/>
      <c r="AS79" s="1498"/>
      <c r="AT79" s="1498"/>
      <c r="AU79" s="1498"/>
      <c r="AV79" s="1498"/>
      <c r="AW79" s="1498"/>
      <c r="AX79" s="1498"/>
      <c r="AY79" s="1499" t="s">
        <v>1405</v>
      </c>
      <c r="AZ79" s="1500"/>
      <c r="BA79" s="1500"/>
      <c r="BB79" s="1500"/>
      <c r="BC79" s="1500"/>
      <c r="BD79" s="1500"/>
      <c r="BE79" s="1500"/>
      <c r="BF79" s="1500"/>
      <c r="BG79" s="1500"/>
      <c r="BH79" s="1500"/>
      <c r="BI79" s="1500"/>
      <c r="BJ79" s="1500"/>
      <c r="BK79" s="1500"/>
      <c r="BL79" s="1500"/>
      <c r="BM79" s="1500"/>
      <c r="BN79" s="1500"/>
      <c r="BO79" s="1500"/>
      <c r="BP79" s="1500"/>
      <c r="BQ79" s="1500"/>
      <c r="BR79" s="1500"/>
      <c r="BS79" s="1500"/>
      <c r="BT79" s="1501"/>
      <c r="BU79" s="1502" t="s">
        <v>76</v>
      </c>
      <c r="BV79" s="1503"/>
      <c r="BW79" s="1503"/>
      <c r="BX79" s="1503"/>
      <c r="BY79" s="1503"/>
      <c r="BZ79" s="1504"/>
      <c r="CA79" s="652"/>
    </row>
    <row r="80" spans="1:87" ht="10.5" customHeight="1">
      <c r="A80" s="1497"/>
      <c r="B80" s="1497"/>
      <c r="C80" s="1497"/>
      <c r="D80" s="1497"/>
      <c r="E80" s="1497"/>
      <c r="F80" s="1497"/>
      <c r="G80" s="1461"/>
      <c r="H80" s="1461"/>
      <c r="I80" s="1391">
        <v>0.25</v>
      </c>
      <c r="J80" s="1391"/>
      <c r="K80" s="1391"/>
      <c r="L80" s="1391"/>
      <c r="M80" s="1391">
        <v>0.29166666666666669</v>
      </c>
      <c r="N80" s="1391"/>
      <c r="O80" s="1391"/>
      <c r="P80" s="1391"/>
      <c r="Q80" s="1391">
        <v>0.33333333333333331</v>
      </c>
      <c r="R80" s="1391"/>
      <c r="S80" s="1391"/>
      <c r="T80" s="1391"/>
      <c r="U80" s="1391">
        <v>0.375</v>
      </c>
      <c r="V80" s="1391"/>
      <c r="W80" s="1391"/>
      <c r="X80" s="1391"/>
      <c r="Y80" s="1391">
        <v>0.41666666666666669</v>
      </c>
      <c r="Z80" s="1418"/>
      <c r="AA80" s="1391"/>
      <c r="AB80" s="1391"/>
      <c r="AC80" s="1391">
        <v>0.45833333333333331</v>
      </c>
      <c r="AD80" s="1391"/>
      <c r="AE80" s="1391"/>
      <c r="AF80" s="1391"/>
      <c r="AG80" s="1385">
        <v>0.5</v>
      </c>
      <c r="AH80" s="1385"/>
      <c r="AI80" s="1385"/>
      <c r="AJ80" s="1385"/>
      <c r="AK80" s="1385">
        <v>4.1666666666666664E-2</v>
      </c>
      <c r="AL80" s="1385"/>
      <c r="AM80" s="1385"/>
      <c r="AN80" s="1385"/>
      <c r="AO80" s="1385">
        <v>8.3333333333333329E-2</v>
      </c>
      <c r="AP80" s="1385"/>
      <c r="AQ80" s="1385"/>
      <c r="AR80" s="1385"/>
      <c r="AS80" s="1385">
        <v>0.125</v>
      </c>
      <c r="AT80" s="1385"/>
      <c r="AU80" s="1385"/>
      <c r="AV80" s="1385"/>
      <c r="AW80" s="1385">
        <v>0.16666666666666666</v>
      </c>
      <c r="AX80" s="1385"/>
      <c r="AY80" s="1385"/>
      <c r="AZ80" s="1385"/>
      <c r="BA80" s="1385">
        <v>0.20833333333333334</v>
      </c>
      <c r="BB80" s="1385"/>
      <c r="BC80" s="1385"/>
      <c r="BD80" s="1385"/>
      <c r="BE80" s="1385">
        <v>0.25</v>
      </c>
      <c r="BF80" s="1385"/>
      <c r="BG80" s="1385"/>
      <c r="BH80" s="1385"/>
      <c r="BI80" s="1385">
        <v>0.29166666666666669</v>
      </c>
      <c r="BJ80" s="1385"/>
      <c r="BK80" s="1385"/>
      <c r="BL80" s="1385"/>
      <c r="BM80" s="1385">
        <v>0.33333333333333331</v>
      </c>
      <c r="BN80" s="1385"/>
      <c r="BO80" s="1385"/>
      <c r="BP80" s="1385"/>
      <c r="BQ80" s="1385">
        <v>0.375</v>
      </c>
      <c r="BR80" s="1385"/>
      <c r="BS80" s="1385"/>
      <c r="BT80" s="1385"/>
      <c r="BU80" s="1385">
        <v>0.41666666666666669</v>
      </c>
      <c r="BV80" s="1414"/>
      <c r="BW80" s="1414"/>
      <c r="BX80" s="1414"/>
      <c r="BY80" s="1385"/>
      <c r="BZ80" s="1385"/>
      <c r="CA80" s="656"/>
      <c r="CB80" s="657"/>
      <c r="CC80" s="657"/>
      <c r="CD80" s="657"/>
      <c r="CE80" s="657"/>
      <c r="CF80" s="657"/>
      <c r="CG80" s="657"/>
      <c r="CH80" s="657"/>
      <c r="CI80" s="657"/>
    </row>
    <row r="81" spans="1:87" ht="9.9499999999999993" customHeight="1">
      <c r="A81" s="1482">
        <f>AK74</f>
        <v>6</v>
      </c>
      <c r="B81" s="1482"/>
      <c r="C81" s="1482"/>
      <c r="D81" s="1390" t="s">
        <v>78</v>
      </c>
      <c r="E81" s="1390"/>
      <c r="F81" s="1390"/>
      <c r="G81" s="1395" t="s">
        <v>3026</v>
      </c>
      <c r="H81" s="1396"/>
      <c r="I81" s="1396"/>
      <c r="J81" s="1396"/>
      <c r="K81" s="1396"/>
      <c r="L81" s="1396"/>
      <c r="M81" s="1396"/>
      <c r="N81" s="1396"/>
      <c r="O81" s="1396"/>
      <c r="P81" s="1396"/>
      <c r="Q81" s="1396"/>
      <c r="R81" s="1396"/>
      <c r="S81" s="1396"/>
      <c r="T81" s="1396"/>
      <c r="U81" s="1396"/>
      <c r="V81" s="1397"/>
      <c r="W81" s="658"/>
      <c r="X81" s="658"/>
      <c r="Y81" s="658"/>
      <c r="Z81" s="658"/>
      <c r="AA81" s="1464" t="s">
        <v>3027</v>
      </c>
      <c r="AB81" s="1464"/>
      <c r="AC81" s="1451" t="s">
        <v>3093</v>
      </c>
      <c r="AD81" s="1451"/>
      <c r="AE81" s="1451"/>
      <c r="AF81" s="1451"/>
      <c r="AG81" s="1451"/>
      <c r="AH81" s="1451"/>
      <c r="AI81" s="1451"/>
      <c r="AJ81" s="1451"/>
      <c r="AK81" s="1451"/>
      <c r="AL81" s="1451"/>
      <c r="AM81" s="1451"/>
      <c r="AN81" s="1451"/>
      <c r="AO81" s="1451"/>
      <c r="AP81" s="1451"/>
      <c r="AQ81" s="1437" t="s">
        <v>3095</v>
      </c>
      <c r="AR81" s="1438"/>
      <c r="AS81" s="1451" t="s">
        <v>3133</v>
      </c>
      <c r="AT81" s="1451"/>
      <c r="AU81" s="1451"/>
      <c r="AV81" s="1451"/>
      <c r="AW81" s="1451"/>
      <c r="AX81" s="1451"/>
      <c r="AY81" s="1451"/>
      <c r="AZ81" s="1451"/>
      <c r="BA81" s="1465" t="s">
        <v>3092</v>
      </c>
      <c r="BB81" s="1465"/>
      <c r="BC81" s="1465" t="s">
        <v>3036</v>
      </c>
      <c r="BD81" s="1465"/>
      <c r="BE81" s="1465"/>
      <c r="BF81" s="1465"/>
      <c r="BG81" s="1465" t="s">
        <v>3016</v>
      </c>
      <c r="BH81" s="1465"/>
      <c r="BI81" s="1465"/>
      <c r="BJ81" s="1465"/>
      <c r="BK81" s="1464" t="s">
        <v>3014</v>
      </c>
      <c r="BL81" s="1464"/>
      <c r="BM81" s="1464"/>
      <c r="BN81" s="1464"/>
      <c r="BO81" s="1466" t="s">
        <v>3033</v>
      </c>
      <c r="BP81" s="1466"/>
      <c r="BQ81" s="1466"/>
      <c r="BR81" s="1466"/>
      <c r="BS81" s="1466" t="s">
        <v>3034</v>
      </c>
      <c r="BT81" s="1466"/>
      <c r="BU81" s="1464" t="s">
        <v>3028</v>
      </c>
      <c r="BV81" s="1464"/>
      <c r="BW81" s="1464"/>
      <c r="BX81" s="1464"/>
      <c r="BY81" s="1464"/>
      <c r="BZ81" s="1464"/>
      <c r="CA81" s="668"/>
      <c r="CB81" s="657"/>
      <c r="CC81" s="657"/>
      <c r="CD81" s="657"/>
      <c r="CE81" s="657"/>
      <c r="CF81" s="657"/>
      <c r="CG81" s="657"/>
      <c r="CH81" s="657"/>
      <c r="CI81" s="657"/>
    </row>
    <row r="82" spans="1:87" ht="9.9499999999999993" customHeight="1">
      <c r="A82" s="1482"/>
      <c r="B82" s="1482"/>
      <c r="C82" s="1482"/>
      <c r="D82" s="1390"/>
      <c r="E82" s="1390"/>
      <c r="F82" s="1390"/>
      <c r="G82" s="1398"/>
      <c r="H82" s="1399"/>
      <c r="I82" s="1399"/>
      <c r="J82" s="1399"/>
      <c r="K82" s="1399"/>
      <c r="L82" s="1399"/>
      <c r="M82" s="1399"/>
      <c r="N82" s="1399"/>
      <c r="O82" s="1399"/>
      <c r="P82" s="1399"/>
      <c r="Q82" s="1399"/>
      <c r="R82" s="1399"/>
      <c r="S82" s="1399"/>
      <c r="T82" s="1399"/>
      <c r="U82" s="1399"/>
      <c r="V82" s="1400"/>
      <c r="W82" s="669"/>
      <c r="X82" s="669"/>
      <c r="Y82" s="669"/>
      <c r="Z82" s="669"/>
      <c r="AA82" s="1464"/>
      <c r="AB82" s="1464"/>
      <c r="AC82" s="1451"/>
      <c r="AD82" s="1451"/>
      <c r="AE82" s="1451"/>
      <c r="AF82" s="1451"/>
      <c r="AG82" s="1451"/>
      <c r="AH82" s="1451"/>
      <c r="AI82" s="1451"/>
      <c r="AJ82" s="1451"/>
      <c r="AK82" s="1451"/>
      <c r="AL82" s="1451"/>
      <c r="AM82" s="1451"/>
      <c r="AN82" s="1451"/>
      <c r="AO82" s="1451"/>
      <c r="AP82" s="1451"/>
      <c r="AQ82" s="1439"/>
      <c r="AR82" s="1440"/>
      <c r="AS82" s="1451"/>
      <c r="AT82" s="1451"/>
      <c r="AU82" s="1451"/>
      <c r="AV82" s="1451"/>
      <c r="AW82" s="1451"/>
      <c r="AX82" s="1451"/>
      <c r="AY82" s="1451"/>
      <c r="AZ82" s="1451"/>
      <c r="BA82" s="1465"/>
      <c r="BB82" s="1465"/>
      <c r="BC82" s="1465"/>
      <c r="BD82" s="1465"/>
      <c r="BE82" s="1465"/>
      <c r="BF82" s="1465"/>
      <c r="BG82" s="1465"/>
      <c r="BH82" s="1465"/>
      <c r="BI82" s="1465"/>
      <c r="BJ82" s="1465"/>
      <c r="BK82" s="1464"/>
      <c r="BL82" s="1464"/>
      <c r="BM82" s="1464"/>
      <c r="BN82" s="1464"/>
      <c r="BO82" s="1466"/>
      <c r="BP82" s="1466"/>
      <c r="BQ82" s="1466"/>
      <c r="BR82" s="1466"/>
      <c r="BS82" s="1466"/>
      <c r="BT82" s="1466"/>
      <c r="BU82" s="1464"/>
      <c r="BV82" s="1464"/>
      <c r="BW82" s="1464"/>
      <c r="BX82" s="1464"/>
      <c r="BY82" s="1464"/>
      <c r="BZ82" s="1464"/>
      <c r="CA82" s="668"/>
      <c r="CB82" s="657"/>
      <c r="CC82" s="657"/>
      <c r="CD82" s="657"/>
      <c r="CE82" s="657"/>
      <c r="CF82" s="657"/>
      <c r="CG82" s="657"/>
      <c r="CH82" s="657"/>
      <c r="CI82" s="657"/>
    </row>
    <row r="83" spans="1:87" ht="9.9499999999999993" customHeight="1">
      <c r="A83" s="1483"/>
      <c r="B83" s="1483"/>
      <c r="C83" s="1483"/>
      <c r="D83" s="1390"/>
      <c r="E83" s="1390"/>
      <c r="F83" s="1390"/>
      <c r="G83" s="1398"/>
      <c r="H83" s="1399"/>
      <c r="I83" s="1399"/>
      <c r="J83" s="1399"/>
      <c r="K83" s="1399"/>
      <c r="L83" s="1399"/>
      <c r="M83" s="1399"/>
      <c r="N83" s="1399"/>
      <c r="O83" s="1399"/>
      <c r="P83" s="1399"/>
      <c r="Q83" s="1399"/>
      <c r="R83" s="1399"/>
      <c r="S83" s="1399"/>
      <c r="T83" s="1399"/>
      <c r="U83" s="1399"/>
      <c r="V83" s="1400"/>
      <c r="W83" s="669"/>
      <c r="X83" s="669"/>
      <c r="Y83" s="669"/>
      <c r="Z83" s="669"/>
      <c r="AA83" s="1464"/>
      <c r="AB83" s="1464"/>
      <c r="AC83" s="1451"/>
      <c r="AD83" s="1451"/>
      <c r="AE83" s="1451"/>
      <c r="AF83" s="1451"/>
      <c r="AG83" s="1451"/>
      <c r="AH83" s="1451"/>
      <c r="AI83" s="1451"/>
      <c r="AJ83" s="1451"/>
      <c r="AK83" s="1451"/>
      <c r="AL83" s="1451"/>
      <c r="AM83" s="1451"/>
      <c r="AN83" s="1451"/>
      <c r="AO83" s="1451"/>
      <c r="AP83" s="1451"/>
      <c r="AQ83" s="1439"/>
      <c r="AR83" s="1440"/>
      <c r="AS83" s="1451"/>
      <c r="AT83" s="1451"/>
      <c r="AU83" s="1451"/>
      <c r="AV83" s="1451"/>
      <c r="AW83" s="1451"/>
      <c r="AX83" s="1451"/>
      <c r="AY83" s="1451"/>
      <c r="AZ83" s="1451"/>
      <c r="BA83" s="1465"/>
      <c r="BB83" s="1465"/>
      <c r="BC83" s="1465"/>
      <c r="BD83" s="1465"/>
      <c r="BE83" s="1465"/>
      <c r="BF83" s="1465"/>
      <c r="BG83" s="1465"/>
      <c r="BH83" s="1465"/>
      <c r="BI83" s="1465"/>
      <c r="BJ83" s="1465"/>
      <c r="BK83" s="1464"/>
      <c r="BL83" s="1464"/>
      <c r="BM83" s="1464"/>
      <c r="BN83" s="1464"/>
      <c r="BO83" s="1466"/>
      <c r="BP83" s="1466"/>
      <c r="BQ83" s="1466"/>
      <c r="BR83" s="1466"/>
      <c r="BS83" s="1466"/>
      <c r="BT83" s="1466"/>
      <c r="BU83" s="1464"/>
      <c r="BV83" s="1464"/>
      <c r="BW83" s="1464"/>
      <c r="BX83" s="1464"/>
      <c r="BY83" s="1464"/>
      <c r="BZ83" s="1464"/>
      <c r="CA83" s="672"/>
      <c r="CB83" s="657"/>
      <c r="CC83" s="657"/>
      <c r="CD83" s="657"/>
      <c r="CE83" s="657"/>
      <c r="CF83" s="657"/>
      <c r="CG83" s="657"/>
      <c r="CH83" s="657"/>
      <c r="CI83" s="657"/>
    </row>
    <row r="84" spans="1:87" ht="9.9499999999999993" customHeight="1">
      <c r="A84" s="1389" t="s">
        <v>15</v>
      </c>
      <c r="B84" s="1389"/>
      <c r="C84" s="1389"/>
      <c r="D84" s="1390"/>
      <c r="E84" s="1390"/>
      <c r="F84" s="1390"/>
      <c r="G84" s="1398"/>
      <c r="H84" s="1399"/>
      <c r="I84" s="1399"/>
      <c r="J84" s="1399"/>
      <c r="K84" s="1399"/>
      <c r="L84" s="1399"/>
      <c r="M84" s="1399"/>
      <c r="N84" s="1399"/>
      <c r="O84" s="1399"/>
      <c r="P84" s="1399"/>
      <c r="Q84" s="1399"/>
      <c r="R84" s="1399"/>
      <c r="S84" s="1399"/>
      <c r="T84" s="1399"/>
      <c r="U84" s="1399"/>
      <c r="V84" s="1400"/>
      <c r="W84" s="669"/>
      <c r="X84" s="669"/>
      <c r="Y84" s="669"/>
      <c r="Z84" s="669"/>
      <c r="AA84" s="1464"/>
      <c r="AB84" s="1464"/>
      <c r="AC84" s="1451"/>
      <c r="AD84" s="1451"/>
      <c r="AE84" s="1451"/>
      <c r="AF84" s="1451"/>
      <c r="AG84" s="1451"/>
      <c r="AH84" s="1451"/>
      <c r="AI84" s="1451"/>
      <c r="AJ84" s="1451"/>
      <c r="AK84" s="1451"/>
      <c r="AL84" s="1451"/>
      <c r="AM84" s="1451"/>
      <c r="AN84" s="1451"/>
      <c r="AO84" s="1451"/>
      <c r="AP84" s="1451"/>
      <c r="AQ84" s="1439"/>
      <c r="AR84" s="1440"/>
      <c r="AS84" s="1451"/>
      <c r="AT84" s="1451"/>
      <c r="AU84" s="1451"/>
      <c r="AV84" s="1451"/>
      <c r="AW84" s="1451"/>
      <c r="AX84" s="1451"/>
      <c r="AY84" s="1451"/>
      <c r="AZ84" s="1451"/>
      <c r="BA84" s="1465"/>
      <c r="BB84" s="1465"/>
      <c r="BC84" s="1465"/>
      <c r="BD84" s="1465"/>
      <c r="BE84" s="1465"/>
      <c r="BF84" s="1465"/>
      <c r="BG84" s="1465"/>
      <c r="BH84" s="1465"/>
      <c r="BI84" s="1465"/>
      <c r="BJ84" s="1465"/>
      <c r="BK84" s="1464"/>
      <c r="BL84" s="1464"/>
      <c r="BM84" s="1464"/>
      <c r="BN84" s="1464"/>
      <c r="BO84" s="1466"/>
      <c r="BP84" s="1466"/>
      <c r="BQ84" s="1466"/>
      <c r="BR84" s="1466"/>
      <c r="BS84" s="1466"/>
      <c r="BT84" s="1466"/>
      <c r="BU84" s="1464"/>
      <c r="BV84" s="1464"/>
      <c r="BW84" s="1464"/>
      <c r="BX84" s="1464"/>
      <c r="BY84" s="1464"/>
      <c r="BZ84" s="1464"/>
      <c r="CA84" s="672"/>
      <c r="CB84" s="657"/>
      <c r="CC84" s="657"/>
      <c r="CD84" s="657"/>
      <c r="CE84" s="657"/>
      <c r="CF84" s="657"/>
      <c r="CG84" s="657"/>
      <c r="CH84" s="657"/>
      <c r="CI84" s="657"/>
    </row>
    <row r="85" spans="1:87" ht="9.9499999999999993" customHeight="1">
      <c r="A85" s="1390"/>
      <c r="B85" s="1390"/>
      <c r="C85" s="1390"/>
      <c r="D85" s="1390"/>
      <c r="E85" s="1390"/>
      <c r="F85" s="1390"/>
      <c r="G85" s="1398"/>
      <c r="H85" s="1399"/>
      <c r="I85" s="1399"/>
      <c r="J85" s="1399"/>
      <c r="K85" s="1399"/>
      <c r="L85" s="1399"/>
      <c r="M85" s="1399"/>
      <c r="N85" s="1399"/>
      <c r="O85" s="1399"/>
      <c r="P85" s="1399"/>
      <c r="Q85" s="1399"/>
      <c r="R85" s="1399"/>
      <c r="S85" s="1399"/>
      <c r="T85" s="1399"/>
      <c r="U85" s="1399"/>
      <c r="V85" s="1400"/>
      <c r="W85" s="669"/>
      <c r="X85" s="669"/>
      <c r="Y85" s="669"/>
      <c r="Z85" s="669"/>
      <c r="AA85" s="1464"/>
      <c r="AB85" s="1464"/>
      <c r="AC85" s="1451"/>
      <c r="AD85" s="1451"/>
      <c r="AE85" s="1451"/>
      <c r="AF85" s="1451"/>
      <c r="AG85" s="1451"/>
      <c r="AH85" s="1451"/>
      <c r="AI85" s="1451"/>
      <c r="AJ85" s="1451"/>
      <c r="AK85" s="1451"/>
      <c r="AL85" s="1451"/>
      <c r="AM85" s="1451"/>
      <c r="AN85" s="1451"/>
      <c r="AO85" s="1451"/>
      <c r="AP85" s="1451"/>
      <c r="AQ85" s="1439"/>
      <c r="AR85" s="1440"/>
      <c r="AS85" s="1451"/>
      <c r="AT85" s="1451"/>
      <c r="AU85" s="1451"/>
      <c r="AV85" s="1451"/>
      <c r="AW85" s="1451"/>
      <c r="AX85" s="1451"/>
      <c r="AY85" s="1451"/>
      <c r="AZ85" s="1451"/>
      <c r="BA85" s="1465"/>
      <c r="BB85" s="1465"/>
      <c r="BC85" s="1465"/>
      <c r="BD85" s="1465"/>
      <c r="BE85" s="1465"/>
      <c r="BF85" s="1465"/>
      <c r="BG85" s="1465"/>
      <c r="BH85" s="1465"/>
      <c r="BI85" s="1465"/>
      <c r="BJ85" s="1465"/>
      <c r="BK85" s="1464"/>
      <c r="BL85" s="1464"/>
      <c r="BM85" s="1464"/>
      <c r="BN85" s="1464"/>
      <c r="BO85" s="1466"/>
      <c r="BP85" s="1466"/>
      <c r="BQ85" s="1466"/>
      <c r="BR85" s="1466"/>
      <c r="BS85" s="1466"/>
      <c r="BT85" s="1466"/>
      <c r="BU85" s="1464"/>
      <c r="BV85" s="1464"/>
      <c r="BW85" s="1464"/>
      <c r="BX85" s="1464"/>
      <c r="BY85" s="1464"/>
      <c r="BZ85" s="1464"/>
      <c r="CA85" s="668"/>
      <c r="CB85" s="657"/>
      <c r="CC85" s="657"/>
      <c r="CD85" s="657"/>
      <c r="CE85" s="657"/>
      <c r="CF85" s="657"/>
      <c r="CG85" s="657"/>
      <c r="CH85" s="657"/>
      <c r="CI85" s="657"/>
    </row>
    <row r="86" spans="1:87" ht="9.9499999999999993" customHeight="1">
      <c r="A86" s="1484"/>
      <c r="B86" s="1484"/>
      <c r="C86" s="1484"/>
      <c r="D86" s="1390"/>
      <c r="E86" s="1390"/>
      <c r="F86" s="1390"/>
      <c r="G86" s="1398"/>
      <c r="H86" s="1399"/>
      <c r="I86" s="1399"/>
      <c r="J86" s="1399"/>
      <c r="K86" s="1399"/>
      <c r="L86" s="1399"/>
      <c r="M86" s="1399"/>
      <c r="N86" s="1399"/>
      <c r="O86" s="1399"/>
      <c r="P86" s="1399"/>
      <c r="Q86" s="1399"/>
      <c r="R86" s="1399"/>
      <c r="S86" s="1399"/>
      <c r="T86" s="1399"/>
      <c r="U86" s="1399"/>
      <c r="V86" s="1400"/>
      <c r="W86" s="669"/>
      <c r="X86" s="669"/>
      <c r="Y86" s="669"/>
      <c r="Z86" s="669"/>
      <c r="AA86" s="1464"/>
      <c r="AB86" s="1464"/>
      <c r="AC86" s="1451"/>
      <c r="AD86" s="1451"/>
      <c r="AE86" s="1451"/>
      <c r="AF86" s="1451"/>
      <c r="AG86" s="1451"/>
      <c r="AH86" s="1451"/>
      <c r="AI86" s="1451"/>
      <c r="AJ86" s="1451"/>
      <c r="AK86" s="1451"/>
      <c r="AL86" s="1451"/>
      <c r="AM86" s="1451"/>
      <c r="AN86" s="1451"/>
      <c r="AO86" s="1451"/>
      <c r="AP86" s="1451"/>
      <c r="AQ86" s="1439"/>
      <c r="AR86" s="1440"/>
      <c r="AS86" s="1451"/>
      <c r="AT86" s="1451"/>
      <c r="AU86" s="1451"/>
      <c r="AV86" s="1451"/>
      <c r="AW86" s="1451"/>
      <c r="AX86" s="1451"/>
      <c r="AY86" s="1451"/>
      <c r="AZ86" s="1451"/>
      <c r="BA86" s="1465"/>
      <c r="BB86" s="1465"/>
      <c r="BC86" s="1465"/>
      <c r="BD86" s="1465"/>
      <c r="BE86" s="1465"/>
      <c r="BF86" s="1465"/>
      <c r="BG86" s="1465"/>
      <c r="BH86" s="1465"/>
      <c r="BI86" s="1465"/>
      <c r="BJ86" s="1465"/>
      <c r="BK86" s="1464"/>
      <c r="BL86" s="1464"/>
      <c r="BM86" s="1464"/>
      <c r="BN86" s="1464"/>
      <c r="BO86" s="1466"/>
      <c r="BP86" s="1466"/>
      <c r="BQ86" s="1466"/>
      <c r="BR86" s="1466"/>
      <c r="BS86" s="1466"/>
      <c r="BT86" s="1466"/>
      <c r="BU86" s="1464"/>
      <c r="BV86" s="1464"/>
      <c r="BW86" s="1464"/>
      <c r="BX86" s="1464"/>
      <c r="BY86" s="1464"/>
      <c r="BZ86" s="1464"/>
      <c r="CA86" s="668"/>
      <c r="CB86" s="657"/>
      <c r="CC86" s="657"/>
      <c r="CD86" s="657"/>
      <c r="CE86" s="657"/>
      <c r="CF86" s="657"/>
      <c r="CG86" s="657"/>
      <c r="CH86" s="657"/>
      <c r="CI86" s="657"/>
    </row>
    <row r="87" spans="1:87" ht="9.9499999999999993" customHeight="1">
      <c r="A87" s="1485">
        <f>AO74</f>
        <v>2</v>
      </c>
      <c r="B87" s="1485"/>
      <c r="C87" s="1485"/>
      <c r="D87" s="1390"/>
      <c r="E87" s="1390"/>
      <c r="F87" s="1390"/>
      <c r="G87" s="1398"/>
      <c r="H87" s="1399"/>
      <c r="I87" s="1399"/>
      <c r="J87" s="1399"/>
      <c r="K87" s="1399"/>
      <c r="L87" s="1399"/>
      <c r="M87" s="1399"/>
      <c r="N87" s="1399"/>
      <c r="O87" s="1399"/>
      <c r="P87" s="1399"/>
      <c r="Q87" s="1399"/>
      <c r="R87" s="1399"/>
      <c r="S87" s="1399"/>
      <c r="T87" s="1399"/>
      <c r="U87" s="1399"/>
      <c r="V87" s="1400"/>
      <c r="W87" s="669"/>
      <c r="X87" s="669"/>
      <c r="Y87" s="669"/>
      <c r="Z87" s="669"/>
      <c r="AA87" s="1464"/>
      <c r="AB87" s="1464"/>
      <c r="AC87" s="1451"/>
      <c r="AD87" s="1451"/>
      <c r="AE87" s="1451"/>
      <c r="AF87" s="1451"/>
      <c r="AG87" s="1451"/>
      <c r="AH87" s="1451"/>
      <c r="AI87" s="1451"/>
      <c r="AJ87" s="1451"/>
      <c r="AK87" s="1451"/>
      <c r="AL87" s="1451"/>
      <c r="AM87" s="1451"/>
      <c r="AN87" s="1451"/>
      <c r="AO87" s="1451"/>
      <c r="AP87" s="1451"/>
      <c r="AQ87" s="1439"/>
      <c r="AR87" s="1440"/>
      <c r="AS87" s="1451"/>
      <c r="AT87" s="1451"/>
      <c r="AU87" s="1451"/>
      <c r="AV87" s="1451"/>
      <c r="AW87" s="1451"/>
      <c r="AX87" s="1451"/>
      <c r="AY87" s="1451"/>
      <c r="AZ87" s="1451"/>
      <c r="BA87" s="1465"/>
      <c r="BB87" s="1465"/>
      <c r="BC87" s="1465"/>
      <c r="BD87" s="1465"/>
      <c r="BE87" s="1465"/>
      <c r="BF87" s="1465"/>
      <c r="BG87" s="1465"/>
      <c r="BH87" s="1465"/>
      <c r="BI87" s="1465"/>
      <c r="BJ87" s="1465"/>
      <c r="BK87" s="1464"/>
      <c r="BL87" s="1464"/>
      <c r="BM87" s="1464"/>
      <c r="BN87" s="1464"/>
      <c r="BO87" s="1466"/>
      <c r="BP87" s="1466"/>
      <c r="BQ87" s="1466"/>
      <c r="BR87" s="1466"/>
      <c r="BS87" s="1466"/>
      <c r="BT87" s="1466"/>
      <c r="BU87" s="1464"/>
      <c r="BV87" s="1464"/>
      <c r="BW87" s="1464"/>
      <c r="BX87" s="1464"/>
      <c r="BY87" s="1464"/>
      <c r="BZ87" s="1464"/>
      <c r="CA87" s="668"/>
      <c r="CB87" s="657"/>
      <c r="CC87" s="657"/>
      <c r="CD87" s="657"/>
      <c r="CE87" s="657"/>
      <c r="CF87" s="657"/>
      <c r="CG87" s="657"/>
      <c r="CH87" s="657"/>
      <c r="CI87" s="657"/>
    </row>
    <row r="88" spans="1:87" ht="9.9499999999999993" customHeight="1">
      <c r="A88" s="1482"/>
      <c r="B88" s="1482"/>
      <c r="C88" s="1482"/>
      <c r="D88" s="1390"/>
      <c r="E88" s="1390"/>
      <c r="F88" s="1390"/>
      <c r="G88" s="1398"/>
      <c r="H88" s="1399"/>
      <c r="I88" s="1399"/>
      <c r="J88" s="1399"/>
      <c r="K88" s="1399"/>
      <c r="L88" s="1399"/>
      <c r="M88" s="1399"/>
      <c r="N88" s="1399"/>
      <c r="O88" s="1399"/>
      <c r="P88" s="1399"/>
      <c r="Q88" s="1399"/>
      <c r="R88" s="1399"/>
      <c r="S88" s="1399"/>
      <c r="T88" s="1399"/>
      <c r="U88" s="1399"/>
      <c r="V88" s="1400"/>
      <c r="W88" s="673"/>
      <c r="X88" s="673"/>
      <c r="Y88" s="673"/>
      <c r="Z88" s="673"/>
      <c r="AA88" s="1464"/>
      <c r="AB88" s="1464"/>
      <c r="AC88" s="1451"/>
      <c r="AD88" s="1451"/>
      <c r="AE88" s="1451"/>
      <c r="AF88" s="1451"/>
      <c r="AG88" s="1451"/>
      <c r="AH88" s="1451"/>
      <c r="AI88" s="1451"/>
      <c r="AJ88" s="1451"/>
      <c r="AK88" s="1451"/>
      <c r="AL88" s="1451"/>
      <c r="AM88" s="1451"/>
      <c r="AN88" s="1451"/>
      <c r="AO88" s="1451"/>
      <c r="AP88" s="1451"/>
      <c r="AQ88" s="1439"/>
      <c r="AR88" s="1440"/>
      <c r="AS88" s="1451"/>
      <c r="AT88" s="1451"/>
      <c r="AU88" s="1451"/>
      <c r="AV88" s="1451"/>
      <c r="AW88" s="1451"/>
      <c r="AX88" s="1451"/>
      <c r="AY88" s="1451"/>
      <c r="AZ88" s="1451"/>
      <c r="BA88" s="1465"/>
      <c r="BB88" s="1465"/>
      <c r="BC88" s="1465"/>
      <c r="BD88" s="1465"/>
      <c r="BE88" s="1465"/>
      <c r="BF88" s="1465"/>
      <c r="BG88" s="1465"/>
      <c r="BH88" s="1465"/>
      <c r="BI88" s="1465"/>
      <c r="BJ88" s="1465"/>
      <c r="BK88" s="1464"/>
      <c r="BL88" s="1464"/>
      <c r="BM88" s="1464"/>
      <c r="BN88" s="1464"/>
      <c r="BO88" s="1466"/>
      <c r="BP88" s="1466"/>
      <c r="BQ88" s="1466"/>
      <c r="BR88" s="1466"/>
      <c r="BS88" s="1466"/>
      <c r="BT88" s="1466"/>
      <c r="BU88" s="1464"/>
      <c r="BV88" s="1464"/>
      <c r="BW88" s="1464"/>
      <c r="BX88" s="1464"/>
      <c r="BY88" s="1464"/>
      <c r="BZ88" s="1464"/>
      <c r="CA88" s="679"/>
      <c r="CB88" s="657"/>
      <c r="CC88" s="657"/>
      <c r="CD88" s="657"/>
      <c r="CE88" s="657"/>
      <c r="CF88" s="657"/>
      <c r="CG88" s="657"/>
      <c r="CH88" s="657"/>
      <c r="CI88" s="657"/>
    </row>
    <row r="89" spans="1:87" ht="9.9499999999999993" customHeight="1">
      <c r="A89" s="1483"/>
      <c r="B89" s="1483"/>
      <c r="C89" s="1483"/>
      <c r="D89" s="1390" t="s">
        <v>77</v>
      </c>
      <c r="E89" s="1390"/>
      <c r="F89" s="1390"/>
      <c r="G89" s="1398"/>
      <c r="H89" s="1399"/>
      <c r="I89" s="1399"/>
      <c r="J89" s="1399"/>
      <c r="K89" s="1399"/>
      <c r="L89" s="1399"/>
      <c r="M89" s="1399"/>
      <c r="N89" s="1399"/>
      <c r="O89" s="1399"/>
      <c r="P89" s="1399"/>
      <c r="Q89" s="1399"/>
      <c r="R89" s="1399"/>
      <c r="S89" s="1399"/>
      <c r="T89" s="1399"/>
      <c r="U89" s="1399"/>
      <c r="V89" s="1400"/>
      <c r="W89" s="669"/>
      <c r="X89" s="669"/>
      <c r="Y89" s="669"/>
      <c r="Z89" s="669"/>
      <c r="AA89" s="1464"/>
      <c r="AB89" s="1464"/>
      <c r="AC89" s="1489" t="s">
        <v>3037</v>
      </c>
      <c r="AD89" s="1489"/>
      <c r="AE89" s="1489"/>
      <c r="AF89" s="1489"/>
      <c r="AG89" s="1489"/>
      <c r="AH89" s="1489"/>
      <c r="AI89" s="1451" t="s">
        <v>3099</v>
      </c>
      <c r="AJ89" s="1489"/>
      <c r="AK89" s="1489"/>
      <c r="AL89" s="1489"/>
      <c r="AM89" s="1490" t="s">
        <v>3094</v>
      </c>
      <c r="AN89" s="1443"/>
      <c r="AO89" s="1443"/>
      <c r="AP89" s="1444"/>
      <c r="AQ89" s="1439"/>
      <c r="AR89" s="1440"/>
      <c r="AS89" s="1451"/>
      <c r="AT89" s="1451"/>
      <c r="AU89" s="1451"/>
      <c r="AV89" s="1451"/>
      <c r="AW89" s="1451"/>
      <c r="AX89" s="1451"/>
      <c r="AY89" s="1451"/>
      <c r="AZ89" s="1451"/>
      <c r="BA89" s="1465"/>
      <c r="BB89" s="1465"/>
      <c r="BC89" s="1465"/>
      <c r="BD89" s="1465"/>
      <c r="BE89" s="1465"/>
      <c r="BF89" s="1465"/>
      <c r="BG89" s="1465"/>
      <c r="BH89" s="1465"/>
      <c r="BI89" s="1465"/>
      <c r="BJ89" s="1465"/>
      <c r="BK89" s="1464"/>
      <c r="BL89" s="1464"/>
      <c r="BM89" s="1464"/>
      <c r="BN89" s="1464"/>
      <c r="BO89" s="1466"/>
      <c r="BP89" s="1466"/>
      <c r="BQ89" s="1466"/>
      <c r="BR89" s="1466"/>
      <c r="BS89" s="1466"/>
      <c r="BT89" s="1466"/>
      <c r="BU89" s="1464"/>
      <c r="BV89" s="1464"/>
      <c r="BW89" s="1464"/>
      <c r="BX89" s="1464"/>
      <c r="BY89" s="1464"/>
      <c r="BZ89" s="1464"/>
      <c r="CA89" s="668"/>
      <c r="CB89" s="657"/>
      <c r="CC89" s="657"/>
      <c r="CD89" s="657"/>
      <c r="CE89" s="657"/>
      <c r="CF89" s="657"/>
      <c r="CG89" s="657"/>
      <c r="CH89" s="657"/>
      <c r="CI89" s="657"/>
    </row>
    <row r="90" spans="1:87" ht="9.9499999999999993" customHeight="1">
      <c r="A90" s="1468" t="s">
        <v>14</v>
      </c>
      <c r="B90" s="1468"/>
      <c r="C90" s="1468"/>
      <c r="D90" s="1390"/>
      <c r="E90" s="1390"/>
      <c r="F90" s="1390"/>
      <c r="G90" s="1398"/>
      <c r="H90" s="1399"/>
      <c r="I90" s="1399"/>
      <c r="J90" s="1399"/>
      <c r="K90" s="1399"/>
      <c r="L90" s="1399"/>
      <c r="M90" s="1399"/>
      <c r="N90" s="1399"/>
      <c r="O90" s="1399"/>
      <c r="P90" s="1399"/>
      <c r="Q90" s="1399"/>
      <c r="R90" s="1399"/>
      <c r="S90" s="1399"/>
      <c r="T90" s="1399"/>
      <c r="U90" s="1399"/>
      <c r="V90" s="1400"/>
      <c r="W90" s="669"/>
      <c r="X90" s="669"/>
      <c r="Y90" s="669"/>
      <c r="Z90" s="669"/>
      <c r="AA90" s="1464"/>
      <c r="AB90" s="1464"/>
      <c r="AC90" s="1489"/>
      <c r="AD90" s="1489"/>
      <c r="AE90" s="1489"/>
      <c r="AF90" s="1489"/>
      <c r="AG90" s="1489"/>
      <c r="AH90" s="1489"/>
      <c r="AI90" s="1489"/>
      <c r="AJ90" s="1489"/>
      <c r="AK90" s="1489"/>
      <c r="AL90" s="1489"/>
      <c r="AM90" s="1445"/>
      <c r="AN90" s="1446"/>
      <c r="AO90" s="1446"/>
      <c r="AP90" s="1447"/>
      <c r="AQ90" s="1439"/>
      <c r="AR90" s="1440"/>
      <c r="AS90" s="1451"/>
      <c r="AT90" s="1451"/>
      <c r="AU90" s="1451"/>
      <c r="AV90" s="1451"/>
      <c r="AW90" s="1451"/>
      <c r="AX90" s="1451"/>
      <c r="AY90" s="1451"/>
      <c r="AZ90" s="1451"/>
      <c r="BA90" s="1465"/>
      <c r="BB90" s="1465"/>
      <c r="BC90" s="1465"/>
      <c r="BD90" s="1465"/>
      <c r="BE90" s="1465"/>
      <c r="BF90" s="1465"/>
      <c r="BG90" s="1465"/>
      <c r="BH90" s="1465"/>
      <c r="BI90" s="1465"/>
      <c r="BJ90" s="1465"/>
      <c r="BK90" s="1464"/>
      <c r="BL90" s="1464"/>
      <c r="BM90" s="1464"/>
      <c r="BN90" s="1464"/>
      <c r="BO90" s="1466"/>
      <c r="BP90" s="1466"/>
      <c r="BQ90" s="1466"/>
      <c r="BR90" s="1466"/>
      <c r="BS90" s="1466"/>
      <c r="BT90" s="1466"/>
      <c r="BU90" s="1464"/>
      <c r="BV90" s="1464"/>
      <c r="BW90" s="1464"/>
      <c r="BX90" s="1464"/>
      <c r="BY90" s="1464"/>
      <c r="BZ90" s="1464"/>
      <c r="CA90" s="668"/>
      <c r="CB90" s="657"/>
      <c r="CC90" s="657"/>
      <c r="CD90" s="657"/>
      <c r="CE90" s="657"/>
      <c r="CF90" s="657"/>
      <c r="CG90" s="657"/>
      <c r="CH90" s="657"/>
      <c r="CI90" s="657"/>
    </row>
    <row r="91" spans="1:87" ht="9.9499999999999993" customHeight="1">
      <c r="A91" s="1415"/>
      <c r="B91" s="1415"/>
      <c r="C91" s="1415"/>
      <c r="D91" s="1390"/>
      <c r="E91" s="1390"/>
      <c r="F91" s="1390"/>
      <c r="G91" s="1398"/>
      <c r="H91" s="1399"/>
      <c r="I91" s="1399"/>
      <c r="J91" s="1399"/>
      <c r="K91" s="1399"/>
      <c r="L91" s="1399"/>
      <c r="M91" s="1399"/>
      <c r="N91" s="1399"/>
      <c r="O91" s="1399"/>
      <c r="P91" s="1399"/>
      <c r="Q91" s="1399"/>
      <c r="R91" s="1399"/>
      <c r="S91" s="1399"/>
      <c r="T91" s="1399"/>
      <c r="U91" s="1399"/>
      <c r="V91" s="1400"/>
      <c r="W91" s="669"/>
      <c r="X91" s="669"/>
      <c r="Y91" s="669"/>
      <c r="Z91" s="669"/>
      <c r="AA91" s="1464"/>
      <c r="AB91" s="1464"/>
      <c r="AC91" s="1489"/>
      <c r="AD91" s="1489"/>
      <c r="AE91" s="1489"/>
      <c r="AF91" s="1489"/>
      <c r="AG91" s="1489"/>
      <c r="AH91" s="1489"/>
      <c r="AI91" s="1489"/>
      <c r="AJ91" s="1489"/>
      <c r="AK91" s="1489"/>
      <c r="AL91" s="1489"/>
      <c r="AM91" s="1445"/>
      <c r="AN91" s="1446"/>
      <c r="AO91" s="1446"/>
      <c r="AP91" s="1447"/>
      <c r="AQ91" s="1439"/>
      <c r="AR91" s="1440"/>
      <c r="AS91" s="1451"/>
      <c r="AT91" s="1451"/>
      <c r="AU91" s="1451"/>
      <c r="AV91" s="1451"/>
      <c r="AW91" s="1451"/>
      <c r="AX91" s="1451"/>
      <c r="AY91" s="1451"/>
      <c r="AZ91" s="1451"/>
      <c r="BA91" s="1465"/>
      <c r="BB91" s="1465"/>
      <c r="BC91" s="1465"/>
      <c r="BD91" s="1465"/>
      <c r="BE91" s="1465"/>
      <c r="BF91" s="1465"/>
      <c r="BG91" s="1465"/>
      <c r="BH91" s="1465"/>
      <c r="BI91" s="1465"/>
      <c r="BJ91" s="1465"/>
      <c r="BK91" s="1464"/>
      <c r="BL91" s="1464"/>
      <c r="BM91" s="1464"/>
      <c r="BN91" s="1464"/>
      <c r="BO91" s="1466"/>
      <c r="BP91" s="1466"/>
      <c r="BQ91" s="1466"/>
      <c r="BR91" s="1466"/>
      <c r="BS91" s="1466"/>
      <c r="BT91" s="1466"/>
      <c r="BU91" s="1464"/>
      <c r="BV91" s="1464"/>
      <c r="BW91" s="1464"/>
      <c r="BX91" s="1464"/>
      <c r="BY91" s="1464"/>
      <c r="BZ91" s="1464"/>
      <c r="CA91" s="672"/>
      <c r="CB91" s="657"/>
      <c r="CC91" s="657"/>
      <c r="CD91" s="657"/>
      <c r="CE91" s="657"/>
      <c r="CF91" s="657"/>
      <c r="CG91" s="657"/>
      <c r="CH91" s="657"/>
      <c r="CI91" s="657"/>
    </row>
    <row r="92" spans="1:87" ht="9.9499999999999993" customHeight="1">
      <c r="A92" s="1469"/>
      <c r="B92" s="1469"/>
      <c r="C92" s="1469"/>
      <c r="D92" s="1390"/>
      <c r="E92" s="1390"/>
      <c r="F92" s="1390"/>
      <c r="G92" s="1398"/>
      <c r="H92" s="1399"/>
      <c r="I92" s="1399"/>
      <c r="J92" s="1399"/>
      <c r="K92" s="1399"/>
      <c r="L92" s="1399"/>
      <c r="M92" s="1399"/>
      <c r="N92" s="1399"/>
      <c r="O92" s="1399"/>
      <c r="P92" s="1399"/>
      <c r="Q92" s="1399"/>
      <c r="R92" s="1399"/>
      <c r="S92" s="1399"/>
      <c r="T92" s="1399"/>
      <c r="U92" s="1399"/>
      <c r="V92" s="1400"/>
      <c r="W92" s="669"/>
      <c r="X92" s="669"/>
      <c r="Y92" s="669"/>
      <c r="Z92" s="669"/>
      <c r="AA92" s="1464"/>
      <c r="AB92" s="1464"/>
      <c r="AC92" s="1489"/>
      <c r="AD92" s="1489"/>
      <c r="AE92" s="1489"/>
      <c r="AF92" s="1489"/>
      <c r="AG92" s="1489"/>
      <c r="AH92" s="1489"/>
      <c r="AI92" s="1489"/>
      <c r="AJ92" s="1489"/>
      <c r="AK92" s="1489"/>
      <c r="AL92" s="1489"/>
      <c r="AM92" s="1445"/>
      <c r="AN92" s="1446"/>
      <c r="AO92" s="1446"/>
      <c r="AP92" s="1447"/>
      <c r="AQ92" s="1439"/>
      <c r="AR92" s="1440"/>
      <c r="AS92" s="1451"/>
      <c r="AT92" s="1451"/>
      <c r="AU92" s="1451"/>
      <c r="AV92" s="1451"/>
      <c r="AW92" s="1451"/>
      <c r="AX92" s="1451"/>
      <c r="AY92" s="1451"/>
      <c r="AZ92" s="1451"/>
      <c r="BA92" s="1465"/>
      <c r="BB92" s="1465"/>
      <c r="BC92" s="1465"/>
      <c r="BD92" s="1465"/>
      <c r="BE92" s="1465"/>
      <c r="BF92" s="1465"/>
      <c r="BG92" s="1465"/>
      <c r="BH92" s="1465"/>
      <c r="BI92" s="1465"/>
      <c r="BJ92" s="1465"/>
      <c r="BK92" s="1464"/>
      <c r="BL92" s="1464"/>
      <c r="BM92" s="1464"/>
      <c r="BN92" s="1464"/>
      <c r="BO92" s="1466"/>
      <c r="BP92" s="1466"/>
      <c r="BQ92" s="1466"/>
      <c r="BR92" s="1466"/>
      <c r="BS92" s="1466"/>
      <c r="BT92" s="1466"/>
      <c r="BU92" s="1464"/>
      <c r="BV92" s="1464"/>
      <c r="BW92" s="1464"/>
      <c r="BX92" s="1464"/>
      <c r="BY92" s="1464"/>
      <c r="BZ92" s="1464"/>
      <c r="CA92" s="672"/>
      <c r="CB92" s="657"/>
      <c r="CC92" s="657"/>
      <c r="CD92" s="657"/>
      <c r="CE92" s="657"/>
      <c r="CF92" s="657"/>
      <c r="CG92" s="657"/>
      <c r="CH92" s="657"/>
      <c r="CI92" s="657"/>
    </row>
    <row r="93" spans="1:87" ht="9.9499999999999993" customHeight="1">
      <c r="A93" s="1473" t="s">
        <v>38</v>
      </c>
      <c r="B93" s="1473"/>
      <c r="C93" s="1473"/>
      <c r="D93" s="1390"/>
      <c r="E93" s="1390"/>
      <c r="F93" s="1390"/>
      <c r="G93" s="1398"/>
      <c r="H93" s="1399"/>
      <c r="I93" s="1399"/>
      <c r="J93" s="1399"/>
      <c r="K93" s="1399"/>
      <c r="L93" s="1399"/>
      <c r="M93" s="1399"/>
      <c r="N93" s="1399"/>
      <c r="O93" s="1399"/>
      <c r="P93" s="1399"/>
      <c r="Q93" s="1399"/>
      <c r="R93" s="1399"/>
      <c r="S93" s="1399"/>
      <c r="T93" s="1399"/>
      <c r="U93" s="1399"/>
      <c r="V93" s="1400"/>
      <c r="W93" s="669"/>
      <c r="X93" s="669"/>
      <c r="Y93" s="669"/>
      <c r="Z93" s="669"/>
      <c r="AA93" s="1464"/>
      <c r="AB93" s="1464"/>
      <c r="AC93" s="1489"/>
      <c r="AD93" s="1489"/>
      <c r="AE93" s="1489"/>
      <c r="AF93" s="1489"/>
      <c r="AG93" s="1489"/>
      <c r="AH93" s="1489"/>
      <c r="AI93" s="1489"/>
      <c r="AJ93" s="1489"/>
      <c r="AK93" s="1489"/>
      <c r="AL93" s="1489"/>
      <c r="AM93" s="1445"/>
      <c r="AN93" s="1446"/>
      <c r="AO93" s="1446"/>
      <c r="AP93" s="1447"/>
      <c r="AQ93" s="1439"/>
      <c r="AR93" s="1440"/>
      <c r="AS93" s="1451"/>
      <c r="AT93" s="1451"/>
      <c r="AU93" s="1451"/>
      <c r="AV93" s="1451"/>
      <c r="AW93" s="1451"/>
      <c r="AX93" s="1451"/>
      <c r="AY93" s="1451"/>
      <c r="AZ93" s="1451"/>
      <c r="BA93" s="1465"/>
      <c r="BB93" s="1465"/>
      <c r="BC93" s="1465"/>
      <c r="BD93" s="1465"/>
      <c r="BE93" s="1465"/>
      <c r="BF93" s="1465"/>
      <c r="BG93" s="1465"/>
      <c r="BH93" s="1465"/>
      <c r="BI93" s="1465"/>
      <c r="BJ93" s="1465"/>
      <c r="BK93" s="1464"/>
      <c r="BL93" s="1464"/>
      <c r="BM93" s="1464"/>
      <c r="BN93" s="1464"/>
      <c r="BO93" s="1466"/>
      <c r="BP93" s="1466"/>
      <c r="BQ93" s="1466"/>
      <c r="BR93" s="1466"/>
      <c r="BS93" s="1466"/>
      <c r="BT93" s="1466"/>
      <c r="BU93" s="1464"/>
      <c r="BV93" s="1464"/>
      <c r="BW93" s="1464"/>
      <c r="BX93" s="1464"/>
      <c r="BY93" s="1464"/>
      <c r="BZ93" s="1464"/>
      <c r="CA93" s="668"/>
      <c r="CB93" s="657"/>
      <c r="CC93" s="657"/>
      <c r="CD93" s="657"/>
      <c r="CE93" s="657"/>
      <c r="CF93" s="657"/>
      <c r="CG93" s="657"/>
      <c r="CH93" s="657"/>
      <c r="CI93" s="657"/>
    </row>
    <row r="94" spans="1:87" ht="9.9499999999999993" customHeight="1">
      <c r="A94" s="1474" t="str">
        <f>AU74</f>
        <v>水</v>
      </c>
      <c r="B94" s="1474"/>
      <c r="C94" s="1474"/>
      <c r="D94" s="1390"/>
      <c r="E94" s="1390"/>
      <c r="F94" s="1390"/>
      <c r="G94" s="1398"/>
      <c r="H94" s="1399"/>
      <c r="I94" s="1399"/>
      <c r="J94" s="1399"/>
      <c r="K94" s="1399"/>
      <c r="L94" s="1399"/>
      <c r="M94" s="1399"/>
      <c r="N94" s="1399"/>
      <c r="O94" s="1399"/>
      <c r="P94" s="1399"/>
      <c r="Q94" s="1399"/>
      <c r="R94" s="1399"/>
      <c r="S94" s="1399"/>
      <c r="T94" s="1399"/>
      <c r="U94" s="1399"/>
      <c r="V94" s="1400"/>
      <c r="W94" s="669"/>
      <c r="X94" s="669"/>
      <c r="Y94" s="669"/>
      <c r="Z94" s="669"/>
      <c r="AA94" s="1464"/>
      <c r="AB94" s="1464"/>
      <c r="AC94" s="1489"/>
      <c r="AD94" s="1489"/>
      <c r="AE94" s="1489"/>
      <c r="AF94" s="1489"/>
      <c r="AG94" s="1489"/>
      <c r="AH94" s="1489"/>
      <c r="AI94" s="1489"/>
      <c r="AJ94" s="1489"/>
      <c r="AK94" s="1489"/>
      <c r="AL94" s="1489"/>
      <c r="AM94" s="1445"/>
      <c r="AN94" s="1446"/>
      <c r="AO94" s="1446"/>
      <c r="AP94" s="1447"/>
      <c r="AQ94" s="1439"/>
      <c r="AR94" s="1440"/>
      <c r="AS94" s="1451"/>
      <c r="AT94" s="1451"/>
      <c r="AU94" s="1451"/>
      <c r="AV94" s="1451"/>
      <c r="AW94" s="1451"/>
      <c r="AX94" s="1451"/>
      <c r="AY94" s="1451"/>
      <c r="AZ94" s="1451"/>
      <c r="BA94" s="1465"/>
      <c r="BB94" s="1465"/>
      <c r="BC94" s="1465"/>
      <c r="BD94" s="1465"/>
      <c r="BE94" s="1465"/>
      <c r="BF94" s="1465"/>
      <c r="BG94" s="1465"/>
      <c r="BH94" s="1465"/>
      <c r="BI94" s="1465"/>
      <c r="BJ94" s="1465"/>
      <c r="BK94" s="1464"/>
      <c r="BL94" s="1464"/>
      <c r="BM94" s="1464"/>
      <c r="BN94" s="1464"/>
      <c r="BO94" s="1466"/>
      <c r="BP94" s="1466"/>
      <c r="BQ94" s="1466"/>
      <c r="BR94" s="1466"/>
      <c r="BS94" s="1466"/>
      <c r="BT94" s="1466"/>
      <c r="BU94" s="1464"/>
      <c r="BV94" s="1464"/>
      <c r="BW94" s="1464"/>
      <c r="BX94" s="1464"/>
      <c r="BY94" s="1464"/>
      <c r="BZ94" s="1464"/>
      <c r="CA94" s="668"/>
      <c r="CB94" s="657"/>
      <c r="CC94" s="657"/>
      <c r="CD94" s="657"/>
      <c r="CE94" s="657"/>
      <c r="CF94" s="657"/>
      <c r="CG94" s="657"/>
      <c r="CH94" s="657"/>
      <c r="CI94" s="657"/>
    </row>
    <row r="95" spans="1:87" ht="9.9499999999999993" customHeight="1">
      <c r="A95" s="1475"/>
      <c r="B95" s="1475"/>
      <c r="C95" s="1475"/>
      <c r="D95" s="1390"/>
      <c r="E95" s="1390"/>
      <c r="F95" s="1390"/>
      <c r="G95" s="1398"/>
      <c r="H95" s="1399"/>
      <c r="I95" s="1399"/>
      <c r="J95" s="1399"/>
      <c r="K95" s="1399"/>
      <c r="L95" s="1399"/>
      <c r="M95" s="1399"/>
      <c r="N95" s="1399"/>
      <c r="O95" s="1399"/>
      <c r="P95" s="1399"/>
      <c r="Q95" s="1399"/>
      <c r="R95" s="1399"/>
      <c r="S95" s="1399"/>
      <c r="T95" s="1399"/>
      <c r="U95" s="1399"/>
      <c r="V95" s="1400"/>
      <c r="W95" s="669"/>
      <c r="X95" s="669"/>
      <c r="Y95" s="669"/>
      <c r="Z95" s="669"/>
      <c r="AA95" s="1464"/>
      <c r="AB95" s="1464"/>
      <c r="AC95" s="1489"/>
      <c r="AD95" s="1489"/>
      <c r="AE95" s="1489"/>
      <c r="AF95" s="1489"/>
      <c r="AG95" s="1489"/>
      <c r="AH95" s="1489"/>
      <c r="AI95" s="1489"/>
      <c r="AJ95" s="1489"/>
      <c r="AK95" s="1489"/>
      <c r="AL95" s="1489"/>
      <c r="AM95" s="1445"/>
      <c r="AN95" s="1446"/>
      <c r="AO95" s="1446"/>
      <c r="AP95" s="1447"/>
      <c r="AQ95" s="1439"/>
      <c r="AR95" s="1440"/>
      <c r="AS95" s="1451"/>
      <c r="AT95" s="1451"/>
      <c r="AU95" s="1451"/>
      <c r="AV95" s="1451"/>
      <c r="AW95" s="1451"/>
      <c r="AX95" s="1451"/>
      <c r="AY95" s="1451"/>
      <c r="AZ95" s="1451"/>
      <c r="BA95" s="1465"/>
      <c r="BB95" s="1465"/>
      <c r="BC95" s="1465"/>
      <c r="BD95" s="1465"/>
      <c r="BE95" s="1465"/>
      <c r="BF95" s="1465"/>
      <c r="BG95" s="1465"/>
      <c r="BH95" s="1465"/>
      <c r="BI95" s="1465"/>
      <c r="BJ95" s="1465"/>
      <c r="BK95" s="1464"/>
      <c r="BL95" s="1464"/>
      <c r="BM95" s="1464"/>
      <c r="BN95" s="1464"/>
      <c r="BO95" s="1466"/>
      <c r="BP95" s="1466"/>
      <c r="BQ95" s="1466"/>
      <c r="BR95" s="1466"/>
      <c r="BS95" s="1466"/>
      <c r="BT95" s="1466"/>
      <c r="BU95" s="1464"/>
      <c r="BV95" s="1464"/>
      <c r="BW95" s="1464"/>
      <c r="BX95" s="1464"/>
      <c r="BY95" s="1464"/>
      <c r="BZ95" s="1464"/>
      <c r="CA95" s="668"/>
      <c r="CB95" s="657"/>
      <c r="CC95" s="657"/>
      <c r="CD95" s="657"/>
      <c r="CE95" s="657"/>
      <c r="CF95" s="657"/>
      <c r="CG95" s="657"/>
      <c r="CH95" s="657"/>
      <c r="CI95" s="657"/>
    </row>
    <row r="96" spans="1:87" ht="9.9499999999999993" customHeight="1">
      <c r="A96" s="1486" t="s">
        <v>37</v>
      </c>
      <c r="B96" s="1487"/>
      <c r="C96" s="1488"/>
      <c r="D96" s="1390"/>
      <c r="E96" s="1390"/>
      <c r="F96" s="1390"/>
      <c r="G96" s="1401"/>
      <c r="H96" s="1402"/>
      <c r="I96" s="1402"/>
      <c r="J96" s="1402"/>
      <c r="K96" s="1402"/>
      <c r="L96" s="1402"/>
      <c r="M96" s="1402"/>
      <c r="N96" s="1402"/>
      <c r="O96" s="1402"/>
      <c r="P96" s="1402"/>
      <c r="Q96" s="1402"/>
      <c r="R96" s="1402"/>
      <c r="S96" s="1402"/>
      <c r="T96" s="1402"/>
      <c r="U96" s="1402"/>
      <c r="V96" s="1403"/>
      <c r="W96" s="673"/>
      <c r="X96" s="673"/>
      <c r="Y96" s="673"/>
      <c r="Z96" s="673"/>
      <c r="AA96" s="1464"/>
      <c r="AB96" s="1464"/>
      <c r="AC96" s="1489"/>
      <c r="AD96" s="1489"/>
      <c r="AE96" s="1489"/>
      <c r="AF96" s="1489"/>
      <c r="AG96" s="1489"/>
      <c r="AH96" s="1489"/>
      <c r="AI96" s="1489"/>
      <c r="AJ96" s="1489"/>
      <c r="AK96" s="1489"/>
      <c r="AL96" s="1489"/>
      <c r="AM96" s="1448"/>
      <c r="AN96" s="1449"/>
      <c r="AO96" s="1449"/>
      <c r="AP96" s="1450"/>
      <c r="AQ96" s="1441"/>
      <c r="AR96" s="1442"/>
      <c r="AS96" s="1451"/>
      <c r="AT96" s="1451"/>
      <c r="AU96" s="1451"/>
      <c r="AV96" s="1451"/>
      <c r="AW96" s="1451"/>
      <c r="AX96" s="1451"/>
      <c r="AY96" s="1451"/>
      <c r="AZ96" s="1451"/>
      <c r="BA96" s="1465"/>
      <c r="BB96" s="1465"/>
      <c r="BC96" s="1465"/>
      <c r="BD96" s="1465"/>
      <c r="BE96" s="1465"/>
      <c r="BF96" s="1465"/>
      <c r="BG96" s="1465"/>
      <c r="BH96" s="1465"/>
      <c r="BI96" s="1465"/>
      <c r="BJ96" s="1465"/>
      <c r="BK96" s="1464"/>
      <c r="BL96" s="1464"/>
      <c r="BM96" s="1464"/>
      <c r="BN96" s="1464"/>
      <c r="BO96" s="1466"/>
      <c r="BP96" s="1466"/>
      <c r="BQ96" s="1466"/>
      <c r="BR96" s="1466"/>
      <c r="BS96" s="1466"/>
      <c r="BT96" s="1466"/>
      <c r="BU96" s="1464"/>
      <c r="BV96" s="1464"/>
      <c r="BW96" s="1464"/>
      <c r="BX96" s="1464"/>
      <c r="BY96" s="1464"/>
      <c r="BZ96" s="1464"/>
      <c r="CA96" s="679"/>
      <c r="CB96" s="657"/>
      <c r="CC96" s="657"/>
      <c r="CD96" s="657"/>
      <c r="CE96" s="657"/>
      <c r="CF96" s="657"/>
      <c r="CG96" s="657"/>
      <c r="CH96" s="657"/>
      <c r="CI96" s="657"/>
    </row>
    <row r="97" spans="1:87" ht="9.9499999999999993" customHeight="1">
      <c r="A97" s="1386">
        <f>BA74</f>
        <v>6</v>
      </c>
      <c r="B97" s="1387"/>
      <c r="C97" s="1388"/>
      <c r="D97" s="1389" t="s">
        <v>78</v>
      </c>
      <c r="E97" s="1389"/>
      <c r="F97" s="1389"/>
      <c r="G97" s="691"/>
      <c r="H97" s="692"/>
      <c r="I97" s="692"/>
      <c r="J97" s="687"/>
      <c r="K97" s="1476" t="s">
        <v>3029</v>
      </c>
      <c r="L97" s="1477"/>
      <c r="M97" s="1476" t="s">
        <v>3098</v>
      </c>
      <c r="N97" s="1477"/>
      <c r="O97" s="1405" t="s">
        <v>3015</v>
      </c>
      <c r="P97" s="1406"/>
      <c r="Q97" s="1407"/>
      <c r="R97" s="1464" t="s">
        <v>3030</v>
      </c>
      <c r="S97" s="1464"/>
      <c r="T97" s="1464"/>
      <c r="U97" s="1464" t="s">
        <v>3031</v>
      </c>
      <c r="V97" s="1464"/>
      <c r="W97" s="1464" t="s">
        <v>384</v>
      </c>
      <c r="X97" s="1464"/>
      <c r="Y97" s="1422" t="s">
        <v>3096</v>
      </c>
      <c r="Z97" s="1443"/>
      <c r="AA97" s="1443"/>
      <c r="AB97" s="1443"/>
      <c r="AC97" s="1443"/>
      <c r="AD97" s="1443"/>
      <c r="AE97" s="1443"/>
      <c r="AF97" s="1443"/>
      <c r="AG97" s="1443"/>
      <c r="AH97" s="1443"/>
      <c r="AI97" s="1443"/>
      <c r="AJ97" s="1444"/>
      <c r="AK97" s="685"/>
      <c r="AL97" s="686"/>
      <c r="AM97" s="685"/>
      <c r="AN97" s="685"/>
      <c r="AO97" s="685"/>
      <c r="AP97" s="686"/>
      <c r="AQ97" s="685"/>
      <c r="AR97" s="685"/>
      <c r="AS97" s="685"/>
      <c r="AT97" s="686"/>
      <c r="AU97" s="685"/>
      <c r="AV97" s="685"/>
      <c r="AW97" s="685"/>
      <c r="AX97" s="686"/>
      <c r="AY97" s="685"/>
      <c r="AZ97" s="685"/>
      <c r="BA97" s="685"/>
      <c r="BB97" s="686"/>
      <c r="BC97" s="685"/>
      <c r="BD97" s="685"/>
      <c r="BE97" s="685"/>
      <c r="BF97" s="686"/>
      <c r="BG97" s="685"/>
      <c r="BH97" s="685"/>
      <c r="BI97" s="685"/>
      <c r="BJ97" s="686"/>
      <c r="BK97" s="685"/>
      <c r="BL97" s="685"/>
      <c r="BM97" s="685"/>
      <c r="BN97" s="686"/>
      <c r="BO97" s="685"/>
      <c r="BP97" s="685"/>
      <c r="BQ97" s="685"/>
      <c r="BR97" s="686"/>
      <c r="BS97" s="685"/>
      <c r="BT97" s="685"/>
      <c r="BU97" s="685"/>
      <c r="BV97" s="686"/>
      <c r="BW97" s="685"/>
      <c r="BX97" s="685"/>
      <c r="BY97" s="685"/>
      <c r="BZ97" s="737"/>
      <c r="CA97" s="668"/>
      <c r="CB97" s="657"/>
      <c r="CC97" s="657"/>
      <c r="CD97" s="657"/>
      <c r="CE97" s="657"/>
      <c r="CF97" s="657"/>
      <c r="CG97" s="657"/>
      <c r="CH97" s="657"/>
      <c r="CI97" s="657"/>
    </row>
    <row r="98" spans="1:87" ht="9.9499999999999993" customHeight="1">
      <c r="A98" s="1386"/>
      <c r="B98" s="1387"/>
      <c r="C98" s="1388"/>
      <c r="D98" s="1390"/>
      <c r="E98" s="1390"/>
      <c r="F98" s="1390"/>
      <c r="G98" s="691"/>
      <c r="H98" s="692"/>
      <c r="I98" s="692"/>
      <c r="J98" s="687"/>
      <c r="K98" s="1478"/>
      <c r="L98" s="1479"/>
      <c r="M98" s="1478"/>
      <c r="N98" s="1479"/>
      <c r="O98" s="1408"/>
      <c r="P98" s="1409"/>
      <c r="Q98" s="1410"/>
      <c r="R98" s="1464"/>
      <c r="S98" s="1464"/>
      <c r="T98" s="1464"/>
      <c r="U98" s="1464"/>
      <c r="V98" s="1464"/>
      <c r="W98" s="1464"/>
      <c r="X98" s="1464"/>
      <c r="Y98" s="1445"/>
      <c r="Z98" s="1446"/>
      <c r="AA98" s="1446"/>
      <c r="AB98" s="1446"/>
      <c r="AC98" s="1446"/>
      <c r="AD98" s="1446"/>
      <c r="AE98" s="1446"/>
      <c r="AF98" s="1446"/>
      <c r="AG98" s="1446"/>
      <c r="AH98" s="1446"/>
      <c r="AI98" s="1446"/>
      <c r="AJ98" s="1447"/>
      <c r="AK98" s="685"/>
      <c r="AL98" s="686"/>
      <c r="AM98" s="685"/>
      <c r="AN98" s="685"/>
      <c r="AO98" s="685"/>
      <c r="AP98" s="686"/>
      <c r="AQ98" s="685"/>
      <c r="AR98" s="685"/>
      <c r="AS98" s="685"/>
      <c r="AT98" s="686"/>
      <c r="AU98" s="685"/>
      <c r="AV98" s="685"/>
      <c r="AW98" s="685"/>
      <c r="AX98" s="686"/>
      <c r="AY98" s="685"/>
      <c r="AZ98" s="685"/>
      <c r="BA98" s="685"/>
      <c r="BB98" s="686"/>
      <c r="BC98" s="685"/>
      <c r="BD98" s="685"/>
      <c r="BE98" s="685"/>
      <c r="BF98" s="686"/>
      <c r="BG98" s="685"/>
      <c r="BH98" s="685"/>
      <c r="BI98" s="685"/>
      <c r="BJ98" s="686"/>
      <c r="BK98" s="685"/>
      <c r="BL98" s="685"/>
      <c r="BM98" s="685"/>
      <c r="BN98" s="686"/>
      <c r="BO98" s="685"/>
      <c r="BP98" s="685"/>
      <c r="BQ98" s="685"/>
      <c r="BR98" s="686"/>
      <c r="BS98" s="685"/>
      <c r="BT98" s="685"/>
      <c r="BU98" s="685"/>
      <c r="BV98" s="686"/>
      <c r="BW98" s="736"/>
      <c r="BX98" s="736"/>
      <c r="BY98" s="736"/>
      <c r="BZ98" s="737"/>
      <c r="CA98" s="668"/>
      <c r="CB98" s="657"/>
      <c r="CC98" s="657"/>
      <c r="CD98" s="657"/>
      <c r="CE98" s="657"/>
      <c r="CF98" s="657"/>
      <c r="CG98" s="657"/>
      <c r="CH98" s="657"/>
      <c r="CI98" s="657"/>
    </row>
    <row r="99" spans="1:87" ht="9.9499999999999993" customHeight="1">
      <c r="A99" s="1386"/>
      <c r="B99" s="1387"/>
      <c r="C99" s="1388"/>
      <c r="D99" s="1390"/>
      <c r="E99" s="1390"/>
      <c r="F99" s="1390"/>
      <c r="G99" s="691"/>
      <c r="H99" s="692"/>
      <c r="I99" s="692"/>
      <c r="J99" s="687"/>
      <c r="K99" s="1478"/>
      <c r="L99" s="1479"/>
      <c r="M99" s="1478"/>
      <c r="N99" s="1479"/>
      <c r="O99" s="1408"/>
      <c r="P99" s="1409"/>
      <c r="Q99" s="1410"/>
      <c r="R99" s="1464"/>
      <c r="S99" s="1464"/>
      <c r="T99" s="1464"/>
      <c r="U99" s="1464"/>
      <c r="V99" s="1464"/>
      <c r="W99" s="1464"/>
      <c r="X99" s="1464"/>
      <c r="Y99" s="1445"/>
      <c r="Z99" s="1446"/>
      <c r="AA99" s="1446"/>
      <c r="AB99" s="1446"/>
      <c r="AC99" s="1446"/>
      <c r="AD99" s="1446"/>
      <c r="AE99" s="1446"/>
      <c r="AF99" s="1446"/>
      <c r="AG99" s="1446"/>
      <c r="AH99" s="1446"/>
      <c r="AI99" s="1446"/>
      <c r="AJ99" s="1447"/>
      <c r="AK99" s="685"/>
      <c r="AL99" s="686"/>
      <c r="AM99" s="685"/>
      <c r="AN99" s="685"/>
      <c r="AO99" s="685"/>
      <c r="AP99" s="686"/>
      <c r="AQ99" s="685"/>
      <c r="AR99" s="685"/>
      <c r="AS99" s="685"/>
      <c r="AT99" s="686"/>
      <c r="AU99" s="685"/>
      <c r="AV99" s="685"/>
      <c r="AW99" s="685"/>
      <c r="AX99" s="686"/>
      <c r="AY99" s="685"/>
      <c r="AZ99" s="685"/>
      <c r="BA99" s="685"/>
      <c r="BB99" s="686"/>
      <c r="BC99" s="685"/>
      <c r="BD99" s="685"/>
      <c r="BE99" s="663"/>
      <c r="BF99" s="687"/>
      <c r="BG99" s="688"/>
      <c r="BH99" s="688"/>
      <c r="BI99" s="688"/>
      <c r="BJ99" s="687"/>
      <c r="BK99" s="688"/>
      <c r="BL99" s="688"/>
      <c r="BM99" s="688"/>
      <c r="BN99" s="687"/>
      <c r="BO99" s="688"/>
      <c r="BP99" s="688"/>
      <c r="BQ99" s="688"/>
      <c r="BR99" s="687"/>
      <c r="BS99" s="688"/>
      <c r="BT99" s="688"/>
      <c r="BU99" s="688"/>
      <c r="BV99" s="687"/>
      <c r="BW99" s="736"/>
      <c r="BX99" s="736"/>
      <c r="BY99" s="736"/>
      <c r="BZ99" s="737"/>
      <c r="CA99" s="672"/>
      <c r="CB99" s="657"/>
      <c r="CC99" s="657"/>
      <c r="CD99" s="657"/>
      <c r="CE99" s="657"/>
      <c r="CF99" s="657"/>
      <c r="CG99" s="657"/>
      <c r="CH99" s="657"/>
      <c r="CI99" s="657"/>
    </row>
    <row r="100" spans="1:87" ht="9.9499999999999993" customHeight="1">
      <c r="A100" s="1468" t="s">
        <v>15</v>
      </c>
      <c r="B100" s="1468"/>
      <c r="C100" s="1468"/>
      <c r="D100" s="1390"/>
      <c r="E100" s="1390"/>
      <c r="F100" s="1390"/>
      <c r="G100" s="691"/>
      <c r="H100" s="692"/>
      <c r="I100" s="692"/>
      <c r="J100" s="687"/>
      <c r="K100" s="1478"/>
      <c r="L100" s="1479"/>
      <c r="M100" s="1478"/>
      <c r="N100" s="1479"/>
      <c r="O100" s="1408"/>
      <c r="P100" s="1409"/>
      <c r="Q100" s="1410"/>
      <c r="R100" s="1464"/>
      <c r="S100" s="1464"/>
      <c r="T100" s="1464"/>
      <c r="U100" s="1464"/>
      <c r="V100" s="1464"/>
      <c r="W100" s="1464"/>
      <c r="X100" s="1464"/>
      <c r="Y100" s="1445"/>
      <c r="Z100" s="1446"/>
      <c r="AA100" s="1446"/>
      <c r="AB100" s="1446"/>
      <c r="AC100" s="1446"/>
      <c r="AD100" s="1446"/>
      <c r="AE100" s="1446"/>
      <c r="AF100" s="1446"/>
      <c r="AG100" s="1446"/>
      <c r="AH100" s="1446"/>
      <c r="AI100" s="1446"/>
      <c r="AJ100" s="1447"/>
      <c r="AK100" s="688"/>
      <c r="AL100" s="687"/>
      <c r="AM100" s="688"/>
      <c r="AN100" s="688"/>
      <c r="AO100" s="688"/>
      <c r="AP100" s="687"/>
      <c r="AQ100" s="688"/>
      <c r="AR100" s="688"/>
      <c r="AS100" s="688"/>
      <c r="AT100" s="687"/>
      <c r="AU100" s="688"/>
      <c r="AV100" s="688"/>
      <c r="AW100" s="688"/>
      <c r="AX100" s="687"/>
      <c r="AY100" s="688"/>
      <c r="AZ100" s="688"/>
      <c r="BA100" s="688"/>
      <c r="BB100" s="687"/>
      <c r="BC100" s="688"/>
      <c r="BD100" s="688"/>
      <c r="BE100" s="688"/>
      <c r="BF100" s="687"/>
      <c r="BG100" s="688"/>
      <c r="BH100" s="688"/>
      <c r="BI100" s="688"/>
      <c r="BJ100" s="687"/>
      <c r="BK100" s="688"/>
      <c r="BL100" s="688"/>
      <c r="BM100" s="688"/>
      <c r="BN100" s="687"/>
      <c r="BO100" s="688"/>
      <c r="BP100" s="688"/>
      <c r="BQ100" s="688"/>
      <c r="BR100" s="687"/>
      <c r="BS100" s="688"/>
      <c r="BT100" s="688"/>
      <c r="BU100" s="688"/>
      <c r="BV100" s="687"/>
      <c r="BW100" s="736"/>
      <c r="BX100" s="736"/>
      <c r="BY100" s="736"/>
      <c r="BZ100" s="737"/>
      <c r="CA100" s="672"/>
      <c r="CB100" s="657"/>
      <c r="CC100" s="657"/>
      <c r="CD100" s="657"/>
      <c r="CE100" s="657"/>
      <c r="CF100" s="657"/>
      <c r="CG100" s="657"/>
      <c r="CH100" s="657"/>
      <c r="CI100" s="657"/>
    </row>
    <row r="101" spans="1:87" ht="9.9499999999999993" customHeight="1">
      <c r="A101" s="1415"/>
      <c r="B101" s="1415"/>
      <c r="C101" s="1415"/>
      <c r="D101" s="1390"/>
      <c r="E101" s="1390"/>
      <c r="F101" s="1390"/>
      <c r="G101" s="691"/>
      <c r="H101" s="692"/>
      <c r="I101" s="692"/>
      <c r="J101" s="687"/>
      <c r="K101" s="1478"/>
      <c r="L101" s="1479"/>
      <c r="M101" s="1478"/>
      <c r="N101" s="1479"/>
      <c r="O101" s="1408"/>
      <c r="P101" s="1409"/>
      <c r="Q101" s="1410"/>
      <c r="R101" s="1464"/>
      <c r="S101" s="1464"/>
      <c r="T101" s="1464"/>
      <c r="U101" s="1464"/>
      <c r="V101" s="1464"/>
      <c r="W101" s="1464"/>
      <c r="X101" s="1464"/>
      <c r="Y101" s="1445"/>
      <c r="Z101" s="1446"/>
      <c r="AA101" s="1446"/>
      <c r="AB101" s="1446"/>
      <c r="AC101" s="1446"/>
      <c r="AD101" s="1446"/>
      <c r="AE101" s="1446"/>
      <c r="AF101" s="1446"/>
      <c r="AG101" s="1446"/>
      <c r="AH101" s="1446"/>
      <c r="AI101" s="1446"/>
      <c r="AJ101" s="1447"/>
      <c r="AK101" s="685"/>
      <c r="AL101" s="686"/>
      <c r="AM101" s="685"/>
      <c r="AN101" s="685"/>
      <c r="AO101" s="685"/>
      <c r="AP101" s="686"/>
      <c r="AQ101" s="685"/>
      <c r="AR101" s="685"/>
      <c r="AS101" s="685"/>
      <c r="AT101" s="686"/>
      <c r="AU101" s="685"/>
      <c r="AV101" s="685"/>
      <c r="AW101" s="685"/>
      <c r="AX101" s="686"/>
      <c r="AY101" s="685"/>
      <c r="AZ101" s="685"/>
      <c r="BA101" s="685"/>
      <c r="BB101" s="686"/>
      <c r="BC101" s="685"/>
      <c r="BD101" s="685"/>
      <c r="BE101" s="685"/>
      <c r="BF101" s="686"/>
      <c r="BG101" s="685"/>
      <c r="BH101" s="685"/>
      <c r="BI101" s="685"/>
      <c r="BJ101" s="686"/>
      <c r="BK101" s="685"/>
      <c r="BL101" s="685"/>
      <c r="BM101" s="685"/>
      <c r="BN101" s="686"/>
      <c r="BO101" s="685"/>
      <c r="BP101" s="685"/>
      <c r="BQ101" s="685"/>
      <c r="BR101" s="686"/>
      <c r="BS101" s="685"/>
      <c r="BT101" s="685"/>
      <c r="BU101" s="685"/>
      <c r="BV101" s="686"/>
      <c r="BW101" s="736"/>
      <c r="BX101" s="736"/>
      <c r="BY101" s="736"/>
      <c r="BZ101" s="737"/>
      <c r="CA101" s="668"/>
      <c r="CB101" s="657"/>
      <c r="CC101" s="657"/>
      <c r="CD101" s="657"/>
      <c r="CE101" s="657"/>
      <c r="CF101" s="657"/>
      <c r="CG101" s="657"/>
      <c r="CH101" s="657"/>
      <c r="CI101" s="657"/>
    </row>
    <row r="102" spans="1:87" ht="9.9499999999999993" customHeight="1">
      <c r="A102" s="1469"/>
      <c r="B102" s="1469"/>
      <c r="C102" s="1469"/>
      <c r="D102" s="1390"/>
      <c r="E102" s="1390"/>
      <c r="F102" s="1390"/>
      <c r="G102" s="691"/>
      <c r="H102" s="692"/>
      <c r="I102" s="692"/>
      <c r="J102" s="687"/>
      <c r="K102" s="1478"/>
      <c r="L102" s="1479"/>
      <c r="M102" s="1478"/>
      <c r="N102" s="1479"/>
      <c r="O102" s="1408"/>
      <c r="P102" s="1409"/>
      <c r="Q102" s="1410"/>
      <c r="R102" s="1464"/>
      <c r="S102" s="1464"/>
      <c r="T102" s="1464"/>
      <c r="U102" s="1464"/>
      <c r="V102" s="1464"/>
      <c r="W102" s="1464"/>
      <c r="X102" s="1464"/>
      <c r="Y102" s="1445"/>
      <c r="Z102" s="1446"/>
      <c r="AA102" s="1446"/>
      <c r="AB102" s="1446"/>
      <c r="AC102" s="1446"/>
      <c r="AD102" s="1446"/>
      <c r="AE102" s="1446"/>
      <c r="AF102" s="1446"/>
      <c r="AG102" s="1446"/>
      <c r="AH102" s="1446"/>
      <c r="AI102" s="1446"/>
      <c r="AJ102" s="1447"/>
      <c r="AK102" s="685"/>
      <c r="AL102" s="686"/>
      <c r="AM102" s="685"/>
      <c r="AN102" s="685"/>
      <c r="AO102" s="685"/>
      <c r="AP102" s="686"/>
      <c r="AQ102" s="685"/>
      <c r="AR102" s="685"/>
      <c r="AS102" s="685"/>
      <c r="AT102" s="686"/>
      <c r="AU102" s="685"/>
      <c r="AV102" s="685"/>
      <c r="AW102" s="685"/>
      <c r="AX102" s="686"/>
      <c r="AY102" s="685"/>
      <c r="AZ102" s="685"/>
      <c r="BA102" s="685"/>
      <c r="BB102" s="686"/>
      <c r="BC102" s="685"/>
      <c r="BD102" s="685"/>
      <c r="BE102" s="685"/>
      <c r="BF102" s="686"/>
      <c r="BG102" s="685"/>
      <c r="BH102" s="685"/>
      <c r="BI102" s="685"/>
      <c r="BJ102" s="686"/>
      <c r="BK102" s="685"/>
      <c r="BL102" s="685"/>
      <c r="BM102" s="685"/>
      <c r="BN102" s="686"/>
      <c r="BO102" s="685"/>
      <c r="BP102" s="685"/>
      <c r="BQ102" s="685"/>
      <c r="BR102" s="686"/>
      <c r="BS102" s="685"/>
      <c r="BT102" s="685"/>
      <c r="BU102" s="685"/>
      <c r="BV102" s="686"/>
      <c r="BW102" s="736"/>
      <c r="BX102" s="736"/>
      <c r="BY102" s="736"/>
      <c r="BZ102" s="737"/>
      <c r="CA102" s="668"/>
      <c r="CB102" s="657"/>
      <c r="CC102" s="657"/>
      <c r="CD102" s="657"/>
      <c r="CE102" s="657"/>
      <c r="CF102" s="657"/>
      <c r="CG102" s="657"/>
      <c r="CH102" s="657"/>
      <c r="CI102" s="657"/>
    </row>
    <row r="103" spans="1:87" ht="9.9499999999999993" customHeight="1" thickBot="1">
      <c r="A103" s="1470">
        <f>BE74</f>
        <v>3</v>
      </c>
      <c r="B103" s="1471"/>
      <c r="C103" s="1472"/>
      <c r="D103" s="1467"/>
      <c r="E103" s="1467"/>
      <c r="F103" s="1467"/>
      <c r="G103" s="691"/>
      <c r="H103" s="692"/>
      <c r="I103" s="692"/>
      <c r="J103" s="687"/>
      <c r="K103" s="1478"/>
      <c r="L103" s="1479"/>
      <c r="M103" s="1478"/>
      <c r="N103" s="1479"/>
      <c r="O103" s="1408"/>
      <c r="P103" s="1409"/>
      <c r="Q103" s="1410"/>
      <c r="R103" s="1464"/>
      <c r="S103" s="1464"/>
      <c r="T103" s="1464"/>
      <c r="U103" s="1464"/>
      <c r="V103" s="1464"/>
      <c r="W103" s="1464"/>
      <c r="X103" s="1464"/>
      <c r="Y103" s="1445"/>
      <c r="Z103" s="1446"/>
      <c r="AA103" s="1446"/>
      <c r="AB103" s="1446"/>
      <c r="AC103" s="1446"/>
      <c r="AD103" s="1446"/>
      <c r="AE103" s="1446"/>
      <c r="AF103" s="1446"/>
      <c r="AG103" s="1446"/>
      <c r="AH103" s="1446"/>
      <c r="AI103" s="1446"/>
      <c r="AJ103" s="1447"/>
      <c r="AK103" s="685"/>
      <c r="AL103" s="686"/>
      <c r="AM103" s="685"/>
      <c r="AN103" s="685"/>
      <c r="AO103" s="685"/>
      <c r="AP103" s="686"/>
      <c r="AQ103" s="685"/>
      <c r="AR103" s="685"/>
      <c r="AS103" s="685"/>
      <c r="AT103" s="686"/>
      <c r="AU103" s="685"/>
      <c r="AV103" s="685"/>
      <c r="AW103" s="685"/>
      <c r="AX103" s="686"/>
      <c r="AY103" s="685"/>
      <c r="AZ103" s="685"/>
      <c r="BA103" s="685"/>
      <c r="BB103" s="686"/>
      <c r="BC103" s="685"/>
      <c r="BD103" s="685"/>
      <c r="BE103" s="685"/>
      <c r="BF103" s="686"/>
      <c r="BG103" s="685"/>
      <c r="BH103" s="685"/>
      <c r="BI103" s="685"/>
      <c r="BJ103" s="686"/>
      <c r="BK103" s="685"/>
      <c r="BL103" s="685"/>
      <c r="BM103" s="685"/>
      <c r="BN103" s="686"/>
      <c r="BO103" s="685"/>
      <c r="BP103" s="685"/>
      <c r="BQ103" s="685"/>
      <c r="BR103" s="686"/>
      <c r="BS103" s="685"/>
      <c r="BT103" s="685"/>
      <c r="BU103" s="685"/>
      <c r="BV103" s="686"/>
      <c r="BW103" s="736"/>
      <c r="BX103" s="736"/>
      <c r="BY103" s="736"/>
      <c r="BZ103" s="737"/>
      <c r="CA103" s="668"/>
      <c r="CB103" s="657"/>
      <c r="CC103" s="657"/>
      <c r="CD103" s="657"/>
      <c r="CE103" s="657"/>
      <c r="CF103" s="657"/>
      <c r="CG103" s="657"/>
      <c r="CH103" s="657"/>
      <c r="CI103" s="657"/>
    </row>
    <row r="104" spans="1:87" ht="9.9499999999999993" customHeight="1">
      <c r="A104" s="1386"/>
      <c r="B104" s="1387"/>
      <c r="C104" s="1388"/>
      <c r="D104" s="1390"/>
      <c r="E104" s="1390"/>
      <c r="F104" s="1390"/>
      <c r="G104" s="695"/>
      <c r="H104" s="696"/>
      <c r="I104" s="696"/>
      <c r="J104" s="690"/>
      <c r="K104" s="1478"/>
      <c r="L104" s="1479"/>
      <c r="M104" s="1478"/>
      <c r="N104" s="1479"/>
      <c r="O104" s="1408"/>
      <c r="P104" s="1409"/>
      <c r="Q104" s="1410"/>
      <c r="R104" s="1464"/>
      <c r="S104" s="1464"/>
      <c r="T104" s="1464"/>
      <c r="U104" s="1464"/>
      <c r="V104" s="1464"/>
      <c r="W104" s="1464"/>
      <c r="X104" s="1464"/>
      <c r="Y104" s="1448"/>
      <c r="Z104" s="1449"/>
      <c r="AA104" s="1449"/>
      <c r="AB104" s="1449"/>
      <c r="AC104" s="1449"/>
      <c r="AD104" s="1449"/>
      <c r="AE104" s="1449"/>
      <c r="AF104" s="1449"/>
      <c r="AG104" s="1449"/>
      <c r="AH104" s="1449"/>
      <c r="AI104" s="1449"/>
      <c r="AJ104" s="1450"/>
      <c r="AK104" s="689"/>
      <c r="AL104" s="690"/>
      <c r="AM104" s="689"/>
      <c r="AN104" s="689"/>
      <c r="AO104" s="689"/>
      <c r="AP104" s="690"/>
      <c r="AQ104" s="689"/>
      <c r="AR104" s="689"/>
      <c r="AS104" s="689"/>
      <c r="AT104" s="690"/>
      <c r="AU104" s="689"/>
      <c r="AV104" s="689"/>
      <c r="AW104" s="689"/>
      <c r="AX104" s="690"/>
      <c r="AY104" s="689"/>
      <c r="AZ104" s="689"/>
      <c r="BA104" s="689"/>
      <c r="BB104" s="690"/>
      <c r="BC104" s="689"/>
      <c r="BD104" s="689"/>
      <c r="BE104" s="689"/>
      <c r="BF104" s="690"/>
      <c r="BG104" s="689"/>
      <c r="BH104" s="689"/>
      <c r="BI104" s="689"/>
      <c r="BJ104" s="690"/>
      <c r="BK104" s="689"/>
      <c r="BL104" s="689"/>
      <c r="BM104" s="689"/>
      <c r="BN104" s="690"/>
      <c r="BO104" s="689"/>
      <c r="BP104" s="689"/>
      <c r="BQ104" s="689"/>
      <c r="BR104" s="690"/>
      <c r="BS104" s="689"/>
      <c r="BT104" s="689"/>
      <c r="BU104" s="689"/>
      <c r="BV104" s="690"/>
      <c r="BW104" s="689"/>
      <c r="BX104" s="689"/>
      <c r="BY104" s="689"/>
      <c r="BZ104" s="697"/>
      <c r="CA104" s="679"/>
      <c r="CB104" s="657"/>
      <c r="CC104" s="657"/>
      <c r="CD104" s="657"/>
      <c r="CE104" s="657"/>
      <c r="CF104" s="657"/>
      <c r="CG104" s="657"/>
      <c r="CH104" s="657"/>
      <c r="CI104" s="657"/>
    </row>
    <row r="105" spans="1:87" ht="9.9499999999999993" customHeight="1">
      <c r="A105" s="1386"/>
      <c r="B105" s="1387"/>
      <c r="C105" s="1388"/>
      <c r="D105" s="1390" t="s">
        <v>77</v>
      </c>
      <c r="E105" s="1390"/>
      <c r="F105" s="1390"/>
      <c r="G105" s="698"/>
      <c r="H105" s="699"/>
      <c r="I105" s="699"/>
      <c r="J105" s="700"/>
      <c r="K105" s="1478"/>
      <c r="L105" s="1479"/>
      <c r="M105" s="1478"/>
      <c r="N105" s="1479"/>
      <c r="O105" s="1408"/>
      <c r="P105" s="1409"/>
      <c r="Q105" s="1410"/>
      <c r="R105" s="1464"/>
      <c r="S105" s="1464"/>
      <c r="T105" s="1464"/>
      <c r="U105" s="1464"/>
      <c r="V105" s="1464"/>
      <c r="W105" s="1464"/>
      <c r="X105" s="1464"/>
      <c r="Y105" s="682"/>
      <c r="Z105" s="683"/>
      <c r="AA105" s="662"/>
      <c r="AB105" s="662"/>
      <c r="AC105" s="662"/>
      <c r="AD105" s="683"/>
      <c r="AE105" s="662"/>
      <c r="AF105" s="662"/>
      <c r="AG105" s="735"/>
      <c r="AH105" s="702"/>
      <c r="AI105" s="735"/>
      <c r="AJ105" s="735"/>
      <c r="AK105" s="680"/>
      <c r="AL105" s="681"/>
      <c r="AM105" s="680"/>
      <c r="AN105" s="680"/>
      <c r="AO105" s="680"/>
      <c r="AP105" s="681"/>
      <c r="AQ105" s="680"/>
      <c r="AR105" s="680"/>
      <c r="AS105" s="680"/>
      <c r="AT105" s="681"/>
      <c r="AU105" s="680"/>
      <c r="AV105" s="680"/>
      <c r="AW105" s="680"/>
      <c r="AX105" s="681"/>
      <c r="AY105" s="680"/>
      <c r="AZ105" s="680"/>
      <c r="BA105" s="680"/>
      <c r="BB105" s="681"/>
      <c r="BC105" s="680"/>
      <c r="BD105" s="680"/>
      <c r="BE105" s="680"/>
      <c r="BF105" s="681"/>
      <c r="BG105" s="680"/>
      <c r="BH105" s="680"/>
      <c r="BI105" s="680"/>
      <c r="BJ105" s="681"/>
      <c r="BK105" s="680"/>
      <c r="BL105" s="680"/>
      <c r="BM105" s="680"/>
      <c r="BN105" s="681"/>
      <c r="BO105" s="680"/>
      <c r="BP105" s="680"/>
      <c r="BQ105" s="680"/>
      <c r="BR105" s="681"/>
      <c r="BS105" s="680"/>
      <c r="BT105" s="680"/>
      <c r="BU105" s="680"/>
      <c r="BV105" s="681"/>
      <c r="BW105" s="680"/>
      <c r="BX105" s="680"/>
      <c r="BY105" s="680"/>
      <c r="BZ105" s="684"/>
      <c r="CA105" s="668"/>
      <c r="CB105" s="657"/>
      <c r="CC105" s="657"/>
      <c r="CD105" s="657"/>
      <c r="CE105" s="657"/>
      <c r="CF105" s="657"/>
      <c r="CG105" s="657"/>
      <c r="CH105" s="657"/>
      <c r="CI105" s="657"/>
    </row>
    <row r="106" spans="1:87" ht="9.9499999999999993" customHeight="1">
      <c r="A106" s="1468" t="s">
        <v>14</v>
      </c>
      <c r="B106" s="1468"/>
      <c r="C106" s="1468"/>
      <c r="D106" s="1390"/>
      <c r="E106" s="1390"/>
      <c r="F106" s="1390"/>
      <c r="G106" s="691"/>
      <c r="H106" s="692"/>
      <c r="I106" s="692"/>
      <c r="J106" s="687"/>
      <c r="K106" s="1478"/>
      <c r="L106" s="1479"/>
      <c r="M106" s="1478"/>
      <c r="N106" s="1479"/>
      <c r="O106" s="1408"/>
      <c r="P106" s="1409"/>
      <c r="Q106" s="1410"/>
      <c r="R106" s="1464"/>
      <c r="S106" s="1464"/>
      <c r="T106" s="1464"/>
      <c r="U106" s="1464"/>
      <c r="V106" s="1464"/>
      <c r="W106" s="1464"/>
      <c r="X106" s="1464"/>
      <c r="Y106" s="663"/>
      <c r="Z106" s="671"/>
      <c r="AA106" s="663"/>
      <c r="AB106" s="663"/>
      <c r="AC106" s="663"/>
      <c r="AD106" s="671"/>
      <c r="AE106" s="663"/>
      <c r="AF106" s="663"/>
      <c r="AG106" s="736"/>
      <c r="AH106" s="670"/>
      <c r="AI106" s="736"/>
      <c r="AJ106" s="736"/>
      <c r="AK106" s="685"/>
      <c r="AL106" s="686"/>
      <c r="AM106" s="685"/>
      <c r="AN106" s="685"/>
      <c r="AO106" s="685"/>
      <c r="AP106" s="686"/>
      <c r="AQ106" s="685"/>
      <c r="AR106" s="685"/>
      <c r="AS106" s="685"/>
      <c r="AT106" s="686"/>
      <c r="AU106" s="685"/>
      <c r="AV106" s="685"/>
      <c r="AW106" s="685"/>
      <c r="AX106" s="686"/>
      <c r="AY106" s="685"/>
      <c r="AZ106" s="685"/>
      <c r="BA106" s="685"/>
      <c r="BB106" s="686"/>
      <c r="BC106" s="685"/>
      <c r="BD106" s="685"/>
      <c r="BE106" s="685"/>
      <c r="BF106" s="686"/>
      <c r="BG106" s="685"/>
      <c r="BH106" s="685"/>
      <c r="BI106" s="685"/>
      <c r="BJ106" s="686"/>
      <c r="BK106" s="685"/>
      <c r="BL106" s="685"/>
      <c r="BM106" s="685"/>
      <c r="BN106" s="686"/>
      <c r="BO106" s="685"/>
      <c r="BP106" s="685"/>
      <c r="BQ106" s="685"/>
      <c r="BR106" s="686"/>
      <c r="BS106" s="685"/>
      <c r="BT106" s="685"/>
      <c r="BU106" s="685"/>
      <c r="BV106" s="686"/>
      <c r="BW106" s="736"/>
      <c r="BX106" s="736"/>
      <c r="BY106" s="736"/>
      <c r="BZ106" s="737"/>
      <c r="CA106" s="668"/>
      <c r="CB106" s="657"/>
      <c r="CC106" s="657"/>
      <c r="CD106" s="657"/>
      <c r="CE106" s="657"/>
      <c r="CF106" s="657"/>
      <c r="CG106" s="657"/>
      <c r="CH106" s="657"/>
      <c r="CI106" s="657"/>
    </row>
    <row r="107" spans="1:87" ht="9.9499999999999993" customHeight="1">
      <c r="A107" s="1415"/>
      <c r="B107" s="1415"/>
      <c r="C107" s="1415"/>
      <c r="D107" s="1390"/>
      <c r="E107" s="1390"/>
      <c r="F107" s="1390"/>
      <c r="G107" s="691"/>
      <c r="H107" s="692"/>
      <c r="I107" s="692"/>
      <c r="J107" s="687"/>
      <c r="K107" s="1478"/>
      <c r="L107" s="1479"/>
      <c r="M107" s="1478"/>
      <c r="N107" s="1479"/>
      <c r="O107" s="1408"/>
      <c r="P107" s="1409"/>
      <c r="Q107" s="1410"/>
      <c r="R107" s="1464"/>
      <c r="S107" s="1464"/>
      <c r="T107" s="1464"/>
      <c r="U107" s="1464"/>
      <c r="V107" s="1464"/>
      <c r="W107" s="1464"/>
      <c r="X107" s="1464"/>
      <c r="Y107" s="663"/>
      <c r="Z107" s="671"/>
      <c r="AA107" s="663"/>
      <c r="AB107" s="663"/>
      <c r="AC107" s="663"/>
      <c r="AD107" s="671"/>
      <c r="AE107" s="663"/>
      <c r="AF107" s="663"/>
      <c r="AG107" s="736"/>
      <c r="AH107" s="670"/>
      <c r="AI107" s="736"/>
      <c r="AJ107" s="736"/>
      <c r="AK107" s="685"/>
      <c r="AL107" s="686"/>
      <c r="AM107" s="685"/>
      <c r="AN107" s="685"/>
      <c r="AO107" s="685"/>
      <c r="AP107" s="686"/>
      <c r="AQ107" s="685"/>
      <c r="AR107" s="685"/>
      <c r="AS107" s="685"/>
      <c r="AT107" s="686"/>
      <c r="AU107" s="685"/>
      <c r="AV107" s="685"/>
      <c r="AW107" s="685"/>
      <c r="AX107" s="686"/>
      <c r="AY107" s="685"/>
      <c r="AZ107" s="685"/>
      <c r="BA107" s="685"/>
      <c r="BB107" s="686"/>
      <c r="BC107" s="685"/>
      <c r="BD107" s="685"/>
      <c r="BE107" s="663"/>
      <c r="BF107" s="687"/>
      <c r="BG107" s="688"/>
      <c r="BH107" s="688"/>
      <c r="BI107" s="688"/>
      <c r="BJ107" s="687"/>
      <c r="BK107" s="688"/>
      <c r="BL107" s="688"/>
      <c r="BM107" s="688"/>
      <c r="BN107" s="687"/>
      <c r="BO107" s="688"/>
      <c r="BP107" s="688"/>
      <c r="BQ107" s="688"/>
      <c r="BR107" s="687"/>
      <c r="BS107" s="688"/>
      <c r="BT107" s="688"/>
      <c r="BU107" s="688"/>
      <c r="BV107" s="687"/>
      <c r="BW107" s="736"/>
      <c r="BX107" s="736"/>
      <c r="BY107" s="736"/>
      <c r="BZ107" s="737"/>
      <c r="CA107" s="672"/>
      <c r="CB107" s="657"/>
      <c r="CC107" s="657"/>
      <c r="CD107" s="657"/>
      <c r="CE107" s="657"/>
      <c r="CF107" s="657"/>
      <c r="CG107" s="657"/>
      <c r="CH107" s="657"/>
      <c r="CI107" s="657"/>
    </row>
    <row r="108" spans="1:87" ht="9.9499999999999993" customHeight="1">
      <c r="A108" s="1469"/>
      <c r="B108" s="1469"/>
      <c r="C108" s="1469"/>
      <c r="D108" s="1390"/>
      <c r="E108" s="1390"/>
      <c r="F108" s="1390"/>
      <c r="G108" s="691"/>
      <c r="H108" s="692"/>
      <c r="I108" s="692"/>
      <c r="J108" s="687"/>
      <c r="K108" s="1478"/>
      <c r="L108" s="1479"/>
      <c r="M108" s="1478"/>
      <c r="N108" s="1479"/>
      <c r="O108" s="1408"/>
      <c r="P108" s="1409"/>
      <c r="Q108" s="1410"/>
      <c r="R108" s="1464"/>
      <c r="S108" s="1464"/>
      <c r="T108" s="1464"/>
      <c r="U108" s="1464"/>
      <c r="V108" s="1464"/>
      <c r="W108" s="1464"/>
      <c r="X108" s="1464"/>
      <c r="Y108" s="663" t="s">
        <v>3097</v>
      </c>
      <c r="Z108" s="671"/>
      <c r="AA108" s="663"/>
      <c r="AB108" s="663"/>
      <c r="AC108" s="663"/>
      <c r="AD108" s="671"/>
      <c r="AE108" s="663"/>
      <c r="AF108" s="663"/>
      <c r="AG108" s="736"/>
      <c r="AH108" s="670"/>
      <c r="AI108" s="736"/>
      <c r="AJ108" s="736"/>
      <c r="AK108" s="688"/>
      <c r="AL108" s="687"/>
      <c r="AM108" s="688"/>
      <c r="AN108" s="688"/>
      <c r="AO108" s="688"/>
      <c r="AP108" s="687"/>
      <c r="AQ108" s="688"/>
      <c r="AR108" s="688"/>
      <c r="AS108" s="688"/>
      <c r="AT108" s="687"/>
      <c r="AU108" s="688"/>
      <c r="AV108" s="688"/>
      <c r="AW108" s="688"/>
      <c r="AX108" s="687"/>
      <c r="AY108" s="688"/>
      <c r="AZ108" s="688"/>
      <c r="BA108" s="688"/>
      <c r="BB108" s="687"/>
      <c r="BC108" s="688"/>
      <c r="BD108" s="688"/>
      <c r="BE108" s="688"/>
      <c r="BF108" s="687"/>
      <c r="BG108" s="688"/>
      <c r="BH108" s="688"/>
      <c r="BI108" s="688"/>
      <c r="BJ108" s="687"/>
      <c r="BK108" s="688"/>
      <c r="BL108" s="688"/>
      <c r="BM108" s="688"/>
      <c r="BN108" s="687"/>
      <c r="BO108" s="688"/>
      <c r="BP108" s="688"/>
      <c r="BQ108" s="688"/>
      <c r="BR108" s="687"/>
      <c r="BS108" s="688"/>
      <c r="BT108" s="688"/>
      <c r="BU108" s="688"/>
      <c r="BV108" s="687"/>
      <c r="BW108" s="736"/>
      <c r="BX108" s="736"/>
      <c r="BY108" s="736"/>
      <c r="BZ108" s="737"/>
      <c r="CA108" s="672"/>
      <c r="CB108" s="657"/>
      <c r="CC108" s="657"/>
      <c r="CD108" s="657"/>
      <c r="CE108" s="657"/>
      <c r="CF108" s="657"/>
      <c r="CG108" s="657"/>
      <c r="CH108" s="657"/>
      <c r="CI108" s="657"/>
    </row>
    <row r="109" spans="1:87" ht="9.9499999999999993" customHeight="1">
      <c r="A109" s="1473" t="s">
        <v>38</v>
      </c>
      <c r="B109" s="1473"/>
      <c r="C109" s="1473"/>
      <c r="D109" s="1390"/>
      <c r="E109" s="1390"/>
      <c r="F109" s="1390"/>
      <c r="G109" s="691"/>
      <c r="H109" s="692"/>
      <c r="I109" s="692"/>
      <c r="J109" s="687"/>
      <c r="K109" s="1478"/>
      <c r="L109" s="1479"/>
      <c r="M109" s="1478"/>
      <c r="N109" s="1479"/>
      <c r="O109" s="1408"/>
      <c r="P109" s="1409"/>
      <c r="Q109" s="1410"/>
      <c r="R109" s="1464"/>
      <c r="S109" s="1464"/>
      <c r="T109" s="1464"/>
      <c r="U109" s="1464"/>
      <c r="V109" s="1464"/>
      <c r="W109" s="1464"/>
      <c r="X109" s="1464"/>
      <c r="Y109" s="663"/>
      <c r="Z109" s="671"/>
      <c r="AA109" s="663"/>
      <c r="AB109" s="663"/>
      <c r="AC109" s="663"/>
      <c r="AD109" s="671"/>
      <c r="AE109" s="663"/>
      <c r="AF109" s="663"/>
      <c r="AG109" s="736"/>
      <c r="AH109" s="670"/>
      <c r="AI109" s="736"/>
      <c r="AJ109" s="736"/>
      <c r="AK109" s="685"/>
      <c r="AL109" s="686"/>
      <c r="AM109" s="685"/>
      <c r="AN109" s="685"/>
      <c r="AO109" s="685"/>
      <c r="AP109" s="686"/>
      <c r="AQ109" s="685"/>
      <c r="AR109" s="685"/>
      <c r="AS109" s="685"/>
      <c r="AT109" s="686"/>
      <c r="AU109" s="685"/>
      <c r="AV109" s="685"/>
      <c r="AW109" s="685"/>
      <c r="AX109" s="686"/>
      <c r="AY109" s="685"/>
      <c r="AZ109" s="685"/>
      <c r="BA109" s="685"/>
      <c r="BB109" s="686"/>
      <c r="BC109" s="685"/>
      <c r="BD109" s="685"/>
      <c r="BE109" s="685"/>
      <c r="BF109" s="686"/>
      <c r="BG109" s="685"/>
      <c r="BH109" s="685"/>
      <c r="BI109" s="685"/>
      <c r="BJ109" s="686"/>
      <c r="BK109" s="685"/>
      <c r="BL109" s="685"/>
      <c r="BM109" s="685"/>
      <c r="BN109" s="686"/>
      <c r="BO109" s="685"/>
      <c r="BP109" s="685"/>
      <c r="BQ109" s="685"/>
      <c r="BR109" s="686"/>
      <c r="BS109" s="685"/>
      <c r="BT109" s="685"/>
      <c r="BU109" s="685"/>
      <c r="BV109" s="686"/>
      <c r="BW109" s="736"/>
      <c r="BX109" s="736"/>
      <c r="BY109" s="736"/>
      <c r="BZ109" s="737"/>
      <c r="CA109" s="668"/>
      <c r="CB109" s="657"/>
      <c r="CC109" s="657"/>
      <c r="CD109" s="657"/>
      <c r="CE109" s="657"/>
      <c r="CF109" s="657"/>
      <c r="CG109" s="657"/>
      <c r="CH109" s="657"/>
      <c r="CI109" s="657"/>
    </row>
    <row r="110" spans="1:87" ht="9.9499999999999993" customHeight="1">
      <c r="A110" s="1474" t="str">
        <f>BK74</f>
        <v>木</v>
      </c>
      <c r="B110" s="1474"/>
      <c r="C110" s="1474"/>
      <c r="D110" s="1390"/>
      <c r="E110" s="1390"/>
      <c r="F110" s="1390"/>
      <c r="G110" s="691"/>
      <c r="H110" s="692"/>
      <c r="I110" s="692"/>
      <c r="J110" s="687"/>
      <c r="K110" s="1478"/>
      <c r="L110" s="1479"/>
      <c r="M110" s="1478"/>
      <c r="N110" s="1479"/>
      <c r="O110" s="1408"/>
      <c r="P110" s="1409"/>
      <c r="Q110" s="1410"/>
      <c r="R110" s="1464"/>
      <c r="S110" s="1464"/>
      <c r="T110" s="1464"/>
      <c r="U110" s="1464"/>
      <c r="V110" s="1464"/>
      <c r="W110" s="1464"/>
      <c r="X110" s="1464"/>
      <c r="Y110" s="663"/>
      <c r="Z110" s="671"/>
      <c r="AA110" s="663"/>
      <c r="AB110" s="663"/>
      <c r="AC110" s="663"/>
      <c r="AD110" s="671"/>
      <c r="AE110" s="663"/>
      <c r="AF110" s="663"/>
      <c r="AG110" s="736"/>
      <c r="AH110" s="670"/>
      <c r="AI110" s="736"/>
      <c r="AJ110" s="736"/>
      <c r="AK110" s="685"/>
      <c r="AL110" s="686"/>
      <c r="AM110" s="685"/>
      <c r="AN110" s="685"/>
      <c r="AO110" s="685"/>
      <c r="AP110" s="686"/>
      <c r="AQ110" s="685"/>
      <c r="AR110" s="685"/>
      <c r="AS110" s="685"/>
      <c r="AT110" s="686"/>
      <c r="AU110" s="685"/>
      <c r="AV110" s="685"/>
      <c r="AW110" s="685"/>
      <c r="AX110" s="686"/>
      <c r="AY110" s="685"/>
      <c r="AZ110" s="685"/>
      <c r="BA110" s="685"/>
      <c r="BB110" s="686"/>
      <c r="BC110" s="685"/>
      <c r="BD110" s="685"/>
      <c r="BE110" s="685"/>
      <c r="BF110" s="686"/>
      <c r="BG110" s="685"/>
      <c r="BH110" s="685"/>
      <c r="BI110" s="685"/>
      <c r="BJ110" s="686"/>
      <c r="BK110" s="685"/>
      <c r="BL110" s="685"/>
      <c r="BM110" s="685"/>
      <c r="BN110" s="686"/>
      <c r="BO110" s="685"/>
      <c r="BP110" s="685"/>
      <c r="BQ110" s="685"/>
      <c r="BR110" s="686"/>
      <c r="BS110" s="685"/>
      <c r="BT110" s="685"/>
      <c r="BU110" s="685"/>
      <c r="BV110" s="686"/>
      <c r="BW110" s="736"/>
      <c r="BX110" s="736"/>
      <c r="BY110" s="736"/>
      <c r="BZ110" s="737"/>
      <c r="CA110" s="668"/>
      <c r="CB110" s="657"/>
      <c r="CC110" s="657"/>
      <c r="CD110" s="657"/>
      <c r="CE110" s="657"/>
      <c r="CF110" s="657"/>
      <c r="CG110" s="657"/>
      <c r="CH110" s="657"/>
      <c r="CI110" s="657"/>
    </row>
    <row r="111" spans="1:87" ht="9.9499999999999993" customHeight="1">
      <c r="A111" s="1475"/>
      <c r="B111" s="1475"/>
      <c r="C111" s="1475"/>
      <c r="D111" s="1390"/>
      <c r="E111" s="1390"/>
      <c r="F111" s="1390"/>
      <c r="G111" s="691"/>
      <c r="H111" s="692"/>
      <c r="I111" s="692"/>
      <c r="J111" s="687"/>
      <c r="K111" s="1478"/>
      <c r="L111" s="1479"/>
      <c r="M111" s="1478"/>
      <c r="N111" s="1479"/>
      <c r="O111" s="1408"/>
      <c r="P111" s="1409"/>
      <c r="Q111" s="1410"/>
      <c r="R111" s="1464"/>
      <c r="S111" s="1464"/>
      <c r="T111" s="1464"/>
      <c r="U111" s="1464"/>
      <c r="V111" s="1464"/>
      <c r="W111" s="1464"/>
      <c r="X111" s="1464"/>
      <c r="Y111" s="663"/>
      <c r="Z111" s="671"/>
      <c r="AA111" s="663"/>
      <c r="AB111" s="663"/>
      <c r="AC111" s="663"/>
      <c r="AD111" s="671"/>
      <c r="AE111" s="663"/>
      <c r="AF111" s="663"/>
      <c r="AG111" s="736"/>
      <c r="AH111" s="670"/>
      <c r="AI111" s="736"/>
      <c r="AJ111" s="736"/>
      <c r="AK111" s="685"/>
      <c r="AL111" s="686"/>
      <c r="AM111" s="685"/>
      <c r="AN111" s="685"/>
      <c r="AO111" s="685"/>
      <c r="AP111" s="686"/>
      <c r="AQ111" s="685"/>
      <c r="AR111" s="685"/>
      <c r="AS111" s="685"/>
      <c r="AT111" s="686"/>
      <c r="AU111" s="685"/>
      <c r="AV111" s="685"/>
      <c r="AW111" s="685"/>
      <c r="AX111" s="686"/>
      <c r="AY111" s="685"/>
      <c r="AZ111" s="685"/>
      <c r="BA111" s="685"/>
      <c r="BB111" s="686"/>
      <c r="BC111" s="685"/>
      <c r="BD111" s="685"/>
      <c r="BE111" s="685"/>
      <c r="BF111" s="686"/>
      <c r="BG111" s="685"/>
      <c r="BH111" s="685"/>
      <c r="BI111" s="685"/>
      <c r="BJ111" s="686"/>
      <c r="BK111" s="685"/>
      <c r="BL111" s="685"/>
      <c r="BM111" s="685"/>
      <c r="BN111" s="686"/>
      <c r="BO111" s="685"/>
      <c r="BP111" s="685"/>
      <c r="BQ111" s="685"/>
      <c r="BR111" s="686"/>
      <c r="BS111" s="685"/>
      <c r="BT111" s="685"/>
      <c r="BU111" s="685"/>
      <c r="BV111" s="686"/>
      <c r="BW111" s="736"/>
      <c r="BX111" s="736"/>
      <c r="BY111" s="736"/>
      <c r="BZ111" s="737"/>
      <c r="CA111" s="668"/>
      <c r="CB111" s="657"/>
      <c r="CC111" s="657"/>
      <c r="CD111" s="657"/>
      <c r="CE111" s="657"/>
      <c r="CF111" s="657"/>
      <c r="CG111" s="657"/>
      <c r="CH111" s="657"/>
      <c r="CI111" s="657"/>
    </row>
    <row r="112" spans="1:87" ht="9.9499999999999993" customHeight="1">
      <c r="A112" s="1468" t="s">
        <v>37</v>
      </c>
      <c r="B112" s="1468"/>
      <c r="C112" s="1468"/>
      <c r="D112" s="1390"/>
      <c r="E112" s="1390"/>
      <c r="F112" s="1390"/>
      <c r="G112" s="695"/>
      <c r="H112" s="696"/>
      <c r="I112" s="696"/>
      <c r="J112" s="697"/>
      <c r="K112" s="1480"/>
      <c r="L112" s="1481"/>
      <c r="M112" s="1480"/>
      <c r="N112" s="1481"/>
      <c r="O112" s="1411"/>
      <c r="P112" s="1412"/>
      <c r="Q112" s="1413"/>
      <c r="R112" s="1464"/>
      <c r="S112" s="1464"/>
      <c r="T112" s="1464"/>
      <c r="U112" s="1464"/>
      <c r="V112" s="1464"/>
      <c r="W112" s="1464"/>
      <c r="X112" s="1464"/>
      <c r="Y112" s="676"/>
      <c r="Z112" s="676"/>
      <c r="AA112" s="706"/>
      <c r="AB112" s="676"/>
      <c r="AC112" s="676"/>
      <c r="AD112" s="676"/>
      <c r="AE112" s="706"/>
      <c r="AF112" s="676"/>
      <c r="AG112" s="739"/>
      <c r="AH112" s="740"/>
      <c r="AI112" s="739"/>
      <c r="AJ112" s="739"/>
      <c r="AK112" s="689"/>
      <c r="AL112" s="689"/>
      <c r="AM112" s="705"/>
      <c r="AN112" s="689"/>
      <c r="AO112" s="689"/>
      <c r="AP112" s="689"/>
      <c r="AQ112" s="705"/>
      <c r="AR112" s="689"/>
      <c r="AS112" s="689"/>
      <c r="AT112" s="689"/>
      <c r="AU112" s="705"/>
      <c r="AV112" s="689"/>
      <c r="AW112" s="689"/>
      <c r="AX112" s="689"/>
      <c r="AY112" s="705"/>
      <c r="AZ112" s="689"/>
      <c r="BA112" s="689"/>
      <c r="BB112" s="689"/>
      <c r="BC112" s="705"/>
      <c r="BD112" s="689"/>
      <c r="BE112" s="689"/>
      <c r="BF112" s="689"/>
      <c r="BG112" s="705"/>
      <c r="BH112" s="689"/>
      <c r="BI112" s="689"/>
      <c r="BJ112" s="689"/>
      <c r="BK112" s="705"/>
      <c r="BL112" s="689"/>
      <c r="BM112" s="689"/>
      <c r="BN112" s="689"/>
      <c r="BO112" s="705"/>
      <c r="BP112" s="689"/>
      <c r="BQ112" s="689"/>
      <c r="BR112" s="689"/>
      <c r="BS112" s="705"/>
      <c r="BT112" s="689"/>
      <c r="BU112" s="689"/>
      <c r="BV112" s="689"/>
      <c r="BW112" s="738"/>
      <c r="BX112" s="739"/>
      <c r="BY112" s="739"/>
      <c r="BZ112" s="740"/>
      <c r="CA112" s="679"/>
      <c r="CB112" s="657"/>
      <c r="CC112" s="657"/>
      <c r="CD112" s="657"/>
      <c r="CE112" s="657"/>
      <c r="CF112" s="657"/>
      <c r="CG112" s="657"/>
      <c r="CH112" s="657"/>
      <c r="CI112" s="657"/>
    </row>
    <row r="113" spans="1:87" ht="13.5" customHeight="1">
      <c r="A113" s="708"/>
      <c r="B113" s="708"/>
      <c r="C113" s="708"/>
      <c r="D113" s="708"/>
      <c r="E113" s="708"/>
      <c r="F113" s="708"/>
      <c r="G113" s="1461"/>
      <c r="H113" s="1461"/>
      <c r="I113" s="1391">
        <v>0.25</v>
      </c>
      <c r="J113" s="1391"/>
      <c r="K113" s="1391"/>
      <c r="L113" s="1391"/>
      <c r="M113" s="1391">
        <v>0.29166666666666669</v>
      </c>
      <c r="N113" s="1391"/>
      <c r="O113" s="1391"/>
      <c r="P113" s="1391"/>
      <c r="Q113" s="1391">
        <v>0.33333333333333331</v>
      </c>
      <c r="R113" s="1391"/>
      <c r="S113" s="1391"/>
      <c r="T113" s="1391"/>
      <c r="U113" s="1391">
        <v>0.375</v>
      </c>
      <c r="V113" s="1391"/>
      <c r="W113" s="1391"/>
      <c r="X113" s="1391"/>
      <c r="Y113" s="1391">
        <v>0.41666666666666669</v>
      </c>
      <c r="Z113" s="1418"/>
      <c r="AA113" s="1391"/>
      <c r="AB113" s="1391"/>
      <c r="AC113" s="1391">
        <v>0.45833333333333331</v>
      </c>
      <c r="AD113" s="1391"/>
      <c r="AE113" s="1391"/>
      <c r="AF113" s="1391"/>
      <c r="AG113" s="1385">
        <v>0.5</v>
      </c>
      <c r="AH113" s="1385"/>
      <c r="AI113" s="1385"/>
      <c r="AJ113" s="1385"/>
      <c r="AK113" s="1385">
        <v>4.1666666666666664E-2</v>
      </c>
      <c r="AL113" s="1385"/>
      <c r="AM113" s="1385"/>
      <c r="AN113" s="1385"/>
      <c r="AO113" s="1385">
        <v>8.3333333333333329E-2</v>
      </c>
      <c r="AP113" s="1385"/>
      <c r="AQ113" s="1385"/>
      <c r="AR113" s="1385"/>
      <c r="AS113" s="1385">
        <v>0.125</v>
      </c>
      <c r="AT113" s="1385"/>
      <c r="AU113" s="1385"/>
      <c r="AV113" s="1385"/>
      <c r="AW113" s="1385">
        <v>0.16666666666666666</v>
      </c>
      <c r="AX113" s="1385"/>
      <c r="AY113" s="1385"/>
      <c r="AZ113" s="1385"/>
      <c r="BA113" s="1385">
        <v>0.20833333333333334</v>
      </c>
      <c r="BB113" s="1385"/>
      <c r="BC113" s="1385"/>
      <c r="BD113" s="1385"/>
      <c r="BE113" s="1385">
        <v>0.25</v>
      </c>
      <c r="BF113" s="1385"/>
      <c r="BG113" s="1385"/>
      <c r="BH113" s="1385"/>
      <c r="BI113" s="1385">
        <v>0.29166666666666669</v>
      </c>
      <c r="BJ113" s="1385"/>
      <c r="BK113" s="1385"/>
      <c r="BL113" s="1385"/>
      <c r="BM113" s="1385">
        <v>0.33333333333333331</v>
      </c>
      <c r="BN113" s="1385"/>
      <c r="BO113" s="1385"/>
      <c r="BP113" s="1385"/>
      <c r="BQ113" s="1385">
        <v>0.375</v>
      </c>
      <c r="BR113" s="1385"/>
      <c r="BS113" s="1385"/>
      <c r="BT113" s="1385"/>
      <c r="BU113" s="1385">
        <v>0.41666666666666669</v>
      </c>
      <c r="BV113" s="1414"/>
      <c r="BW113" s="1414"/>
      <c r="BX113" s="1414"/>
      <c r="BY113" s="652"/>
      <c r="BZ113" s="652"/>
      <c r="CA113" s="652"/>
      <c r="CB113" s="657"/>
      <c r="CC113" s="657"/>
      <c r="CD113" s="657"/>
      <c r="CE113" s="657"/>
      <c r="CF113" s="657"/>
      <c r="CG113" s="657"/>
      <c r="CH113" s="657"/>
      <c r="CI113" s="657"/>
    </row>
    <row r="114" spans="1:87" ht="13.5" customHeight="1">
      <c r="A114" s="1415" t="s">
        <v>75</v>
      </c>
      <c r="B114" s="1415"/>
      <c r="C114" s="1415"/>
      <c r="D114" s="1463" t="s">
        <v>3103</v>
      </c>
      <c r="E114" s="1416"/>
      <c r="F114" s="1416"/>
      <c r="G114" s="1416"/>
      <c r="H114" s="1416"/>
      <c r="I114" s="1416"/>
      <c r="J114" s="1416"/>
      <c r="K114" s="1416"/>
      <c r="L114" s="1416"/>
      <c r="M114" s="1416"/>
      <c r="N114" s="1416"/>
      <c r="O114" s="1416"/>
      <c r="P114" s="1416"/>
      <c r="Q114" s="1416"/>
      <c r="R114" s="1416"/>
      <c r="S114" s="1416"/>
      <c r="T114" s="1416"/>
      <c r="U114" s="1416"/>
      <c r="V114" s="1416"/>
      <c r="W114" s="1416"/>
      <c r="X114" s="1416"/>
      <c r="Y114" s="1416"/>
      <c r="Z114" s="1416"/>
      <c r="AA114" s="1416"/>
      <c r="AB114" s="1416"/>
      <c r="AC114" s="1416"/>
      <c r="AD114" s="1416"/>
      <c r="AE114" s="1416"/>
      <c r="AF114" s="1416"/>
      <c r="AG114" s="1416"/>
      <c r="AH114" s="1416"/>
      <c r="AI114" s="1416"/>
      <c r="AJ114" s="1416"/>
      <c r="AK114" s="1416"/>
      <c r="AL114" s="1416"/>
      <c r="AM114" s="1416"/>
      <c r="AN114" s="1416"/>
      <c r="AO114" s="1416"/>
      <c r="AP114" s="1416"/>
      <c r="AQ114" s="1416"/>
      <c r="AR114" s="1416"/>
      <c r="AS114" s="1416"/>
      <c r="AT114" s="1416"/>
      <c r="AU114" s="1416"/>
      <c r="AV114" s="1416"/>
      <c r="AW114" s="1416"/>
      <c r="AX114" s="1416"/>
      <c r="AY114" s="1416"/>
      <c r="AZ114" s="1416"/>
      <c r="BA114" s="1416"/>
      <c r="BB114" s="1416"/>
      <c r="BC114" s="1416"/>
      <c r="BD114" s="1416"/>
      <c r="BE114" s="1416"/>
      <c r="BF114" s="1416"/>
      <c r="BG114" s="1416"/>
      <c r="BH114" s="1416"/>
      <c r="BI114" s="1416"/>
      <c r="BJ114" s="1416"/>
      <c r="BK114" s="1416"/>
      <c r="BL114" s="1416"/>
      <c r="BM114" s="1416"/>
      <c r="BN114" s="1416"/>
      <c r="BO114" s="1416"/>
      <c r="BP114" s="1416"/>
      <c r="BQ114" s="1416"/>
      <c r="BR114" s="1416"/>
      <c r="BS114" s="1416"/>
      <c r="BT114" s="1416"/>
      <c r="BU114" s="1416"/>
      <c r="BV114" s="1416"/>
      <c r="BW114" s="1416"/>
      <c r="BX114" s="1416"/>
      <c r="BY114" s="1416"/>
      <c r="BZ114" s="1416"/>
      <c r="CA114" s="672"/>
      <c r="CB114" s="709"/>
      <c r="CC114" s="709"/>
      <c r="CD114" s="709"/>
      <c r="CE114" s="709"/>
      <c r="CF114" s="709"/>
      <c r="CG114" s="709"/>
      <c r="CH114" s="709"/>
      <c r="CI114" s="709"/>
    </row>
    <row r="115" spans="1:87">
      <c r="A115" s="1415"/>
      <c r="B115" s="1415"/>
      <c r="C115" s="1415"/>
      <c r="D115" s="1416"/>
      <c r="E115" s="1416"/>
      <c r="F115" s="1416"/>
      <c r="G115" s="1416"/>
      <c r="H115" s="1416"/>
      <c r="I115" s="1416"/>
      <c r="J115" s="1416"/>
      <c r="K115" s="1416"/>
      <c r="L115" s="1416"/>
      <c r="M115" s="1416"/>
      <c r="N115" s="1416"/>
      <c r="O115" s="1416"/>
      <c r="P115" s="1416"/>
      <c r="Q115" s="1416"/>
      <c r="R115" s="1416"/>
      <c r="S115" s="1416"/>
      <c r="T115" s="1416"/>
      <c r="U115" s="1416"/>
      <c r="V115" s="1416"/>
      <c r="W115" s="1416"/>
      <c r="X115" s="1416"/>
      <c r="Y115" s="1416"/>
      <c r="Z115" s="1416"/>
      <c r="AA115" s="1416"/>
      <c r="AB115" s="1416"/>
      <c r="AC115" s="1416"/>
      <c r="AD115" s="1416"/>
      <c r="AE115" s="1416"/>
      <c r="AF115" s="1416"/>
      <c r="AG115" s="1416"/>
      <c r="AH115" s="1416"/>
      <c r="AI115" s="1416"/>
      <c r="AJ115" s="1416"/>
      <c r="AK115" s="1416"/>
      <c r="AL115" s="1416"/>
      <c r="AM115" s="1416"/>
      <c r="AN115" s="1416"/>
      <c r="AO115" s="1416"/>
      <c r="AP115" s="1416"/>
      <c r="AQ115" s="1416"/>
      <c r="AR115" s="1416"/>
      <c r="AS115" s="1416"/>
      <c r="AT115" s="1416"/>
      <c r="AU115" s="1416"/>
      <c r="AV115" s="1416"/>
      <c r="AW115" s="1416"/>
      <c r="AX115" s="1416"/>
      <c r="AY115" s="1416"/>
      <c r="AZ115" s="1416"/>
      <c r="BA115" s="1416"/>
      <c r="BB115" s="1416"/>
      <c r="BC115" s="1416"/>
      <c r="BD115" s="1416"/>
      <c r="BE115" s="1416"/>
      <c r="BF115" s="1416"/>
      <c r="BG115" s="1416"/>
      <c r="BH115" s="1416"/>
      <c r="BI115" s="1416"/>
      <c r="BJ115" s="1416"/>
      <c r="BK115" s="1416"/>
      <c r="BL115" s="1416"/>
      <c r="BM115" s="1416"/>
      <c r="BN115" s="1416"/>
      <c r="BO115" s="1416"/>
      <c r="BP115" s="1416"/>
      <c r="BQ115" s="1416"/>
      <c r="BR115" s="1416"/>
      <c r="BS115" s="1416"/>
      <c r="BT115" s="1416"/>
      <c r="BU115" s="1416"/>
      <c r="BV115" s="1416"/>
      <c r="BW115" s="1416"/>
      <c r="BX115" s="1416"/>
      <c r="BY115" s="1416"/>
      <c r="BZ115" s="1416"/>
      <c r="CA115" s="672"/>
      <c r="CB115" s="709"/>
      <c r="CC115" s="709"/>
      <c r="CD115" s="709"/>
      <c r="CE115" s="709"/>
      <c r="CF115" s="709"/>
      <c r="CG115" s="709"/>
      <c r="CH115" s="709"/>
      <c r="CI115" s="709"/>
    </row>
    <row r="116" spans="1:87">
      <c r="A116" s="1415"/>
      <c r="B116" s="1415"/>
      <c r="C116" s="1415"/>
      <c r="D116" s="1416"/>
      <c r="E116" s="1416"/>
      <c r="F116" s="1416"/>
      <c r="G116" s="1416"/>
      <c r="H116" s="1416"/>
      <c r="I116" s="1416"/>
      <c r="J116" s="1416"/>
      <c r="K116" s="1416"/>
      <c r="L116" s="1416"/>
      <c r="M116" s="1416"/>
      <c r="N116" s="1416"/>
      <c r="O116" s="1416"/>
      <c r="P116" s="1416"/>
      <c r="Q116" s="1416"/>
      <c r="R116" s="1416"/>
      <c r="S116" s="1416"/>
      <c r="T116" s="1416"/>
      <c r="U116" s="1416"/>
      <c r="V116" s="1416"/>
      <c r="W116" s="1416"/>
      <c r="X116" s="1416"/>
      <c r="Y116" s="1416"/>
      <c r="Z116" s="1416"/>
      <c r="AA116" s="1416"/>
      <c r="AB116" s="1416"/>
      <c r="AC116" s="1416"/>
      <c r="AD116" s="1416"/>
      <c r="AE116" s="1416"/>
      <c r="AF116" s="1416"/>
      <c r="AG116" s="1416"/>
      <c r="AH116" s="1416"/>
      <c r="AI116" s="1416"/>
      <c r="AJ116" s="1416"/>
      <c r="AK116" s="1416"/>
      <c r="AL116" s="1416"/>
      <c r="AM116" s="1416"/>
      <c r="AN116" s="1416"/>
      <c r="AO116" s="1416"/>
      <c r="AP116" s="1416"/>
      <c r="AQ116" s="1416"/>
      <c r="AR116" s="1416"/>
      <c r="AS116" s="1416"/>
      <c r="AT116" s="1416"/>
      <c r="AU116" s="1416"/>
      <c r="AV116" s="1416"/>
      <c r="AW116" s="1416"/>
      <c r="AX116" s="1416"/>
      <c r="AY116" s="1416"/>
      <c r="AZ116" s="1416"/>
      <c r="BA116" s="1416"/>
      <c r="BB116" s="1416"/>
      <c r="BC116" s="1416"/>
      <c r="BD116" s="1416"/>
      <c r="BE116" s="1416"/>
      <c r="BF116" s="1416"/>
      <c r="BG116" s="1416"/>
      <c r="BH116" s="1416"/>
      <c r="BI116" s="1416"/>
      <c r="BJ116" s="1416"/>
      <c r="BK116" s="1416"/>
      <c r="BL116" s="1416"/>
      <c r="BM116" s="1416"/>
      <c r="BN116" s="1416"/>
      <c r="BO116" s="1416"/>
      <c r="BP116" s="1416"/>
      <c r="BQ116" s="1416"/>
      <c r="BR116" s="1416"/>
      <c r="BS116" s="1416"/>
      <c r="BT116" s="1416"/>
      <c r="BU116" s="1416"/>
      <c r="BV116" s="1416"/>
      <c r="BW116" s="1416"/>
      <c r="BX116" s="1416"/>
      <c r="BY116" s="1416"/>
      <c r="BZ116" s="1416"/>
      <c r="CA116" s="672"/>
      <c r="CB116" s="709"/>
      <c r="CC116" s="709"/>
      <c r="CD116" s="709"/>
      <c r="CE116" s="709"/>
      <c r="CF116" s="709"/>
      <c r="CG116" s="709"/>
      <c r="CH116" s="709"/>
      <c r="CI116" s="709"/>
    </row>
    <row r="117" spans="1:87">
      <c r="A117" s="1415"/>
      <c r="B117" s="1415"/>
      <c r="C117" s="1415"/>
      <c r="D117" s="1416"/>
      <c r="E117" s="1416"/>
      <c r="F117" s="1416"/>
      <c r="G117" s="1416"/>
      <c r="H117" s="1416"/>
      <c r="I117" s="1416"/>
      <c r="J117" s="1416"/>
      <c r="K117" s="1416"/>
      <c r="L117" s="1416"/>
      <c r="M117" s="1416"/>
      <c r="N117" s="1416"/>
      <c r="O117" s="1416"/>
      <c r="P117" s="1416"/>
      <c r="Q117" s="1416"/>
      <c r="R117" s="1416"/>
      <c r="S117" s="1416"/>
      <c r="T117" s="1416"/>
      <c r="U117" s="1416"/>
      <c r="V117" s="1416"/>
      <c r="W117" s="1416"/>
      <c r="X117" s="1416"/>
      <c r="Y117" s="1416"/>
      <c r="Z117" s="1416"/>
      <c r="AA117" s="1416"/>
      <c r="AB117" s="1416"/>
      <c r="AC117" s="1416"/>
      <c r="AD117" s="1416"/>
      <c r="AE117" s="1416"/>
      <c r="AF117" s="1416"/>
      <c r="AG117" s="1416"/>
      <c r="AH117" s="1416"/>
      <c r="AI117" s="1416"/>
      <c r="AJ117" s="1416"/>
      <c r="AK117" s="1416"/>
      <c r="AL117" s="1416"/>
      <c r="AM117" s="1416"/>
      <c r="AN117" s="1416"/>
      <c r="AO117" s="1416"/>
      <c r="AP117" s="1416"/>
      <c r="AQ117" s="1416"/>
      <c r="AR117" s="1416"/>
      <c r="AS117" s="1416"/>
      <c r="AT117" s="1416"/>
      <c r="AU117" s="1416"/>
      <c r="AV117" s="1416"/>
      <c r="AW117" s="1416"/>
      <c r="AX117" s="1416"/>
      <c r="AY117" s="1416"/>
      <c r="AZ117" s="1416"/>
      <c r="BA117" s="1416"/>
      <c r="BB117" s="1416"/>
      <c r="BC117" s="1416"/>
      <c r="BD117" s="1416"/>
      <c r="BE117" s="1416"/>
      <c r="BF117" s="1416"/>
      <c r="BG117" s="1416"/>
      <c r="BH117" s="1416"/>
      <c r="BI117" s="1416"/>
      <c r="BJ117" s="1416"/>
      <c r="BK117" s="1416"/>
      <c r="BL117" s="1416"/>
      <c r="BM117" s="1416"/>
      <c r="BN117" s="1416"/>
      <c r="BO117" s="1416"/>
      <c r="BP117" s="1416"/>
      <c r="BQ117" s="1416"/>
      <c r="BR117" s="1416"/>
      <c r="BS117" s="1416"/>
      <c r="BT117" s="1416"/>
      <c r="BU117" s="1416"/>
      <c r="BV117" s="1416"/>
      <c r="BW117" s="1416"/>
      <c r="BX117" s="1416"/>
      <c r="BY117" s="1416"/>
      <c r="BZ117" s="1416"/>
      <c r="CA117" s="672"/>
      <c r="CB117" s="709"/>
      <c r="CC117" s="709"/>
      <c r="CD117" s="709"/>
      <c r="CE117" s="709"/>
      <c r="CF117" s="709"/>
      <c r="CG117" s="709"/>
      <c r="CH117" s="709"/>
      <c r="CI117" s="709"/>
    </row>
    <row r="118" spans="1:87">
      <c r="A118" s="1415"/>
      <c r="B118" s="1415"/>
      <c r="C118" s="1415"/>
      <c r="D118" s="1416"/>
      <c r="E118" s="1416"/>
      <c r="F118" s="1416"/>
      <c r="G118" s="1416"/>
      <c r="H118" s="1416"/>
      <c r="I118" s="1416"/>
      <c r="J118" s="1416"/>
      <c r="K118" s="1416"/>
      <c r="L118" s="1416"/>
      <c r="M118" s="1416"/>
      <c r="N118" s="1416"/>
      <c r="O118" s="1416"/>
      <c r="P118" s="1416"/>
      <c r="Q118" s="1416"/>
      <c r="R118" s="1416"/>
      <c r="S118" s="1416"/>
      <c r="T118" s="1416"/>
      <c r="U118" s="1416"/>
      <c r="V118" s="1416"/>
      <c r="W118" s="1416"/>
      <c r="X118" s="1416"/>
      <c r="Y118" s="1416"/>
      <c r="Z118" s="1416"/>
      <c r="AA118" s="1416"/>
      <c r="AB118" s="1416"/>
      <c r="AC118" s="1416"/>
      <c r="AD118" s="1416"/>
      <c r="AE118" s="1416"/>
      <c r="AF118" s="1416"/>
      <c r="AG118" s="1416"/>
      <c r="AH118" s="1416"/>
      <c r="AI118" s="1416"/>
      <c r="AJ118" s="1416"/>
      <c r="AK118" s="1416"/>
      <c r="AL118" s="1416"/>
      <c r="AM118" s="1416"/>
      <c r="AN118" s="1416"/>
      <c r="AO118" s="1416"/>
      <c r="AP118" s="1416"/>
      <c r="AQ118" s="1416"/>
      <c r="AR118" s="1416"/>
      <c r="AS118" s="1416"/>
      <c r="AT118" s="1416"/>
      <c r="AU118" s="1416"/>
      <c r="AV118" s="1416"/>
      <c r="AW118" s="1416"/>
      <c r="AX118" s="1416"/>
      <c r="AY118" s="1416"/>
      <c r="AZ118" s="1416"/>
      <c r="BA118" s="1416"/>
      <c r="BB118" s="1416"/>
      <c r="BC118" s="1416"/>
      <c r="BD118" s="1416"/>
      <c r="BE118" s="1416"/>
      <c r="BF118" s="1416"/>
      <c r="BG118" s="1416"/>
      <c r="BH118" s="1416"/>
      <c r="BI118" s="1416"/>
      <c r="BJ118" s="1416"/>
      <c r="BK118" s="1416"/>
      <c r="BL118" s="1416"/>
      <c r="BM118" s="1416"/>
      <c r="BN118" s="1416"/>
      <c r="BO118" s="1416"/>
      <c r="BP118" s="1416"/>
      <c r="BQ118" s="1416"/>
      <c r="BR118" s="1416"/>
      <c r="BS118" s="1416"/>
      <c r="BT118" s="1416"/>
      <c r="BU118" s="1416"/>
      <c r="BV118" s="1416"/>
      <c r="BW118" s="1416"/>
      <c r="BX118" s="1416"/>
      <c r="BY118" s="1416"/>
      <c r="BZ118" s="1416"/>
      <c r="CA118" s="672"/>
      <c r="CB118" s="709"/>
      <c r="CC118" s="709"/>
      <c r="CD118" s="709"/>
      <c r="CE118" s="709"/>
      <c r="CF118" s="709"/>
      <c r="CG118" s="709"/>
      <c r="CH118" s="709"/>
      <c r="CI118" s="709"/>
    </row>
    <row r="119" spans="1:87">
      <c r="A119" s="1417" t="s">
        <v>88</v>
      </c>
      <c r="B119" s="1417"/>
      <c r="C119" s="1417"/>
      <c r="D119" s="1417"/>
      <c r="E119" s="1417"/>
      <c r="F119" s="1417"/>
      <c r="G119" s="1417"/>
      <c r="H119" s="1417"/>
      <c r="I119" s="1417"/>
      <c r="J119" s="1417"/>
      <c r="K119" s="1417"/>
      <c r="L119" s="1417"/>
      <c r="M119" s="1417"/>
      <c r="N119" s="1417"/>
      <c r="O119" s="1417"/>
      <c r="P119" s="1417"/>
      <c r="Q119" s="1417"/>
      <c r="R119" s="1417"/>
      <c r="S119" s="1417"/>
      <c r="T119" s="1417"/>
      <c r="U119" s="1417"/>
      <c r="V119" s="1417"/>
      <c r="W119" s="1417"/>
      <c r="X119" s="1417"/>
      <c r="Y119" s="1417"/>
      <c r="Z119" s="1417"/>
      <c r="AA119" s="1417"/>
      <c r="AB119" s="1417"/>
      <c r="AC119" s="1417"/>
      <c r="AD119" s="1417"/>
      <c r="AE119" s="1417"/>
      <c r="AF119" s="1417"/>
      <c r="AG119" s="1417"/>
      <c r="AH119" s="1417"/>
      <c r="AI119" s="1417"/>
      <c r="AJ119" s="1417"/>
      <c r="AK119" s="1417"/>
      <c r="AL119" s="1417"/>
      <c r="AM119" s="1417"/>
      <c r="AN119" s="1417"/>
      <c r="AO119" s="1417"/>
      <c r="AP119" s="1417"/>
      <c r="AQ119" s="1417"/>
      <c r="AR119" s="1417"/>
      <c r="AS119" s="1417"/>
      <c r="AT119" s="1417"/>
      <c r="AU119" s="1417"/>
      <c r="AV119" s="1417"/>
      <c r="AW119" s="1417"/>
      <c r="AX119" s="1417"/>
      <c r="AY119" s="1417"/>
      <c r="AZ119" s="1417"/>
      <c r="BA119" s="1417"/>
      <c r="BB119" s="1417"/>
      <c r="BC119" s="1417"/>
      <c r="BD119" s="1417"/>
      <c r="BE119" s="1417"/>
      <c r="BF119" s="1417"/>
      <c r="BG119" s="1417"/>
      <c r="BH119" s="1417"/>
      <c r="BI119" s="1417"/>
      <c r="BJ119" s="1417"/>
      <c r="BK119" s="1417"/>
      <c r="BL119" s="1417"/>
      <c r="BM119" s="1417"/>
      <c r="BN119" s="1417"/>
      <c r="BO119" s="1417"/>
      <c r="BP119" s="1417"/>
      <c r="BQ119" s="1417"/>
      <c r="BR119" s="1417"/>
      <c r="BS119" s="1417"/>
      <c r="BT119" s="1417"/>
      <c r="BU119" s="1417"/>
      <c r="BV119" s="1417"/>
      <c r="BW119" s="1417"/>
      <c r="BX119" s="1417"/>
      <c r="BY119" s="1417"/>
      <c r="BZ119" s="1417"/>
      <c r="CA119" s="652"/>
      <c r="CB119" s="657"/>
      <c r="CC119" s="657"/>
      <c r="CD119" s="657"/>
      <c r="CE119" s="657"/>
      <c r="CF119" s="657"/>
      <c r="CG119" s="657"/>
      <c r="CH119" s="657"/>
      <c r="CI119" s="657"/>
    </row>
    <row r="120" spans="1:87">
      <c r="A120" s="1404" t="s">
        <v>87</v>
      </c>
      <c r="B120" s="1404"/>
      <c r="C120" s="1404"/>
      <c r="D120" s="1404"/>
      <c r="E120" s="1404"/>
      <c r="F120" s="1404"/>
      <c r="G120" s="1404"/>
      <c r="H120" s="1404"/>
      <c r="I120" s="1404"/>
      <c r="J120" s="1404"/>
      <c r="K120" s="1404"/>
      <c r="L120" s="1404"/>
      <c r="M120" s="1404"/>
      <c r="N120" s="1404"/>
      <c r="O120" s="1404"/>
      <c r="P120" s="1404"/>
      <c r="Q120" s="1404"/>
      <c r="R120" s="1404"/>
      <c r="S120" s="1404"/>
      <c r="T120" s="1404"/>
      <c r="U120" s="1404"/>
      <c r="V120" s="1404"/>
      <c r="W120" s="1404"/>
      <c r="X120" s="1404"/>
      <c r="Y120" s="1404"/>
      <c r="Z120" s="1404"/>
      <c r="AA120" s="1404"/>
      <c r="AB120" s="1404"/>
      <c r="AC120" s="1404"/>
      <c r="AD120" s="1404"/>
      <c r="AE120" s="1404"/>
      <c r="AF120" s="1404"/>
      <c r="AG120" s="1404"/>
      <c r="AH120" s="1404"/>
      <c r="AI120" s="1404"/>
      <c r="AJ120" s="1404"/>
      <c r="AK120" s="1404"/>
      <c r="AL120" s="1404"/>
      <c r="AM120" s="1404"/>
      <c r="AN120" s="1404"/>
      <c r="AO120" s="1404"/>
      <c r="AP120" s="1404"/>
      <c r="AQ120" s="1404"/>
      <c r="AR120" s="1404"/>
      <c r="AS120" s="1404"/>
      <c r="AT120" s="1404"/>
      <c r="AU120" s="1404"/>
      <c r="AV120" s="1404"/>
      <c r="AW120" s="1404"/>
      <c r="AX120" s="1404"/>
      <c r="AY120" s="1404"/>
      <c r="AZ120" s="1404"/>
      <c r="BA120" s="1404"/>
      <c r="BB120" s="1404"/>
      <c r="BC120" s="1404"/>
      <c r="BD120" s="1404"/>
      <c r="BE120" s="1404"/>
      <c r="BF120" s="1404"/>
      <c r="BG120" s="1404"/>
      <c r="BH120" s="1404"/>
      <c r="BI120" s="1404"/>
      <c r="BJ120" s="1404"/>
      <c r="BK120" s="1404"/>
      <c r="BL120" s="1404"/>
      <c r="BM120" s="1404"/>
      <c r="BN120" s="1404"/>
      <c r="BO120" s="1404"/>
      <c r="BP120" s="1404"/>
      <c r="BQ120" s="1404"/>
      <c r="BR120" s="1404"/>
      <c r="BS120" s="1404"/>
      <c r="BT120" s="1404"/>
      <c r="BU120" s="1404"/>
      <c r="BV120" s="1404"/>
      <c r="BW120" s="1404"/>
      <c r="BX120" s="1404"/>
      <c r="BY120" s="1404"/>
      <c r="BZ120" s="1404"/>
      <c r="CA120" s="652"/>
      <c r="CB120" s="657"/>
      <c r="CC120" s="657"/>
      <c r="CD120" s="657"/>
      <c r="CE120" s="657"/>
      <c r="CF120" s="657"/>
      <c r="CG120" s="657"/>
      <c r="CH120" s="657"/>
      <c r="CI120" s="657"/>
    </row>
    <row r="121" spans="1:87">
      <c r="A121" s="1404" t="s">
        <v>86</v>
      </c>
      <c r="B121" s="1404"/>
      <c r="C121" s="1404"/>
      <c r="D121" s="1404"/>
      <c r="E121" s="1404"/>
      <c r="F121" s="1404"/>
      <c r="G121" s="1404"/>
      <c r="H121" s="1404"/>
      <c r="I121" s="1404"/>
      <c r="J121" s="1404"/>
      <c r="K121" s="1404"/>
      <c r="L121" s="1404"/>
      <c r="M121" s="1404"/>
      <c r="N121" s="1404"/>
      <c r="O121" s="1404"/>
      <c r="P121" s="1404"/>
      <c r="Q121" s="1404"/>
      <c r="R121" s="1404"/>
      <c r="S121" s="1404"/>
      <c r="T121" s="1404"/>
      <c r="U121" s="1404"/>
      <c r="V121" s="1404"/>
      <c r="W121" s="1404"/>
      <c r="X121" s="1404"/>
      <c r="Y121" s="1404"/>
      <c r="Z121" s="1404"/>
      <c r="AA121" s="1404"/>
      <c r="AB121" s="1404"/>
      <c r="AC121" s="1404"/>
      <c r="AD121" s="1404"/>
      <c r="AE121" s="1404"/>
      <c r="AF121" s="1404"/>
      <c r="AG121" s="1404"/>
      <c r="AH121" s="1404"/>
      <c r="AI121" s="1404"/>
      <c r="AJ121" s="1404"/>
      <c r="AK121" s="1404"/>
      <c r="AL121" s="1404"/>
      <c r="AM121" s="1404"/>
      <c r="AN121" s="1404"/>
      <c r="AO121" s="1404"/>
      <c r="AP121" s="1404"/>
      <c r="AQ121" s="1404"/>
      <c r="AR121" s="1404"/>
      <c r="AS121" s="1404"/>
      <c r="AT121" s="1404"/>
      <c r="AU121" s="1404"/>
      <c r="AV121" s="1404"/>
      <c r="AW121" s="1404"/>
      <c r="AX121" s="1404"/>
      <c r="AY121" s="1404"/>
      <c r="AZ121" s="1404"/>
      <c r="BA121" s="1404"/>
      <c r="BB121" s="1404"/>
      <c r="BC121" s="1404"/>
      <c r="BD121" s="1404"/>
      <c r="BE121" s="1404"/>
      <c r="BF121" s="1404"/>
      <c r="BG121" s="1404"/>
      <c r="BH121" s="1404"/>
      <c r="BI121" s="1404"/>
      <c r="BJ121" s="1404"/>
      <c r="BK121" s="1404"/>
      <c r="BL121" s="1404"/>
      <c r="BM121" s="1404"/>
      <c r="BN121" s="1404"/>
      <c r="BO121" s="1404"/>
      <c r="BP121" s="1404"/>
      <c r="BQ121" s="1404"/>
      <c r="BR121" s="1404"/>
      <c r="BS121" s="1404"/>
      <c r="BT121" s="1404"/>
      <c r="BU121" s="1404"/>
      <c r="BV121" s="1404"/>
      <c r="BW121" s="1404"/>
      <c r="BX121" s="1404"/>
      <c r="BY121" s="1404"/>
      <c r="BZ121" s="1404"/>
      <c r="CA121" s="652"/>
      <c r="CB121" s="657"/>
      <c r="CC121" s="657"/>
      <c r="CD121" s="657"/>
      <c r="CE121" s="657"/>
      <c r="CF121" s="657"/>
      <c r="CG121" s="657"/>
      <c r="CH121" s="657"/>
      <c r="CI121" s="657"/>
    </row>
    <row r="122" spans="1:87" s="252" customFormat="1" ht="23.25">
      <c r="A122" s="1452" t="s">
        <v>3112</v>
      </c>
      <c r="B122" s="1452"/>
      <c r="C122" s="1452"/>
      <c r="D122" s="1452"/>
      <c r="E122" s="1452"/>
      <c r="F122" s="1452"/>
      <c r="G122" s="1452"/>
      <c r="H122" s="1452"/>
      <c r="I122" s="1452"/>
      <c r="J122" s="1452"/>
      <c r="K122" s="1452"/>
      <c r="L122" s="1452"/>
      <c r="M122" s="1452"/>
      <c r="N122" s="1452"/>
      <c r="O122" s="1452"/>
      <c r="P122" s="1452"/>
      <c r="Q122" s="1452"/>
      <c r="R122" s="1452"/>
      <c r="S122" s="1452"/>
      <c r="T122" s="1452"/>
      <c r="U122" s="1452"/>
      <c r="V122" s="1452"/>
      <c r="W122" s="1452"/>
      <c r="X122" s="1452"/>
      <c r="Y122" s="1452"/>
      <c r="Z122" s="1452"/>
      <c r="AA122" s="1452"/>
      <c r="AB122" s="1452"/>
      <c r="AC122" s="1452"/>
      <c r="AD122" s="1452"/>
      <c r="AE122" s="1452"/>
      <c r="AF122" s="1452"/>
      <c r="AG122" s="1452"/>
      <c r="AH122" s="1452"/>
      <c r="AI122" s="1452"/>
      <c r="AJ122" s="1452"/>
      <c r="AK122" s="1452"/>
      <c r="AL122" s="1452"/>
      <c r="AM122" s="1452"/>
      <c r="AN122" s="1452"/>
      <c r="AO122" s="1452"/>
      <c r="AP122" s="1452"/>
      <c r="AQ122" s="1452"/>
      <c r="AR122" s="1452"/>
      <c r="AS122" s="1452"/>
      <c r="AT122" s="1452"/>
      <c r="AU122" s="1452"/>
      <c r="AV122" s="1452"/>
      <c r="AW122" s="1452"/>
      <c r="AX122" s="1452"/>
      <c r="AY122" s="1452"/>
      <c r="AZ122" s="1452"/>
      <c r="BA122" s="1452"/>
      <c r="BB122" s="1452"/>
      <c r="BC122" s="1452"/>
      <c r="BD122" s="1452"/>
      <c r="BE122" s="1452"/>
      <c r="BF122" s="1452"/>
      <c r="BG122" s="1452"/>
      <c r="BH122" s="1452"/>
      <c r="BI122" s="1452"/>
      <c r="BJ122" s="1452"/>
      <c r="BK122" s="1452"/>
      <c r="BL122" s="1452"/>
      <c r="BM122" s="1452"/>
      <c r="BN122" s="1452"/>
      <c r="BO122" s="1452"/>
      <c r="BP122" s="1452"/>
      <c r="BQ122" s="1452"/>
      <c r="BR122" s="1452"/>
      <c r="BS122" s="1452"/>
      <c r="BT122" s="1452"/>
      <c r="BU122" s="1452"/>
      <c r="BV122" s="1452"/>
      <c r="BW122" s="1452"/>
      <c r="BX122" s="1452"/>
      <c r="BY122" s="1452"/>
      <c r="BZ122" s="1452"/>
      <c r="CA122" s="643"/>
      <c r="CB122" s="644"/>
      <c r="CC122" s="644"/>
      <c r="CD122" s="644"/>
      <c r="CE122" s="644"/>
      <c r="CF122" s="644"/>
      <c r="CG122" s="644"/>
      <c r="CH122" s="644"/>
      <c r="CI122" s="644"/>
    </row>
    <row r="123" spans="1:87" s="252" customFormat="1" ht="9.9499999999999993" customHeight="1">
      <c r="B123" s="749"/>
      <c r="C123" s="749"/>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49"/>
      <c r="AA123" s="749"/>
      <c r="AB123" s="749"/>
      <c r="AC123" s="749"/>
      <c r="AD123" s="749"/>
      <c r="AE123" s="749"/>
      <c r="AF123" s="749"/>
      <c r="AG123" s="749"/>
      <c r="AH123" s="749"/>
      <c r="AI123" s="749"/>
      <c r="AJ123" s="749"/>
      <c r="AK123" s="749"/>
      <c r="AL123" s="749"/>
      <c r="AM123" s="749"/>
      <c r="AN123" s="749"/>
      <c r="AO123" s="749"/>
      <c r="AP123" s="749"/>
      <c r="AQ123" s="749"/>
      <c r="AR123" s="749"/>
      <c r="AS123" s="749"/>
      <c r="AT123" s="749"/>
      <c r="AW123" s="749"/>
      <c r="BW123" s="1453" t="s">
        <v>85</v>
      </c>
      <c r="BX123" s="1453"/>
      <c r="BY123" s="1454">
        <v>1</v>
      </c>
      <c r="BZ123" s="1454"/>
      <c r="CA123" s="294"/>
    </row>
    <row r="124" spans="1:87" s="252" customFormat="1" ht="9.9499999999999993" customHeight="1">
      <c r="B124" s="749"/>
      <c r="C124" s="749"/>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49"/>
      <c r="AA124" s="749"/>
      <c r="AB124" s="749"/>
      <c r="AC124" s="749"/>
      <c r="AD124" s="749"/>
      <c r="AE124" s="749"/>
      <c r="AF124" s="749"/>
      <c r="AG124" s="749"/>
      <c r="AH124" s="749"/>
      <c r="AI124" s="749"/>
      <c r="AJ124" s="749"/>
      <c r="AK124" s="749"/>
      <c r="AL124" s="749"/>
      <c r="AM124" s="749"/>
      <c r="AN124" s="749"/>
      <c r="AO124" s="749"/>
      <c r="AP124" s="749"/>
      <c r="AQ124" s="749"/>
      <c r="AR124" s="749"/>
      <c r="AS124" s="749"/>
      <c r="AT124" s="749"/>
      <c r="AW124" s="749"/>
      <c r="CA124" s="294"/>
    </row>
    <row r="125" spans="1:87" s="252" customFormat="1" ht="12" customHeight="1">
      <c r="A125" s="1455" t="s">
        <v>84</v>
      </c>
      <c r="B125" s="1455"/>
      <c r="C125" s="1455"/>
      <c r="D125" s="1455"/>
      <c r="E125" s="1455"/>
      <c r="F125" s="1455"/>
      <c r="G125" s="1455"/>
      <c r="H125" s="1457" t="s">
        <v>3040</v>
      </c>
      <c r="I125" s="1457"/>
      <c r="J125" s="1457"/>
      <c r="K125" s="1457"/>
      <c r="L125" s="1457"/>
      <c r="M125" s="1457"/>
      <c r="N125" s="1457"/>
      <c r="O125" s="1457"/>
      <c r="P125" s="1457"/>
      <c r="Q125" s="1457"/>
      <c r="R125" s="1457"/>
      <c r="S125" s="1457"/>
      <c r="T125" s="1457"/>
      <c r="U125" s="1457"/>
      <c r="V125" s="1457"/>
      <c r="W125" s="1457"/>
      <c r="X125" s="1455" t="s">
        <v>82</v>
      </c>
      <c r="Y125" s="1455"/>
      <c r="Z125" s="1455"/>
      <c r="AA125" s="1455"/>
      <c r="AB125" s="1455"/>
      <c r="AC125" s="1455"/>
      <c r="AD125" s="1455"/>
      <c r="AE125" s="1459" t="s">
        <v>3088</v>
      </c>
      <c r="AF125" s="1459"/>
      <c r="AG125" s="1459"/>
      <c r="AH125" s="1459"/>
      <c r="AI125" s="1453" t="s">
        <v>16</v>
      </c>
      <c r="AJ125" s="1453"/>
      <c r="AK125" s="1459">
        <v>6</v>
      </c>
      <c r="AL125" s="1459"/>
      <c r="AM125" s="1453" t="s">
        <v>15</v>
      </c>
      <c r="AN125" s="1453"/>
      <c r="AO125" s="1459">
        <v>2</v>
      </c>
      <c r="AP125" s="1459"/>
      <c r="AQ125" s="1453" t="s">
        <v>14</v>
      </c>
      <c r="AR125" s="1453"/>
      <c r="AS125" s="1453" t="s">
        <v>38</v>
      </c>
      <c r="AT125" s="1453"/>
      <c r="AU125" s="1459" t="s">
        <v>3041</v>
      </c>
      <c r="AV125" s="1459"/>
      <c r="AW125" s="1453" t="s">
        <v>37</v>
      </c>
      <c r="AX125" s="1453"/>
      <c r="AY125" s="1453" t="s">
        <v>35</v>
      </c>
      <c r="AZ125" s="1453"/>
      <c r="BA125" s="1459">
        <v>6</v>
      </c>
      <c r="BB125" s="1459"/>
      <c r="BC125" s="1453" t="s">
        <v>15</v>
      </c>
      <c r="BD125" s="1453"/>
      <c r="BE125" s="1459">
        <v>3</v>
      </c>
      <c r="BF125" s="1459"/>
      <c r="BG125" s="1453" t="s">
        <v>14</v>
      </c>
      <c r="BH125" s="1453"/>
      <c r="BI125" s="1453" t="s">
        <v>38</v>
      </c>
      <c r="BJ125" s="1453"/>
      <c r="BK125" s="1459" t="s">
        <v>3042</v>
      </c>
      <c r="BL125" s="1459"/>
      <c r="BM125" s="1453" t="s">
        <v>37</v>
      </c>
      <c r="BN125" s="1453"/>
      <c r="BO125" s="1453"/>
      <c r="BP125" s="1511"/>
      <c r="BQ125" s="1453"/>
      <c r="BR125" s="1453"/>
      <c r="BS125" s="1508">
        <v>1</v>
      </c>
      <c r="BT125" s="1508"/>
      <c r="BU125" s="1453" t="s">
        <v>46</v>
      </c>
      <c r="BV125" s="1453"/>
      <c r="BW125" s="1508">
        <v>2</v>
      </c>
      <c r="BX125" s="1508"/>
      <c r="BY125" s="1453" t="s">
        <v>14</v>
      </c>
      <c r="BZ125" s="1453"/>
      <c r="CA125" s="294"/>
    </row>
    <row r="126" spans="1:87" s="252" customFormat="1" ht="12" customHeight="1">
      <c r="A126" s="1456"/>
      <c r="B126" s="1456"/>
      <c r="C126" s="1456"/>
      <c r="D126" s="1456"/>
      <c r="E126" s="1456"/>
      <c r="F126" s="1456"/>
      <c r="G126" s="1456"/>
      <c r="H126" s="1458"/>
      <c r="I126" s="1458"/>
      <c r="J126" s="1458"/>
      <c r="K126" s="1458"/>
      <c r="L126" s="1458"/>
      <c r="M126" s="1458"/>
      <c r="N126" s="1458"/>
      <c r="O126" s="1458"/>
      <c r="P126" s="1458"/>
      <c r="Q126" s="1458"/>
      <c r="R126" s="1458"/>
      <c r="S126" s="1458"/>
      <c r="T126" s="1458"/>
      <c r="U126" s="1458"/>
      <c r="V126" s="1458"/>
      <c r="W126" s="1458"/>
      <c r="X126" s="1456"/>
      <c r="Y126" s="1456"/>
      <c r="Z126" s="1456"/>
      <c r="AA126" s="1456"/>
      <c r="AB126" s="1456"/>
      <c r="AC126" s="1456"/>
      <c r="AD126" s="1456"/>
      <c r="AE126" s="1460"/>
      <c r="AF126" s="1460"/>
      <c r="AG126" s="1460"/>
      <c r="AH126" s="1460"/>
      <c r="AI126" s="1454"/>
      <c r="AJ126" s="1454"/>
      <c r="AK126" s="1460"/>
      <c r="AL126" s="1460"/>
      <c r="AM126" s="1454"/>
      <c r="AN126" s="1454"/>
      <c r="AO126" s="1460"/>
      <c r="AP126" s="1460"/>
      <c r="AQ126" s="1454"/>
      <c r="AR126" s="1454"/>
      <c r="AS126" s="1454"/>
      <c r="AT126" s="1454"/>
      <c r="AU126" s="1460"/>
      <c r="AV126" s="1460"/>
      <c r="AW126" s="1454"/>
      <c r="AX126" s="1454"/>
      <c r="AY126" s="1454"/>
      <c r="AZ126" s="1454"/>
      <c r="BA126" s="1460"/>
      <c r="BB126" s="1460"/>
      <c r="BC126" s="1454"/>
      <c r="BD126" s="1454"/>
      <c r="BE126" s="1460"/>
      <c r="BF126" s="1460"/>
      <c r="BG126" s="1454"/>
      <c r="BH126" s="1454"/>
      <c r="BI126" s="1454"/>
      <c r="BJ126" s="1454"/>
      <c r="BK126" s="1460"/>
      <c r="BL126" s="1460"/>
      <c r="BM126" s="1454"/>
      <c r="BN126" s="1454"/>
      <c r="BO126" s="1512"/>
      <c r="BP126" s="1512"/>
      <c r="BQ126" s="1454"/>
      <c r="BR126" s="1454"/>
      <c r="BS126" s="1454" t="s">
        <v>47</v>
      </c>
      <c r="BT126" s="1454"/>
      <c r="BU126" s="1454"/>
      <c r="BV126" s="1454"/>
      <c r="BW126" s="1509" t="e">
        <f>CONCATENATE('[1]01 使用承認申請書'!V115)</f>
        <v>#REF!</v>
      </c>
      <c r="BX126" s="1509"/>
      <c r="BY126" s="1454" t="s">
        <v>14</v>
      </c>
      <c r="BZ126" s="1454"/>
      <c r="CA126" s="294"/>
    </row>
    <row r="127" spans="1:87" s="252" customFormat="1" ht="12" customHeight="1">
      <c r="A127" s="726"/>
      <c r="B127" s="726"/>
      <c r="C127" s="726"/>
      <c r="D127" s="726"/>
      <c r="E127" s="726"/>
      <c r="F127" s="726"/>
      <c r="G127" s="726"/>
      <c r="H127" s="727"/>
      <c r="I127" s="727"/>
      <c r="J127" s="727"/>
      <c r="K127" s="727"/>
      <c r="L127" s="727"/>
      <c r="M127" s="727"/>
      <c r="N127" s="727"/>
      <c r="O127" s="727"/>
      <c r="P127" s="727"/>
      <c r="Q127" s="727"/>
      <c r="R127" s="727"/>
      <c r="S127" s="727"/>
      <c r="T127" s="727"/>
      <c r="U127" s="727"/>
      <c r="V127" s="727"/>
      <c r="W127" s="727"/>
      <c r="X127" s="726"/>
      <c r="Y127" s="726"/>
      <c r="Z127" s="726"/>
      <c r="AA127" s="726"/>
      <c r="AB127" s="726"/>
      <c r="AC127" s="726"/>
      <c r="AD127" s="726"/>
      <c r="AE127" s="724"/>
      <c r="AF127" s="724"/>
      <c r="AG127" s="723"/>
      <c r="AH127" s="648"/>
      <c r="AI127" s="733"/>
      <c r="AJ127" s="724"/>
      <c r="AK127" s="723"/>
      <c r="AL127" s="723"/>
      <c r="AM127" s="724"/>
      <c r="AN127" s="724"/>
      <c r="AO127" s="723"/>
      <c r="AP127" s="723"/>
      <c r="AQ127" s="724"/>
      <c r="AR127" s="724"/>
      <c r="AS127" s="724"/>
      <c r="AT127" s="724"/>
      <c r="AU127" s="723"/>
      <c r="AV127" s="723"/>
      <c r="AW127" s="724"/>
      <c r="AX127" s="724"/>
      <c r="AY127" s="724"/>
      <c r="AZ127" s="724"/>
      <c r="BA127" s="723"/>
      <c r="BB127" s="723"/>
      <c r="BC127" s="724"/>
      <c r="BD127" s="724"/>
      <c r="BE127" s="723"/>
      <c r="BF127" s="723"/>
      <c r="BG127" s="724"/>
      <c r="BH127" s="724"/>
      <c r="BI127" s="724"/>
      <c r="BJ127" s="724"/>
      <c r="BK127" s="723"/>
      <c r="BL127" s="723"/>
      <c r="BM127" s="724"/>
      <c r="BN127" s="724"/>
      <c r="BO127" s="725"/>
      <c r="BP127" s="725"/>
      <c r="BQ127" s="724"/>
      <c r="BR127" s="724"/>
      <c r="BS127" s="724"/>
      <c r="BT127" s="724"/>
      <c r="BU127" s="724"/>
      <c r="BV127" s="724"/>
      <c r="BW127" s="649"/>
      <c r="BX127" s="649"/>
      <c r="BY127" s="724"/>
      <c r="BZ127" s="724"/>
      <c r="CA127" s="294"/>
    </row>
    <row r="128" spans="1:87" ht="10.5" customHeight="1">
      <c r="A128" s="650"/>
      <c r="B128" s="650"/>
      <c r="C128" s="650"/>
      <c r="D128" s="650"/>
      <c r="E128" s="650"/>
      <c r="F128" s="650"/>
      <c r="G128" s="651"/>
      <c r="H128" s="650"/>
      <c r="I128" s="650"/>
      <c r="J128" s="650"/>
      <c r="K128" s="650"/>
      <c r="L128" s="650"/>
      <c r="M128" s="1505">
        <v>0.28125</v>
      </c>
      <c r="N128" s="1506"/>
      <c r="O128" s="1506"/>
      <c r="P128" s="1506"/>
      <c r="Q128" s="1507" t="s">
        <v>1901</v>
      </c>
      <c r="R128" s="1507"/>
      <c r="S128" s="1507"/>
      <c r="T128" s="1505">
        <v>0.36458333333333331</v>
      </c>
      <c r="U128" s="1506"/>
      <c r="V128" s="1506"/>
      <c r="W128" s="1506"/>
      <c r="X128" s="650"/>
      <c r="Y128" s="650"/>
      <c r="Z128" s="650"/>
      <c r="AA128" s="652"/>
      <c r="AB128" s="652"/>
      <c r="AC128" s="652"/>
      <c r="AD128" s="652"/>
      <c r="AE128" s="652"/>
      <c r="AF128" s="1505">
        <v>0.47916666666666669</v>
      </c>
      <c r="AG128" s="1506"/>
      <c r="AH128" s="1506"/>
      <c r="AI128" s="1506"/>
      <c r="AJ128" s="1507" t="s">
        <v>1901</v>
      </c>
      <c r="AK128" s="1507"/>
      <c r="AL128" s="1507"/>
      <c r="AM128" s="1505">
        <v>6.25E-2</v>
      </c>
      <c r="AN128" s="1506"/>
      <c r="AO128" s="1506"/>
      <c r="AP128" s="1506"/>
      <c r="AQ128" s="652"/>
      <c r="AR128" s="652"/>
      <c r="AS128" s="652"/>
      <c r="AT128" s="652"/>
      <c r="AU128" s="652"/>
      <c r="AV128" s="652"/>
      <c r="AW128" s="652"/>
      <c r="AX128" s="652"/>
      <c r="AY128" s="652"/>
      <c r="AZ128" s="652"/>
      <c r="BA128" s="1505">
        <v>0.20833333333333334</v>
      </c>
      <c r="BB128" s="1506"/>
      <c r="BC128" s="1506"/>
      <c r="BD128" s="1506"/>
      <c r="BE128" s="1507" t="s">
        <v>1901</v>
      </c>
      <c r="BF128" s="1507"/>
      <c r="BG128" s="1507"/>
      <c r="BH128" s="1507"/>
      <c r="BI128" s="1505">
        <v>0.29166666666666669</v>
      </c>
      <c r="BJ128" s="1506"/>
      <c r="BK128" s="1506"/>
      <c r="BL128" s="1506"/>
      <c r="BM128" s="652"/>
      <c r="BN128" s="652"/>
      <c r="BO128" s="652"/>
      <c r="BP128" s="652"/>
      <c r="BQ128" s="652"/>
      <c r="BR128" s="652"/>
      <c r="BS128" s="652"/>
      <c r="BT128" s="652"/>
      <c r="BU128" s="652"/>
      <c r="BV128" s="652"/>
      <c r="BW128" s="652"/>
      <c r="BX128" s="652"/>
      <c r="BY128" s="652"/>
      <c r="BZ128" s="652"/>
      <c r="CA128" s="652"/>
    </row>
    <row r="129" spans="1:87" ht="10.5" customHeight="1">
      <c r="A129" s="650"/>
      <c r="B129" s="650"/>
      <c r="C129" s="650"/>
      <c r="D129" s="650"/>
      <c r="E129" s="650"/>
      <c r="F129" s="650"/>
      <c r="G129" s="651"/>
      <c r="H129" s="650"/>
      <c r="I129" s="650"/>
      <c r="J129" s="650"/>
      <c r="K129" s="650"/>
      <c r="L129" s="650"/>
      <c r="M129" s="650"/>
      <c r="N129" s="650"/>
      <c r="O129" s="1491" t="s">
        <v>1837</v>
      </c>
      <c r="P129" s="1492"/>
      <c r="Q129" s="1492"/>
      <c r="R129" s="1492"/>
      <c r="S129" s="1492"/>
      <c r="T129" s="1493"/>
      <c r="U129" s="650"/>
      <c r="V129" s="650"/>
      <c r="W129" s="650"/>
      <c r="X129" s="650"/>
      <c r="Y129" s="650"/>
      <c r="Z129" s="650"/>
      <c r="AA129" s="652"/>
      <c r="AB129" s="652"/>
      <c r="AC129" s="652"/>
      <c r="AD129" s="652"/>
      <c r="AE129" s="652"/>
      <c r="AF129" s="654"/>
      <c r="AG129" s="654"/>
      <c r="AH129" s="1491" t="s">
        <v>1837</v>
      </c>
      <c r="AI129" s="1494"/>
      <c r="AJ129" s="1494"/>
      <c r="AK129" s="1494"/>
      <c r="AL129" s="1494"/>
      <c r="AM129" s="1494"/>
      <c r="AN129" s="1495"/>
      <c r="AO129" s="652"/>
      <c r="AP129" s="652"/>
      <c r="AQ129" s="652"/>
      <c r="AR129" s="652"/>
      <c r="AS129" s="652"/>
      <c r="AT129" s="652"/>
      <c r="AU129" s="652"/>
      <c r="AV129" s="652"/>
      <c r="AW129" s="652"/>
      <c r="AX129" s="652"/>
      <c r="AY129" s="652"/>
      <c r="AZ129" s="652"/>
      <c r="BA129" s="652"/>
      <c r="BB129" s="652"/>
      <c r="BC129" s="1496" t="s">
        <v>1837</v>
      </c>
      <c r="BD129" s="1494"/>
      <c r="BE129" s="1494"/>
      <c r="BF129" s="1494"/>
      <c r="BG129" s="1494"/>
      <c r="BH129" s="1494"/>
      <c r="BI129" s="1494"/>
      <c r="BJ129" s="1495"/>
      <c r="BK129" s="652"/>
      <c r="BL129" s="652"/>
      <c r="BM129" s="652"/>
      <c r="BN129" s="652"/>
      <c r="BO129" s="652"/>
      <c r="BP129" s="652"/>
      <c r="BQ129" s="652"/>
      <c r="BR129" s="652"/>
      <c r="BS129" s="652"/>
      <c r="BT129" s="652"/>
      <c r="BU129" s="652"/>
      <c r="BV129" s="652"/>
      <c r="BW129" s="652"/>
      <c r="BX129" s="652"/>
      <c r="BY129" s="652"/>
      <c r="BZ129" s="652"/>
      <c r="CA129" s="652"/>
    </row>
    <row r="130" spans="1:87" ht="10.5" customHeight="1">
      <c r="A130" s="1497" t="s">
        <v>80</v>
      </c>
      <c r="B130" s="1497"/>
      <c r="C130" s="1497"/>
      <c r="D130" s="1497" t="s">
        <v>79</v>
      </c>
      <c r="E130" s="1497"/>
      <c r="F130" s="1497"/>
      <c r="G130" s="651"/>
      <c r="H130" s="650"/>
      <c r="I130" s="650"/>
      <c r="J130" s="650"/>
      <c r="K130" s="650"/>
      <c r="L130" s="650"/>
      <c r="M130" s="650"/>
      <c r="N130" s="650"/>
      <c r="O130" s="650"/>
      <c r="P130" s="650"/>
      <c r="Q130" s="650"/>
      <c r="R130" s="650"/>
      <c r="S130" s="650"/>
      <c r="T130" s="650"/>
      <c r="U130" s="650"/>
      <c r="V130" s="650"/>
      <c r="W130" s="650"/>
      <c r="X130" s="650"/>
      <c r="Y130" s="650"/>
      <c r="Z130" s="650"/>
      <c r="AA130" s="652"/>
      <c r="AB130" s="652"/>
      <c r="AC130" s="652"/>
      <c r="AD130" s="652"/>
      <c r="AE130" s="652"/>
      <c r="AF130" s="654"/>
      <c r="AG130" s="654"/>
      <c r="AH130" s="655"/>
      <c r="AI130" s="1498" t="s">
        <v>1404</v>
      </c>
      <c r="AJ130" s="1498"/>
      <c r="AK130" s="1498"/>
      <c r="AL130" s="1498"/>
      <c r="AM130" s="1498"/>
      <c r="AN130" s="1498"/>
      <c r="AO130" s="1498"/>
      <c r="AP130" s="1498"/>
      <c r="AQ130" s="1498"/>
      <c r="AR130" s="1498"/>
      <c r="AS130" s="1498"/>
      <c r="AT130" s="1498"/>
      <c r="AU130" s="1498"/>
      <c r="AV130" s="1498"/>
      <c r="AW130" s="1498"/>
      <c r="AX130" s="1498"/>
      <c r="AY130" s="1499" t="s">
        <v>1405</v>
      </c>
      <c r="AZ130" s="1500"/>
      <c r="BA130" s="1500"/>
      <c r="BB130" s="1500"/>
      <c r="BC130" s="1500"/>
      <c r="BD130" s="1500"/>
      <c r="BE130" s="1500"/>
      <c r="BF130" s="1500"/>
      <c r="BG130" s="1500"/>
      <c r="BH130" s="1500"/>
      <c r="BI130" s="1500"/>
      <c r="BJ130" s="1500"/>
      <c r="BK130" s="1500"/>
      <c r="BL130" s="1500"/>
      <c r="BM130" s="1500"/>
      <c r="BN130" s="1500"/>
      <c r="BO130" s="1500"/>
      <c r="BP130" s="1500"/>
      <c r="BQ130" s="1500"/>
      <c r="BR130" s="1500"/>
      <c r="BS130" s="1500"/>
      <c r="BT130" s="1501"/>
      <c r="BU130" s="1502" t="s">
        <v>76</v>
      </c>
      <c r="BV130" s="1503"/>
      <c r="BW130" s="1503"/>
      <c r="BX130" s="1503"/>
      <c r="BY130" s="1503"/>
      <c r="BZ130" s="1504"/>
      <c r="CA130" s="652"/>
    </row>
    <row r="131" spans="1:87" ht="10.5" customHeight="1">
      <c r="A131" s="1497"/>
      <c r="B131" s="1497"/>
      <c r="C131" s="1497"/>
      <c r="D131" s="1497"/>
      <c r="E131" s="1497"/>
      <c r="F131" s="1497"/>
      <c r="G131" s="1461"/>
      <c r="H131" s="1461"/>
      <c r="I131" s="1391">
        <v>0.25</v>
      </c>
      <c r="J131" s="1391"/>
      <c r="K131" s="1391"/>
      <c r="L131" s="1391"/>
      <c r="M131" s="1391">
        <v>0.29166666666666669</v>
      </c>
      <c r="N131" s="1391"/>
      <c r="O131" s="1391"/>
      <c r="P131" s="1391"/>
      <c r="Q131" s="1391">
        <v>0.33333333333333331</v>
      </c>
      <c r="R131" s="1391"/>
      <c r="S131" s="1391"/>
      <c r="T131" s="1391"/>
      <c r="U131" s="1391">
        <v>0.375</v>
      </c>
      <c r="V131" s="1391"/>
      <c r="W131" s="1391"/>
      <c r="X131" s="1391"/>
      <c r="Y131" s="1391">
        <v>0.41666666666666669</v>
      </c>
      <c r="Z131" s="1418"/>
      <c r="AA131" s="1391"/>
      <c r="AB131" s="1391"/>
      <c r="AC131" s="1391">
        <v>0.45833333333333331</v>
      </c>
      <c r="AD131" s="1391"/>
      <c r="AE131" s="1391"/>
      <c r="AF131" s="1391"/>
      <c r="AG131" s="1385">
        <v>0.5</v>
      </c>
      <c r="AH131" s="1385"/>
      <c r="AI131" s="1385"/>
      <c r="AJ131" s="1385"/>
      <c r="AK131" s="1385">
        <v>4.1666666666666664E-2</v>
      </c>
      <c r="AL131" s="1385"/>
      <c r="AM131" s="1385"/>
      <c r="AN131" s="1385"/>
      <c r="AO131" s="1385">
        <v>8.3333333333333329E-2</v>
      </c>
      <c r="AP131" s="1385"/>
      <c r="AQ131" s="1385"/>
      <c r="AR131" s="1385"/>
      <c r="AS131" s="1385">
        <v>0.125</v>
      </c>
      <c r="AT131" s="1385"/>
      <c r="AU131" s="1385"/>
      <c r="AV131" s="1385"/>
      <c r="AW131" s="1385">
        <v>0.16666666666666666</v>
      </c>
      <c r="AX131" s="1385"/>
      <c r="AY131" s="1385"/>
      <c r="AZ131" s="1385"/>
      <c r="BA131" s="1385">
        <v>0.20833333333333334</v>
      </c>
      <c r="BB131" s="1385"/>
      <c r="BC131" s="1385"/>
      <c r="BD131" s="1385"/>
      <c r="BE131" s="1385">
        <v>0.25</v>
      </c>
      <c r="BF131" s="1385"/>
      <c r="BG131" s="1385"/>
      <c r="BH131" s="1385"/>
      <c r="BI131" s="1385">
        <v>0.29166666666666669</v>
      </c>
      <c r="BJ131" s="1385"/>
      <c r="BK131" s="1385"/>
      <c r="BL131" s="1385"/>
      <c r="BM131" s="1385">
        <v>0.33333333333333331</v>
      </c>
      <c r="BN131" s="1385"/>
      <c r="BO131" s="1385"/>
      <c r="BP131" s="1385"/>
      <c r="BQ131" s="1385">
        <v>0.375</v>
      </c>
      <c r="BR131" s="1385"/>
      <c r="BS131" s="1385"/>
      <c r="BT131" s="1385"/>
      <c r="BU131" s="1385">
        <v>0.41666666666666669</v>
      </c>
      <c r="BV131" s="1414"/>
      <c r="BW131" s="1414"/>
      <c r="BX131" s="1414"/>
      <c r="BY131" s="1385"/>
      <c r="BZ131" s="1385"/>
      <c r="CA131" s="656"/>
      <c r="CB131" s="657"/>
      <c r="CC131" s="657"/>
      <c r="CD131" s="657"/>
      <c r="CE131" s="657"/>
      <c r="CF131" s="657"/>
      <c r="CG131" s="657"/>
      <c r="CH131" s="657"/>
      <c r="CI131" s="657"/>
    </row>
    <row r="132" spans="1:87" ht="9.9499999999999993" customHeight="1">
      <c r="A132" s="1482">
        <f>AK125</f>
        <v>6</v>
      </c>
      <c r="B132" s="1482"/>
      <c r="C132" s="1482"/>
      <c r="D132" s="1390" t="s">
        <v>78</v>
      </c>
      <c r="E132" s="1390"/>
      <c r="F132" s="1390"/>
      <c r="G132" s="1395" t="s">
        <v>3026</v>
      </c>
      <c r="H132" s="1396"/>
      <c r="I132" s="1396"/>
      <c r="J132" s="1396"/>
      <c r="K132" s="1396"/>
      <c r="L132" s="1396"/>
      <c r="M132" s="1396"/>
      <c r="N132" s="1396"/>
      <c r="O132" s="1396"/>
      <c r="P132" s="1396"/>
      <c r="Q132" s="1396"/>
      <c r="R132" s="1396"/>
      <c r="S132" s="1396"/>
      <c r="T132" s="1396"/>
      <c r="U132" s="1396"/>
      <c r="V132" s="1397"/>
      <c r="W132" s="658"/>
      <c r="X132" s="658"/>
      <c r="Y132" s="658"/>
      <c r="Z132" s="658"/>
      <c r="AA132" s="1464" t="s">
        <v>3027</v>
      </c>
      <c r="AB132" s="1464"/>
      <c r="AC132" s="1422" t="s">
        <v>3107</v>
      </c>
      <c r="AD132" s="1423"/>
      <c r="AE132" s="1423"/>
      <c r="AF132" s="1423"/>
      <c r="AG132" s="1423"/>
      <c r="AH132" s="1423"/>
      <c r="AI132" s="1423"/>
      <c r="AJ132" s="1424"/>
      <c r="AK132" s="1465" t="s">
        <v>3108</v>
      </c>
      <c r="AL132" s="1534"/>
      <c r="AM132" s="1534"/>
      <c r="AN132" s="1534"/>
      <c r="AO132" s="1451" t="s">
        <v>3106</v>
      </c>
      <c r="AP132" s="1451"/>
      <c r="AQ132" s="1451"/>
      <c r="AR132" s="1451"/>
      <c r="AS132" s="1451"/>
      <c r="AT132" s="1451"/>
      <c r="AU132" s="1451" t="s">
        <v>3104</v>
      </c>
      <c r="AV132" s="1451"/>
      <c r="AW132" s="1451"/>
      <c r="AX132" s="1451"/>
      <c r="AY132" s="1451"/>
      <c r="AZ132" s="1451"/>
      <c r="BA132" s="1451"/>
      <c r="BB132" s="1451"/>
      <c r="BC132" s="1451"/>
      <c r="BD132" s="1451"/>
      <c r="BE132" s="1451"/>
      <c r="BF132" s="1451"/>
      <c r="BG132" s="1451"/>
      <c r="BH132" s="1451"/>
      <c r="BI132" s="1465" t="s">
        <v>3105</v>
      </c>
      <c r="BJ132" s="1465"/>
      <c r="BK132" s="1464" t="s">
        <v>3016</v>
      </c>
      <c r="BL132" s="1464"/>
      <c r="BM132" s="1464"/>
      <c r="BN132" s="1464"/>
      <c r="BO132" s="1464" t="s">
        <v>3014</v>
      </c>
      <c r="BP132" s="1464"/>
      <c r="BQ132" s="1464"/>
      <c r="BR132" s="1464"/>
      <c r="BS132" s="1466" t="s">
        <v>3035</v>
      </c>
      <c r="BT132" s="1466"/>
      <c r="BU132" s="1464" t="s">
        <v>3028</v>
      </c>
      <c r="BV132" s="1464"/>
      <c r="BW132" s="1464"/>
      <c r="BX132" s="1464"/>
      <c r="BY132" s="1464"/>
      <c r="BZ132" s="1464"/>
      <c r="CA132" s="668"/>
      <c r="CB132" s="657"/>
      <c r="CC132" s="657"/>
      <c r="CD132" s="657"/>
      <c r="CE132" s="657"/>
      <c r="CF132" s="657"/>
      <c r="CG132" s="657"/>
      <c r="CH132" s="657"/>
      <c r="CI132" s="657"/>
    </row>
    <row r="133" spans="1:87" ht="9.9499999999999993" customHeight="1">
      <c r="A133" s="1482"/>
      <c r="B133" s="1482"/>
      <c r="C133" s="1482"/>
      <c r="D133" s="1390"/>
      <c r="E133" s="1390"/>
      <c r="F133" s="1390"/>
      <c r="G133" s="1398"/>
      <c r="H133" s="1399"/>
      <c r="I133" s="1399"/>
      <c r="J133" s="1399"/>
      <c r="K133" s="1399"/>
      <c r="L133" s="1399"/>
      <c r="M133" s="1399"/>
      <c r="N133" s="1399"/>
      <c r="O133" s="1399"/>
      <c r="P133" s="1399"/>
      <c r="Q133" s="1399"/>
      <c r="R133" s="1399"/>
      <c r="S133" s="1399"/>
      <c r="T133" s="1399"/>
      <c r="U133" s="1399"/>
      <c r="V133" s="1400"/>
      <c r="W133" s="669"/>
      <c r="X133" s="669"/>
      <c r="Y133" s="669"/>
      <c r="Z133" s="669"/>
      <c r="AA133" s="1464"/>
      <c r="AB133" s="1464"/>
      <c r="AC133" s="1425"/>
      <c r="AD133" s="1426"/>
      <c r="AE133" s="1426"/>
      <c r="AF133" s="1426"/>
      <c r="AG133" s="1426"/>
      <c r="AH133" s="1426"/>
      <c r="AI133" s="1426"/>
      <c r="AJ133" s="1427"/>
      <c r="AK133" s="1534"/>
      <c r="AL133" s="1534"/>
      <c r="AM133" s="1534"/>
      <c r="AN133" s="1534"/>
      <c r="AO133" s="1451"/>
      <c r="AP133" s="1451"/>
      <c r="AQ133" s="1451"/>
      <c r="AR133" s="1451"/>
      <c r="AS133" s="1451"/>
      <c r="AT133" s="1451"/>
      <c r="AU133" s="1451"/>
      <c r="AV133" s="1451"/>
      <c r="AW133" s="1451"/>
      <c r="AX133" s="1451"/>
      <c r="AY133" s="1451"/>
      <c r="AZ133" s="1451"/>
      <c r="BA133" s="1451"/>
      <c r="BB133" s="1451"/>
      <c r="BC133" s="1451"/>
      <c r="BD133" s="1451"/>
      <c r="BE133" s="1451"/>
      <c r="BF133" s="1451"/>
      <c r="BG133" s="1451"/>
      <c r="BH133" s="1451"/>
      <c r="BI133" s="1465"/>
      <c r="BJ133" s="1465"/>
      <c r="BK133" s="1464"/>
      <c r="BL133" s="1464"/>
      <c r="BM133" s="1464"/>
      <c r="BN133" s="1464"/>
      <c r="BO133" s="1464"/>
      <c r="BP133" s="1464"/>
      <c r="BQ133" s="1464"/>
      <c r="BR133" s="1464"/>
      <c r="BS133" s="1466"/>
      <c r="BT133" s="1466"/>
      <c r="BU133" s="1464"/>
      <c r="BV133" s="1464"/>
      <c r="BW133" s="1464"/>
      <c r="BX133" s="1464"/>
      <c r="BY133" s="1464"/>
      <c r="BZ133" s="1464"/>
      <c r="CA133" s="668"/>
      <c r="CB133" s="657"/>
      <c r="CC133" s="657"/>
      <c r="CD133" s="657"/>
      <c r="CE133" s="657"/>
      <c r="CF133" s="657"/>
      <c r="CG133" s="657"/>
      <c r="CH133" s="657"/>
      <c r="CI133" s="657"/>
    </row>
    <row r="134" spans="1:87" ht="9.9499999999999993" customHeight="1">
      <c r="A134" s="1483"/>
      <c r="B134" s="1483"/>
      <c r="C134" s="1483"/>
      <c r="D134" s="1390"/>
      <c r="E134" s="1390"/>
      <c r="F134" s="1390"/>
      <c r="G134" s="1398"/>
      <c r="H134" s="1399"/>
      <c r="I134" s="1399"/>
      <c r="J134" s="1399"/>
      <c r="K134" s="1399"/>
      <c r="L134" s="1399"/>
      <c r="M134" s="1399"/>
      <c r="N134" s="1399"/>
      <c r="O134" s="1399"/>
      <c r="P134" s="1399"/>
      <c r="Q134" s="1399"/>
      <c r="R134" s="1399"/>
      <c r="S134" s="1399"/>
      <c r="T134" s="1399"/>
      <c r="U134" s="1399"/>
      <c r="V134" s="1400"/>
      <c r="W134" s="669"/>
      <c r="X134" s="669"/>
      <c r="Y134" s="669"/>
      <c r="Z134" s="669"/>
      <c r="AA134" s="1464"/>
      <c r="AB134" s="1464"/>
      <c r="AC134" s="1425"/>
      <c r="AD134" s="1426"/>
      <c r="AE134" s="1426"/>
      <c r="AF134" s="1426"/>
      <c r="AG134" s="1426"/>
      <c r="AH134" s="1426"/>
      <c r="AI134" s="1426"/>
      <c r="AJ134" s="1427"/>
      <c r="AK134" s="1534"/>
      <c r="AL134" s="1534"/>
      <c r="AM134" s="1534"/>
      <c r="AN134" s="1534"/>
      <c r="AO134" s="1451"/>
      <c r="AP134" s="1451"/>
      <c r="AQ134" s="1451"/>
      <c r="AR134" s="1451"/>
      <c r="AS134" s="1451"/>
      <c r="AT134" s="1451"/>
      <c r="AU134" s="1451"/>
      <c r="AV134" s="1451"/>
      <c r="AW134" s="1451"/>
      <c r="AX134" s="1451"/>
      <c r="AY134" s="1451"/>
      <c r="AZ134" s="1451"/>
      <c r="BA134" s="1451"/>
      <c r="BB134" s="1451"/>
      <c r="BC134" s="1451"/>
      <c r="BD134" s="1451"/>
      <c r="BE134" s="1451"/>
      <c r="BF134" s="1451"/>
      <c r="BG134" s="1451"/>
      <c r="BH134" s="1451"/>
      <c r="BI134" s="1465"/>
      <c r="BJ134" s="1465"/>
      <c r="BK134" s="1464"/>
      <c r="BL134" s="1464"/>
      <c r="BM134" s="1464"/>
      <c r="BN134" s="1464"/>
      <c r="BO134" s="1464"/>
      <c r="BP134" s="1464"/>
      <c r="BQ134" s="1464"/>
      <c r="BR134" s="1464"/>
      <c r="BS134" s="1466"/>
      <c r="BT134" s="1466"/>
      <c r="BU134" s="1464"/>
      <c r="BV134" s="1464"/>
      <c r="BW134" s="1464"/>
      <c r="BX134" s="1464"/>
      <c r="BY134" s="1464"/>
      <c r="BZ134" s="1464"/>
      <c r="CA134" s="672"/>
      <c r="CB134" s="657"/>
      <c r="CC134" s="657"/>
      <c r="CD134" s="657"/>
      <c r="CE134" s="657"/>
      <c r="CF134" s="657"/>
      <c r="CG134" s="657"/>
      <c r="CH134" s="657"/>
      <c r="CI134" s="657"/>
    </row>
    <row r="135" spans="1:87" ht="9.9499999999999993" customHeight="1">
      <c r="A135" s="1389" t="s">
        <v>15</v>
      </c>
      <c r="B135" s="1389"/>
      <c r="C135" s="1389"/>
      <c r="D135" s="1390"/>
      <c r="E135" s="1390"/>
      <c r="F135" s="1390"/>
      <c r="G135" s="1398"/>
      <c r="H135" s="1399"/>
      <c r="I135" s="1399"/>
      <c r="J135" s="1399"/>
      <c r="K135" s="1399"/>
      <c r="L135" s="1399"/>
      <c r="M135" s="1399"/>
      <c r="N135" s="1399"/>
      <c r="O135" s="1399"/>
      <c r="P135" s="1399"/>
      <c r="Q135" s="1399"/>
      <c r="R135" s="1399"/>
      <c r="S135" s="1399"/>
      <c r="T135" s="1399"/>
      <c r="U135" s="1399"/>
      <c r="V135" s="1400"/>
      <c r="W135" s="669"/>
      <c r="X135" s="669"/>
      <c r="Y135" s="669"/>
      <c r="Z135" s="669"/>
      <c r="AA135" s="1464"/>
      <c r="AB135" s="1464"/>
      <c r="AC135" s="1425"/>
      <c r="AD135" s="1426"/>
      <c r="AE135" s="1426"/>
      <c r="AF135" s="1426"/>
      <c r="AG135" s="1426"/>
      <c r="AH135" s="1426"/>
      <c r="AI135" s="1426"/>
      <c r="AJ135" s="1427"/>
      <c r="AK135" s="1534"/>
      <c r="AL135" s="1534"/>
      <c r="AM135" s="1534"/>
      <c r="AN135" s="1534"/>
      <c r="AO135" s="1451"/>
      <c r="AP135" s="1451"/>
      <c r="AQ135" s="1451"/>
      <c r="AR135" s="1451"/>
      <c r="AS135" s="1451"/>
      <c r="AT135" s="1451"/>
      <c r="AU135" s="1451"/>
      <c r="AV135" s="1451"/>
      <c r="AW135" s="1451"/>
      <c r="AX135" s="1451"/>
      <c r="AY135" s="1451"/>
      <c r="AZ135" s="1451"/>
      <c r="BA135" s="1451"/>
      <c r="BB135" s="1451"/>
      <c r="BC135" s="1451"/>
      <c r="BD135" s="1451"/>
      <c r="BE135" s="1451"/>
      <c r="BF135" s="1451"/>
      <c r="BG135" s="1451"/>
      <c r="BH135" s="1451"/>
      <c r="BI135" s="1465"/>
      <c r="BJ135" s="1465"/>
      <c r="BK135" s="1464"/>
      <c r="BL135" s="1464"/>
      <c r="BM135" s="1464"/>
      <c r="BN135" s="1464"/>
      <c r="BO135" s="1464"/>
      <c r="BP135" s="1464"/>
      <c r="BQ135" s="1464"/>
      <c r="BR135" s="1464"/>
      <c r="BS135" s="1466"/>
      <c r="BT135" s="1466"/>
      <c r="BU135" s="1464"/>
      <c r="BV135" s="1464"/>
      <c r="BW135" s="1464"/>
      <c r="BX135" s="1464"/>
      <c r="BY135" s="1464"/>
      <c r="BZ135" s="1464"/>
      <c r="CA135" s="672"/>
      <c r="CB135" s="657"/>
      <c r="CC135" s="657"/>
      <c r="CD135" s="657"/>
      <c r="CE135" s="657"/>
      <c r="CF135" s="657"/>
      <c r="CG135" s="657"/>
      <c r="CH135" s="657"/>
      <c r="CI135" s="657"/>
    </row>
    <row r="136" spans="1:87" ht="9.9499999999999993" customHeight="1">
      <c r="A136" s="1390"/>
      <c r="B136" s="1390"/>
      <c r="C136" s="1390"/>
      <c r="D136" s="1390"/>
      <c r="E136" s="1390"/>
      <c r="F136" s="1390"/>
      <c r="G136" s="1398"/>
      <c r="H136" s="1399"/>
      <c r="I136" s="1399"/>
      <c r="J136" s="1399"/>
      <c r="K136" s="1399"/>
      <c r="L136" s="1399"/>
      <c r="M136" s="1399"/>
      <c r="N136" s="1399"/>
      <c r="O136" s="1399"/>
      <c r="P136" s="1399"/>
      <c r="Q136" s="1399"/>
      <c r="R136" s="1399"/>
      <c r="S136" s="1399"/>
      <c r="T136" s="1399"/>
      <c r="U136" s="1399"/>
      <c r="V136" s="1400"/>
      <c r="W136" s="669"/>
      <c r="X136" s="669"/>
      <c r="Y136" s="669"/>
      <c r="Z136" s="669"/>
      <c r="AA136" s="1464"/>
      <c r="AB136" s="1464"/>
      <c r="AC136" s="1425"/>
      <c r="AD136" s="1426"/>
      <c r="AE136" s="1426"/>
      <c r="AF136" s="1426"/>
      <c r="AG136" s="1426"/>
      <c r="AH136" s="1426"/>
      <c r="AI136" s="1426"/>
      <c r="AJ136" s="1427"/>
      <c r="AK136" s="1534"/>
      <c r="AL136" s="1534"/>
      <c r="AM136" s="1534"/>
      <c r="AN136" s="1534"/>
      <c r="AO136" s="1451"/>
      <c r="AP136" s="1451"/>
      <c r="AQ136" s="1451"/>
      <c r="AR136" s="1451"/>
      <c r="AS136" s="1451"/>
      <c r="AT136" s="1451"/>
      <c r="AU136" s="1451"/>
      <c r="AV136" s="1451"/>
      <c r="AW136" s="1451"/>
      <c r="AX136" s="1451"/>
      <c r="AY136" s="1451"/>
      <c r="AZ136" s="1451"/>
      <c r="BA136" s="1451"/>
      <c r="BB136" s="1451"/>
      <c r="BC136" s="1451"/>
      <c r="BD136" s="1451"/>
      <c r="BE136" s="1451"/>
      <c r="BF136" s="1451"/>
      <c r="BG136" s="1451"/>
      <c r="BH136" s="1451"/>
      <c r="BI136" s="1465"/>
      <c r="BJ136" s="1465"/>
      <c r="BK136" s="1464"/>
      <c r="BL136" s="1464"/>
      <c r="BM136" s="1464"/>
      <c r="BN136" s="1464"/>
      <c r="BO136" s="1464"/>
      <c r="BP136" s="1464"/>
      <c r="BQ136" s="1464"/>
      <c r="BR136" s="1464"/>
      <c r="BS136" s="1466"/>
      <c r="BT136" s="1466"/>
      <c r="BU136" s="1464"/>
      <c r="BV136" s="1464"/>
      <c r="BW136" s="1464"/>
      <c r="BX136" s="1464"/>
      <c r="BY136" s="1464"/>
      <c r="BZ136" s="1464"/>
      <c r="CA136" s="668"/>
      <c r="CB136" s="657"/>
      <c r="CC136" s="657"/>
      <c r="CD136" s="657"/>
      <c r="CE136" s="657"/>
      <c r="CF136" s="657"/>
      <c r="CG136" s="657"/>
      <c r="CH136" s="657"/>
      <c r="CI136" s="657"/>
    </row>
    <row r="137" spans="1:87" ht="9.9499999999999993" customHeight="1">
      <c r="A137" s="1484"/>
      <c r="B137" s="1484"/>
      <c r="C137" s="1484"/>
      <c r="D137" s="1390"/>
      <c r="E137" s="1390"/>
      <c r="F137" s="1390"/>
      <c r="G137" s="1398"/>
      <c r="H137" s="1399"/>
      <c r="I137" s="1399"/>
      <c r="J137" s="1399"/>
      <c r="K137" s="1399"/>
      <c r="L137" s="1399"/>
      <c r="M137" s="1399"/>
      <c r="N137" s="1399"/>
      <c r="O137" s="1399"/>
      <c r="P137" s="1399"/>
      <c r="Q137" s="1399"/>
      <c r="R137" s="1399"/>
      <c r="S137" s="1399"/>
      <c r="T137" s="1399"/>
      <c r="U137" s="1399"/>
      <c r="V137" s="1400"/>
      <c r="W137" s="669"/>
      <c r="X137" s="669"/>
      <c r="Y137" s="669"/>
      <c r="Z137" s="669"/>
      <c r="AA137" s="1464"/>
      <c r="AB137" s="1464"/>
      <c r="AC137" s="1425"/>
      <c r="AD137" s="1426"/>
      <c r="AE137" s="1426"/>
      <c r="AF137" s="1426"/>
      <c r="AG137" s="1426"/>
      <c r="AH137" s="1426"/>
      <c r="AI137" s="1426"/>
      <c r="AJ137" s="1427"/>
      <c r="AK137" s="1534"/>
      <c r="AL137" s="1534"/>
      <c r="AM137" s="1534"/>
      <c r="AN137" s="1534"/>
      <c r="AO137" s="1451"/>
      <c r="AP137" s="1451"/>
      <c r="AQ137" s="1451"/>
      <c r="AR137" s="1451"/>
      <c r="AS137" s="1451"/>
      <c r="AT137" s="1451"/>
      <c r="AU137" s="1451"/>
      <c r="AV137" s="1451"/>
      <c r="AW137" s="1451"/>
      <c r="AX137" s="1451"/>
      <c r="AY137" s="1451"/>
      <c r="AZ137" s="1451"/>
      <c r="BA137" s="1451"/>
      <c r="BB137" s="1451"/>
      <c r="BC137" s="1451"/>
      <c r="BD137" s="1451"/>
      <c r="BE137" s="1451"/>
      <c r="BF137" s="1451"/>
      <c r="BG137" s="1451"/>
      <c r="BH137" s="1451"/>
      <c r="BI137" s="1465"/>
      <c r="BJ137" s="1465"/>
      <c r="BK137" s="1464"/>
      <c r="BL137" s="1464"/>
      <c r="BM137" s="1464"/>
      <c r="BN137" s="1464"/>
      <c r="BO137" s="1464"/>
      <c r="BP137" s="1464"/>
      <c r="BQ137" s="1464"/>
      <c r="BR137" s="1464"/>
      <c r="BS137" s="1466"/>
      <c r="BT137" s="1466"/>
      <c r="BU137" s="1464"/>
      <c r="BV137" s="1464"/>
      <c r="BW137" s="1464"/>
      <c r="BX137" s="1464"/>
      <c r="BY137" s="1464"/>
      <c r="BZ137" s="1464"/>
      <c r="CA137" s="668"/>
      <c r="CB137" s="657"/>
      <c r="CC137" s="657"/>
      <c r="CD137" s="657"/>
      <c r="CE137" s="657"/>
      <c r="CF137" s="657"/>
      <c r="CG137" s="657"/>
      <c r="CH137" s="657"/>
      <c r="CI137" s="657"/>
    </row>
    <row r="138" spans="1:87" ht="9.9499999999999993" customHeight="1">
      <c r="A138" s="1485">
        <f>AO125</f>
        <v>2</v>
      </c>
      <c r="B138" s="1485"/>
      <c r="C138" s="1485"/>
      <c r="D138" s="1390"/>
      <c r="E138" s="1390"/>
      <c r="F138" s="1390"/>
      <c r="G138" s="1398"/>
      <c r="H138" s="1399"/>
      <c r="I138" s="1399"/>
      <c r="J138" s="1399"/>
      <c r="K138" s="1399"/>
      <c r="L138" s="1399"/>
      <c r="M138" s="1399"/>
      <c r="N138" s="1399"/>
      <c r="O138" s="1399"/>
      <c r="P138" s="1399"/>
      <c r="Q138" s="1399"/>
      <c r="R138" s="1399"/>
      <c r="S138" s="1399"/>
      <c r="T138" s="1399"/>
      <c r="U138" s="1399"/>
      <c r="V138" s="1400"/>
      <c r="W138" s="669"/>
      <c r="X138" s="669"/>
      <c r="Y138" s="669"/>
      <c r="Z138" s="669"/>
      <c r="AA138" s="1464"/>
      <c r="AB138" s="1464"/>
      <c r="AC138" s="1425"/>
      <c r="AD138" s="1426"/>
      <c r="AE138" s="1426"/>
      <c r="AF138" s="1426"/>
      <c r="AG138" s="1426"/>
      <c r="AH138" s="1426"/>
      <c r="AI138" s="1426"/>
      <c r="AJ138" s="1427"/>
      <c r="AK138" s="1534"/>
      <c r="AL138" s="1534"/>
      <c r="AM138" s="1534"/>
      <c r="AN138" s="1534"/>
      <c r="AO138" s="1451"/>
      <c r="AP138" s="1451"/>
      <c r="AQ138" s="1451"/>
      <c r="AR138" s="1451"/>
      <c r="AS138" s="1451"/>
      <c r="AT138" s="1451"/>
      <c r="AU138" s="1451"/>
      <c r="AV138" s="1451"/>
      <c r="AW138" s="1451"/>
      <c r="AX138" s="1451"/>
      <c r="AY138" s="1451"/>
      <c r="AZ138" s="1451"/>
      <c r="BA138" s="1451"/>
      <c r="BB138" s="1451"/>
      <c r="BC138" s="1451"/>
      <c r="BD138" s="1451"/>
      <c r="BE138" s="1451"/>
      <c r="BF138" s="1451"/>
      <c r="BG138" s="1451"/>
      <c r="BH138" s="1451"/>
      <c r="BI138" s="1465"/>
      <c r="BJ138" s="1465"/>
      <c r="BK138" s="1464"/>
      <c r="BL138" s="1464"/>
      <c r="BM138" s="1464"/>
      <c r="BN138" s="1464"/>
      <c r="BO138" s="1464"/>
      <c r="BP138" s="1464"/>
      <c r="BQ138" s="1464"/>
      <c r="BR138" s="1464"/>
      <c r="BS138" s="1466"/>
      <c r="BT138" s="1466"/>
      <c r="BU138" s="1464"/>
      <c r="BV138" s="1464"/>
      <c r="BW138" s="1464"/>
      <c r="BX138" s="1464"/>
      <c r="BY138" s="1464"/>
      <c r="BZ138" s="1464"/>
      <c r="CA138" s="668"/>
      <c r="CB138" s="657"/>
      <c r="CC138" s="657"/>
      <c r="CD138" s="657"/>
      <c r="CE138" s="657"/>
      <c r="CF138" s="657"/>
      <c r="CG138" s="657"/>
      <c r="CH138" s="657"/>
      <c r="CI138" s="657"/>
    </row>
    <row r="139" spans="1:87" ht="9.9499999999999993" customHeight="1">
      <c r="A139" s="1482"/>
      <c r="B139" s="1482"/>
      <c r="C139" s="1482"/>
      <c r="D139" s="1390"/>
      <c r="E139" s="1390"/>
      <c r="F139" s="1390"/>
      <c r="G139" s="1398"/>
      <c r="H139" s="1399"/>
      <c r="I139" s="1399"/>
      <c r="J139" s="1399"/>
      <c r="K139" s="1399"/>
      <c r="L139" s="1399"/>
      <c r="M139" s="1399"/>
      <c r="N139" s="1399"/>
      <c r="O139" s="1399"/>
      <c r="P139" s="1399"/>
      <c r="Q139" s="1399"/>
      <c r="R139" s="1399"/>
      <c r="S139" s="1399"/>
      <c r="T139" s="1399"/>
      <c r="U139" s="1399"/>
      <c r="V139" s="1400"/>
      <c r="W139" s="673"/>
      <c r="X139" s="673"/>
      <c r="Y139" s="673"/>
      <c r="Z139" s="673"/>
      <c r="AA139" s="1464"/>
      <c r="AB139" s="1464"/>
      <c r="AC139" s="1425"/>
      <c r="AD139" s="1426"/>
      <c r="AE139" s="1426"/>
      <c r="AF139" s="1426"/>
      <c r="AG139" s="1426"/>
      <c r="AH139" s="1426"/>
      <c r="AI139" s="1426"/>
      <c r="AJ139" s="1427"/>
      <c r="AK139" s="1534"/>
      <c r="AL139" s="1534"/>
      <c r="AM139" s="1534"/>
      <c r="AN139" s="1534"/>
      <c r="AO139" s="1451"/>
      <c r="AP139" s="1451"/>
      <c r="AQ139" s="1451"/>
      <c r="AR139" s="1451"/>
      <c r="AS139" s="1451"/>
      <c r="AT139" s="1451"/>
      <c r="AU139" s="1451"/>
      <c r="AV139" s="1451"/>
      <c r="AW139" s="1451"/>
      <c r="AX139" s="1451"/>
      <c r="AY139" s="1451"/>
      <c r="AZ139" s="1451"/>
      <c r="BA139" s="1451"/>
      <c r="BB139" s="1451"/>
      <c r="BC139" s="1451"/>
      <c r="BD139" s="1451"/>
      <c r="BE139" s="1451"/>
      <c r="BF139" s="1451"/>
      <c r="BG139" s="1451"/>
      <c r="BH139" s="1451"/>
      <c r="BI139" s="1465"/>
      <c r="BJ139" s="1465"/>
      <c r="BK139" s="1464"/>
      <c r="BL139" s="1464"/>
      <c r="BM139" s="1464"/>
      <c r="BN139" s="1464"/>
      <c r="BO139" s="1464"/>
      <c r="BP139" s="1464"/>
      <c r="BQ139" s="1464"/>
      <c r="BR139" s="1464"/>
      <c r="BS139" s="1466"/>
      <c r="BT139" s="1466"/>
      <c r="BU139" s="1464"/>
      <c r="BV139" s="1464"/>
      <c r="BW139" s="1464"/>
      <c r="BX139" s="1464"/>
      <c r="BY139" s="1464"/>
      <c r="BZ139" s="1464"/>
      <c r="CA139" s="679"/>
      <c r="CB139" s="657"/>
      <c r="CC139" s="657"/>
      <c r="CD139" s="657"/>
      <c r="CE139" s="657"/>
      <c r="CF139" s="657"/>
      <c r="CG139" s="657"/>
      <c r="CH139" s="657"/>
      <c r="CI139" s="657"/>
    </row>
    <row r="140" spans="1:87" ht="9.9499999999999993" customHeight="1">
      <c r="A140" s="1483"/>
      <c r="B140" s="1483"/>
      <c r="C140" s="1483"/>
      <c r="D140" s="1390" t="s">
        <v>77</v>
      </c>
      <c r="E140" s="1390"/>
      <c r="F140" s="1390"/>
      <c r="G140" s="1398"/>
      <c r="H140" s="1399"/>
      <c r="I140" s="1399"/>
      <c r="J140" s="1399"/>
      <c r="K140" s="1399"/>
      <c r="L140" s="1399"/>
      <c r="M140" s="1399"/>
      <c r="N140" s="1399"/>
      <c r="O140" s="1399"/>
      <c r="P140" s="1399"/>
      <c r="Q140" s="1399"/>
      <c r="R140" s="1399"/>
      <c r="S140" s="1399"/>
      <c r="T140" s="1399"/>
      <c r="U140" s="1399"/>
      <c r="V140" s="1400"/>
      <c r="W140" s="669"/>
      <c r="X140" s="669"/>
      <c r="Y140" s="669"/>
      <c r="Z140" s="669"/>
      <c r="AA140" s="1464"/>
      <c r="AB140" s="1464"/>
      <c r="AC140" s="1425"/>
      <c r="AD140" s="1426"/>
      <c r="AE140" s="1426"/>
      <c r="AF140" s="1426"/>
      <c r="AG140" s="1426"/>
      <c r="AH140" s="1426"/>
      <c r="AI140" s="1426"/>
      <c r="AJ140" s="1427"/>
      <c r="AK140" s="1534"/>
      <c r="AL140" s="1534"/>
      <c r="AM140" s="1534"/>
      <c r="AN140" s="1534"/>
      <c r="AO140" s="1451"/>
      <c r="AP140" s="1451"/>
      <c r="AQ140" s="1451"/>
      <c r="AR140" s="1451"/>
      <c r="AS140" s="1451"/>
      <c r="AT140" s="1451"/>
      <c r="AU140" s="1451"/>
      <c r="AV140" s="1451"/>
      <c r="AW140" s="1451"/>
      <c r="AX140" s="1451"/>
      <c r="AY140" s="1451"/>
      <c r="AZ140" s="1451"/>
      <c r="BA140" s="1451"/>
      <c r="BB140" s="1451"/>
      <c r="BC140" s="1451"/>
      <c r="BD140" s="1451"/>
      <c r="BE140" s="1451"/>
      <c r="BF140" s="1451"/>
      <c r="BG140" s="1451"/>
      <c r="BH140" s="1451"/>
      <c r="BI140" s="1465"/>
      <c r="BJ140" s="1465"/>
      <c r="BK140" s="1464"/>
      <c r="BL140" s="1464"/>
      <c r="BM140" s="1464"/>
      <c r="BN140" s="1464"/>
      <c r="BO140" s="1464"/>
      <c r="BP140" s="1464"/>
      <c r="BQ140" s="1464"/>
      <c r="BR140" s="1464"/>
      <c r="BS140" s="1466"/>
      <c r="BT140" s="1466"/>
      <c r="BU140" s="1464"/>
      <c r="BV140" s="1464"/>
      <c r="BW140" s="1464"/>
      <c r="BX140" s="1464"/>
      <c r="BY140" s="1464"/>
      <c r="BZ140" s="1464"/>
      <c r="CA140" s="668"/>
      <c r="CB140" s="657"/>
      <c r="CC140" s="657"/>
      <c r="CD140" s="657"/>
      <c r="CE140" s="657"/>
      <c r="CF140" s="657"/>
      <c r="CG140" s="657"/>
      <c r="CH140" s="657"/>
      <c r="CI140" s="657"/>
    </row>
    <row r="141" spans="1:87" ht="9.9499999999999993" customHeight="1">
      <c r="A141" s="1468" t="s">
        <v>14</v>
      </c>
      <c r="B141" s="1468"/>
      <c r="C141" s="1468"/>
      <c r="D141" s="1390"/>
      <c r="E141" s="1390"/>
      <c r="F141" s="1390"/>
      <c r="G141" s="1398"/>
      <c r="H141" s="1399"/>
      <c r="I141" s="1399"/>
      <c r="J141" s="1399"/>
      <c r="K141" s="1399"/>
      <c r="L141" s="1399"/>
      <c r="M141" s="1399"/>
      <c r="N141" s="1399"/>
      <c r="O141" s="1399"/>
      <c r="P141" s="1399"/>
      <c r="Q141" s="1399"/>
      <c r="R141" s="1399"/>
      <c r="S141" s="1399"/>
      <c r="T141" s="1399"/>
      <c r="U141" s="1399"/>
      <c r="V141" s="1400"/>
      <c r="W141" s="669"/>
      <c r="X141" s="669"/>
      <c r="Y141" s="669"/>
      <c r="Z141" s="669"/>
      <c r="AA141" s="1464"/>
      <c r="AB141" s="1464"/>
      <c r="AC141" s="1425"/>
      <c r="AD141" s="1426"/>
      <c r="AE141" s="1426"/>
      <c r="AF141" s="1426"/>
      <c r="AG141" s="1426"/>
      <c r="AH141" s="1426"/>
      <c r="AI141" s="1426"/>
      <c r="AJ141" s="1427"/>
      <c r="AK141" s="1534"/>
      <c r="AL141" s="1534"/>
      <c r="AM141" s="1534"/>
      <c r="AN141" s="1534"/>
      <c r="AO141" s="1451"/>
      <c r="AP141" s="1451"/>
      <c r="AQ141" s="1451"/>
      <c r="AR141" s="1451"/>
      <c r="AS141" s="1451"/>
      <c r="AT141" s="1451"/>
      <c r="AU141" s="1451"/>
      <c r="AV141" s="1451"/>
      <c r="AW141" s="1451"/>
      <c r="AX141" s="1451"/>
      <c r="AY141" s="1451"/>
      <c r="AZ141" s="1451"/>
      <c r="BA141" s="1451"/>
      <c r="BB141" s="1451"/>
      <c r="BC141" s="1451"/>
      <c r="BD141" s="1451"/>
      <c r="BE141" s="1451"/>
      <c r="BF141" s="1451"/>
      <c r="BG141" s="1451"/>
      <c r="BH141" s="1451"/>
      <c r="BI141" s="1465"/>
      <c r="BJ141" s="1465"/>
      <c r="BK141" s="1464"/>
      <c r="BL141" s="1464"/>
      <c r="BM141" s="1464"/>
      <c r="BN141" s="1464"/>
      <c r="BO141" s="1464"/>
      <c r="BP141" s="1464"/>
      <c r="BQ141" s="1464"/>
      <c r="BR141" s="1464"/>
      <c r="BS141" s="1466"/>
      <c r="BT141" s="1466"/>
      <c r="BU141" s="1464"/>
      <c r="BV141" s="1464"/>
      <c r="BW141" s="1464"/>
      <c r="BX141" s="1464"/>
      <c r="BY141" s="1464"/>
      <c r="BZ141" s="1464"/>
      <c r="CA141" s="668"/>
      <c r="CB141" s="657"/>
      <c r="CC141" s="657"/>
      <c r="CD141" s="657"/>
      <c r="CE141" s="657"/>
      <c r="CF141" s="657"/>
      <c r="CG141" s="657"/>
      <c r="CH141" s="657"/>
      <c r="CI141" s="657"/>
    </row>
    <row r="142" spans="1:87" ht="9.9499999999999993" customHeight="1">
      <c r="A142" s="1415"/>
      <c r="B142" s="1415"/>
      <c r="C142" s="1415"/>
      <c r="D142" s="1390"/>
      <c r="E142" s="1390"/>
      <c r="F142" s="1390"/>
      <c r="G142" s="1398"/>
      <c r="H142" s="1399"/>
      <c r="I142" s="1399"/>
      <c r="J142" s="1399"/>
      <c r="K142" s="1399"/>
      <c r="L142" s="1399"/>
      <c r="M142" s="1399"/>
      <c r="N142" s="1399"/>
      <c r="O142" s="1399"/>
      <c r="P142" s="1399"/>
      <c r="Q142" s="1399"/>
      <c r="R142" s="1399"/>
      <c r="S142" s="1399"/>
      <c r="T142" s="1399"/>
      <c r="U142" s="1399"/>
      <c r="V142" s="1400"/>
      <c r="W142" s="669"/>
      <c r="X142" s="669"/>
      <c r="Y142" s="669"/>
      <c r="Z142" s="669"/>
      <c r="AA142" s="1464"/>
      <c r="AB142" s="1464"/>
      <c r="AC142" s="1425"/>
      <c r="AD142" s="1426"/>
      <c r="AE142" s="1426"/>
      <c r="AF142" s="1426"/>
      <c r="AG142" s="1426"/>
      <c r="AH142" s="1426"/>
      <c r="AI142" s="1426"/>
      <c r="AJ142" s="1427"/>
      <c r="AK142" s="1534"/>
      <c r="AL142" s="1534"/>
      <c r="AM142" s="1534"/>
      <c r="AN142" s="1534"/>
      <c r="AO142" s="1451"/>
      <c r="AP142" s="1451"/>
      <c r="AQ142" s="1451"/>
      <c r="AR142" s="1451"/>
      <c r="AS142" s="1451"/>
      <c r="AT142" s="1451"/>
      <c r="AU142" s="1451"/>
      <c r="AV142" s="1451"/>
      <c r="AW142" s="1451"/>
      <c r="AX142" s="1451"/>
      <c r="AY142" s="1451"/>
      <c r="AZ142" s="1451"/>
      <c r="BA142" s="1451"/>
      <c r="BB142" s="1451"/>
      <c r="BC142" s="1451"/>
      <c r="BD142" s="1451"/>
      <c r="BE142" s="1451"/>
      <c r="BF142" s="1451"/>
      <c r="BG142" s="1451"/>
      <c r="BH142" s="1451"/>
      <c r="BI142" s="1465"/>
      <c r="BJ142" s="1465"/>
      <c r="BK142" s="1464"/>
      <c r="BL142" s="1464"/>
      <c r="BM142" s="1464"/>
      <c r="BN142" s="1464"/>
      <c r="BO142" s="1464"/>
      <c r="BP142" s="1464"/>
      <c r="BQ142" s="1464"/>
      <c r="BR142" s="1464"/>
      <c r="BS142" s="1466"/>
      <c r="BT142" s="1466"/>
      <c r="BU142" s="1464"/>
      <c r="BV142" s="1464"/>
      <c r="BW142" s="1464"/>
      <c r="BX142" s="1464"/>
      <c r="BY142" s="1464"/>
      <c r="BZ142" s="1464"/>
      <c r="CA142" s="672"/>
      <c r="CB142" s="657"/>
      <c r="CC142" s="657"/>
      <c r="CD142" s="657"/>
      <c r="CE142" s="657"/>
      <c r="CF142" s="657"/>
      <c r="CG142" s="657"/>
      <c r="CH142" s="657"/>
      <c r="CI142" s="657"/>
    </row>
    <row r="143" spans="1:87" ht="9.9499999999999993" customHeight="1">
      <c r="A143" s="1469"/>
      <c r="B143" s="1469"/>
      <c r="C143" s="1469"/>
      <c r="D143" s="1390"/>
      <c r="E143" s="1390"/>
      <c r="F143" s="1390"/>
      <c r="G143" s="1398"/>
      <c r="H143" s="1399"/>
      <c r="I143" s="1399"/>
      <c r="J143" s="1399"/>
      <c r="K143" s="1399"/>
      <c r="L143" s="1399"/>
      <c r="M143" s="1399"/>
      <c r="N143" s="1399"/>
      <c r="O143" s="1399"/>
      <c r="P143" s="1399"/>
      <c r="Q143" s="1399"/>
      <c r="R143" s="1399"/>
      <c r="S143" s="1399"/>
      <c r="T143" s="1399"/>
      <c r="U143" s="1399"/>
      <c r="V143" s="1400"/>
      <c r="W143" s="669"/>
      <c r="X143" s="669"/>
      <c r="Y143" s="669"/>
      <c r="Z143" s="669"/>
      <c r="AA143" s="1464"/>
      <c r="AB143" s="1464"/>
      <c r="AC143" s="1425"/>
      <c r="AD143" s="1426"/>
      <c r="AE143" s="1426"/>
      <c r="AF143" s="1426"/>
      <c r="AG143" s="1426"/>
      <c r="AH143" s="1426"/>
      <c r="AI143" s="1426"/>
      <c r="AJ143" s="1427"/>
      <c r="AK143" s="1534"/>
      <c r="AL143" s="1534"/>
      <c r="AM143" s="1534"/>
      <c r="AN143" s="1534"/>
      <c r="AO143" s="1451"/>
      <c r="AP143" s="1451"/>
      <c r="AQ143" s="1451"/>
      <c r="AR143" s="1451"/>
      <c r="AS143" s="1451"/>
      <c r="AT143" s="1451"/>
      <c r="AU143" s="1451"/>
      <c r="AV143" s="1451"/>
      <c r="AW143" s="1451"/>
      <c r="AX143" s="1451"/>
      <c r="AY143" s="1451"/>
      <c r="AZ143" s="1451"/>
      <c r="BA143" s="1451"/>
      <c r="BB143" s="1451"/>
      <c r="BC143" s="1451"/>
      <c r="BD143" s="1451"/>
      <c r="BE143" s="1451"/>
      <c r="BF143" s="1451"/>
      <c r="BG143" s="1451"/>
      <c r="BH143" s="1451"/>
      <c r="BI143" s="1465"/>
      <c r="BJ143" s="1465"/>
      <c r="BK143" s="1464"/>
      <c r="BL143" s="1464"/>
      <c r="BM143" s="1464"/>
      <c r="BN143" s="1464"/>
      <c r="BO143" s="1464"/>
      <c r="BP143" s="1464"/>
      <c r="BQ143" s="1464"/>
      <c r="BR143" s="1464"/>
      <c r="BS143" s="1466"/>
      <c r="BT143" s="1466"/>
      <c r="BU143" s="1464"/>
      <c r="BV143" s="1464"/>
      <c r="BW143" s="1464"/>
      <c r="BX143" s="1464"/>
      <c r="BY143" s="1464"/>
      <c r="BZ143" s="1464"/>
      <c r="CA143" s="672"/>
      <c r="CB143" s="657"/>
      <c r="CC143" s="657"/>
      <c r="CD143" s="657"/>
      <c r="CE143" s="657"/>
      <c r="CF143" s="657"/>
      <c r="CG143" s="657"/>
      <c r="CH143" s="657"/>
      <c r="CI143" s="657"/>
    </row>
    <row r="144" spans="1:87" ht="9.9499999999999993" customHeight="1">
      <c r="A144" s="1473" t="s">
        <v>38</v>
      </c>
      <c r="B144" s="1473"/>
      <c r="C144" s="1473"/>
      <c r="D144" s="1390"/>
      <c r="E144" s="1390"/>
      <c r="F144" s="1390"/>
      <c r="G144" s="1398"/>
      <c r="H144" s="1399"/>
      <c r="I144" s="1399"/>
      <c r="J144" s="1399"/>
      <c r="K144" s="1399"/>
      <c r="L144" s="1399"/>
      <c r="M144" s="1399"/>
      <c r="N144" s="1399"/>
      <c r="O144" s="1399"/>
      <c r="P144" s="1399"/>
      <c r="Q144" s="1399"/>
      <c r="R144" s="1399"/>
      <c r="S144" s="1399"/>
      <c r="T144" s="1399"/>
      <c r="U144" s="1399"/>
      <c r="V144" s="1400"/>
      <c r="W144" s="669"/>
      <c r="X144" s="669"/>
      <c r="Y144" s="669"/>
      <c r="Z144" s="669"/>
      <c r="AA144" s="1464"/>
      <c r="AB144" s="1464"/>
      <c r="AC144" s="1425"/>
      <c r="AD144" s="1426"/>
      <c r="AE144" s="1426"/>
      <c r="AF144" s="1426"/>
      <c r="AG144" s="1426"/>
      <c r="AH144" s="1426"/>
      <c r="AI144" s="1426"/>
      <c r="AJ144" s="1427"/>
      <c r="AK144" s="1534"/>
      <c r="AL144" s="1534"/>
      <c r="AM144" s="1534"/>
      <c r="AN144" s="1534"/>
      <c r="AO144" s="1451"/>
      <c r="AP144" s="1451"/>
      <c r="AQ144" s="1451"/>
      <c r="AR144" s="1451"/>
      <c r="AS144" s="1451"/>
      <c r="AT144" s="1451"/>
      <c r="AU144" s="1451"/>
      <c r="AV144" s="1451"/>
      <c r="AW144" s="1451"/>
      <c r="AX144" s="1451"/>
      <c r="AY144" s="1451"/>
      <c r="AZ144" s="1451"/>
      <c r="BA144" s="1451"/>
      <c r="BB144" s="1451"/>
      <c r="BC144" s="1451"/>
      <c r="BD144" s="1451"/>
      <c r="BE144" s="1451"/>
      <c r="BF144" s="1451"/>
      <c r="BG144" s="1451"/>
      <c r="BH144" s="1451"/>
      <c r="BI144" s="1465"/>
      <c r="BJ144" s="1465"/>
      <c r="BK144" s="1464"/>
      <c r="BL144" s="1464"/>
      <c r="BM144" s="1464"/>
      <c r="BN144" s="1464"/>
      <c r="BO144" s="1464"/>
      <c r="BP144" s="1464"/>
      <c r="BQ144" s="1464"/>
      <c r="BR144" s="1464"/>
      <c r="BS144" s="1466"/>
      <c r="BT144" s="1466"/>
      <c r="BU144" s="1464"/>
      <c r="BV144" s="1464"/>
      <c r="BW144" s="1464"/>
      <c r="BX144" s="1464"/>
      <c r="BY144" s="1464"/>
      <c r="BZ144" s="1464"/>
      <c r="CA144" s="668"/>
      <c r="CB144" s="657"/>
      <c r="CC144" s="657"/>
      <c r="CD144" s="657"/>
      <c r="CE144" s="657"/>
      <c r="CF144" s="657"/>
      <c r="CG144" s="657"/>
      <c r="CH144" s="657"/>
      <c r="CI144" s="657"/>
    </row>
    <row r="145" spans="1:87" ht="9.9499999999999993" customHeight="1">
      <c r="A145" s="1474" t="str">
        <f>AU125</f>
        <v>水</v>
      </c>
      <c r="B145" s="1474"/>
      <c r="C145" s="1474"/>
      <c r="D145" s="1390"/>
      <c r="E145" s="1390"/>
      <c r="F145" s="1390"/>
      <c r="G145" s="1398"/>
      <c r="H145" s="1399"/>
      <c r="I145" s="1399"/>
      <c r="J145" s="1399"/>
      <c r="K145" s="1399"/>
      <c r="L145" s="1399"/>
      <c r="M145" s="1399"/>
      <c r="N145" s="1399"/>
      <c r="O145" s="1399"/>
      <c r="P145" s="1399"/>
      <c r="Q145" s="1399"/>
      <c r="R145" s="1399"/>
      <c r="S145" s="1399"/>
      <c r="T145" s="1399"/>
      <c r="U145" s="1399"/>
      <c r="V145" s="1400"/>
      <c r="W145" s="669"/>
      <c r="X145" s="669"/>
      <c r="Y145" s="669"/>
      <c r="Z145" s="669"/>
      <c r="AA145" s="1464"/>
      <c r="AB145" s="1464"/>
      <c r="AC145" s="1425"/>
      <c r="AD145" s="1426"/>
      <c r="AE145" s="1426"/>
      <c r="AF145" s="1426"/>
      <c r="AG145" s="1426"/>
      <c r="AH145" s="1426"/>
      <c r="AI145" s="1426"/>
      <c r="AJ145" s="1427"/>
      <c r="AK145" s="1534"/>
      <c r="AL145" s="1534"/>
      <c r="AM145" s="1534"/>
      <c r="AN145" s="1534"/>
      <c r="AO145" s="1451"/>
      <c r="AP145" s="1451"/>
      <c r="AQ145" s="1451"/>
      <c r="AR145" s="1451"/>
      <c r="AS145" s="1451"/>
      <c r="AT145" s="1451"/>
      <c r="AU145" s="1451"/>
      <c r="AV145" s="1451"/>
      <c r="AW145" s="1451"/>
      <c r="AX145" s="1451"/>
      <c r="AY145" s="1451"/>
      <c r="AZ145" s="1451"/>
      <c r="BA145" s="1451"/>
      <c r="BB145" s="1451"/>
      <c r="BC145" s="1451"/>
      <c r="BD145" s="1451"/>
      <c r="BE145" s="1451"/>
      <c r="BF145" s="1451"/>
      <c r="BG145" s="1451"/>
      <c r="BH145" s="1451"/>
      <c r="BI145" s="1465"/>
      <c r="BJ145" s="1465"/>
      <c r="BK145" s="1464"/>
      <c r="BL145" s="1464"/>
      <c r="BM145" s="1464"/>
      <c r="BN145" s="1464"/>
      <c r="BO145" s="1464"/>
      <c r="BP145" s="1464"/>
      <c r="BQ145" s="1464"/>
      <c r="BR145" s="1464"/>
      <c r="BS145" s="1466"/>
      <c r="BT145" s="1466"/>
      <c r="BU145" s="1464"/>
      <c r="BV145" s="1464"/>
      <c r="BW145" s="1464"/>
      <c r="BX145" s="1464"/>
      <c r="BY145" s="1464"/>
      <c r="BZ145" s="1464"/>
      <c r="CA145" s="668"/>
      <c r="CB145" s="657"/>
      <c r="CC145" s="657"/>
      <c r="CD145" s="657"/>
      <c r="CE145" s="657"/>
      <c r="CF145" s="657"/>
      <c r="CG145" s="657"/>
      <c r="CH145" s="657"/>
      <c r="CI145" s="657"/>
    </row>
    <row r="146" spans="1:87" ht="9.9499999999999993" customHeight="1">
      <c r="A146" s="1475"/>
      <c r="B146" s="1475"/>
      <c r="C146" s="1475"/>
      <c r="D146" s="1390"/>
      <c r="E146" s="1390"/>
      <c r="F146" s="1390"/>
      <c r="G146" s="1398"/>
      <c r="H146" s="1399"/>
      <c r="I146" s="1399"/>
      <c r="J146" s="1399"/>
      <c r="K146" s="1399"/>
      <c r="L146" s="1399"/>
      <c r="M146" s="1399"/>
      <c r="N146" s="1399"/>
      <c r="O146" s="1399"/>
      <c r="P146" s="1399"/>
      <c r="Q146" s="1399"/>
      <c r="R146" s="1399"/>
      <c r="S146" s="1399"/>
      <c r="T146" s="1399"/>
      <c r="U146" s="1399"/>
      <c r="V146" s="1400"/>
      <c r="W146" s="669"/>
      <c r="X146" s="669"/>
      <c r="Y146" s="669"/>
      <c r="Z146" s="669"/>
      <c r="AA146" s="1464"/>
      <c r="AB146" s="1464"/>
      <c r="AC146" s="1425"/>
      <c r="AD146" s="1426"/>
      <c r="AE146" s="1426"/>
      <c r="AF146" s="1426"/>
      <c r="AG146" s="1426"/>
      <c r="AH146" s="1426"/>
      <c r="AI146" s="1426"/>
      <c r="AJ146" s="1427"/>
      <c r="AK146" s="1534"/>
      <c r="AL146" s="1534"/>
      <c r="AM146" s="1534"/>
      <c r="AN146" s="1534"/>
      <c r="AO146" s="1451"/>
      <c r="AP146" s="1451"/>
      <c r="AQ146" s="1451"/>
      <c r="AR146" s="1451"/>
      <c r="AS146" s="1451"/>
      <c r="AT146" s="1451"/>
      <c r="AU146" s="1451"/>
      <c r="AV146" s="1451"/>
      <c r="AW146" s="1451"/>
      <c r="AX146" s="1451"/>
      <c r="AY146" s="1451"/>
      <c r="AZ146" s="1451"/>
      <c r="BA146" s="1451"/>
      <c r="BB146" s="1451"/>
      <c r="BC146" s="1451"/>
      <c r="BD146" s="1451"/>
      <c r="BE146" s="1451"/>
      <c r="BF146" s="1451"/>
      <c r="BG146" s="1451"/>
      <c r="BH146" s="1451"/>
      <c r="BI146" s="1465"/>
      <c r="BJ146" s="1465"/>
      <c r="BK146" s="1464"/>
      <c r="BL146" s="1464"/>
      <c r="BM146" s="1464"/>
      <c r="BN146" s="1464"/>
      <c r="BO146" s="1464"/>
      <c r="BP146" s="1464"/>
      <c r="BQ146" s="1464"/>
      <c r="BR146" s="1464"/>
      <c r="BS146" s="1466"/>
      <c r="BT146" s="1466"/>
      <c r="BU146" s="1464"/>
      <c r="BV146" s="1464"/>
      <c r="BW146" s="1464"/>
      <c r="BX146" s="1464"/>
      <c r="BY146" s="1464"/>
      <c r="BZ146" s="1464"/>
      <c r="CA146" s="668"/>
      <c r="CB146" s="657"/>
      <c r="CC146" s="657"/>
      <c r="CD146" s="657"/>
      <c r="CE146" s="657"/>
      <c r="CF146" s="657"/>
      <c r="CG146" s="657"/>
      <c r="CH146" s="657"/>
      <c r="CI146" s="657"/>
    </row>
    <row r="147" spans="1:87" ht="9.9499999999999993" customHeight="1">
      <c r="A147" s="1486" t="s">
        <v>37</v>
      </c>
      <c r="B147" s="1487"/>
      <c r="C147" s="1488"/>
      <c r="D147" s="1390"/>
      <c r="E147" s="1390"/>
      <c r="F147" s="1390"/>
      <c r="G147" s="1401"/>
      <c r="H147" s="1402"/>
      <c r="I147" s="1402"/>
      <c r="J147" s="1402"/>
      <c r="K147" s="1402"/>
      <c r="L147" s="1402"/>
      <c r="M147" s="1402"/>
      <c r="N147" s="1402"/>
      <c r="O147" s="1402"/>
      <c r="P147" s="1402"/>
      <c r="Q147" s="1402"/>
      <c r="R147" s="1402"/>
      <c r="S147" s="1402"/>
      <c r="T147" s="1402"/>
      <c r="U147" s="1402"/>
      <c r="V147" s="1403"/>
      <c r="W147" s="673"/>
      <c r="X147" s="673"/>
      <c r="Y147" s="673"/>
      <c r="Z147" s="673"/>
      <c r="AA147" s="1464"/>
      <c r="AB147" s="1464"/>
      <c r="AC147" s="1428"/>
      <c r="AD147" s="1429"/>
      <c r="AE147" s="1429"/>
      <c r="AF147" s="1429"/>
      <c r="AG147" s="1429"/>
      <c r="AH147" s="1429"/>
      <c r="AI147" s="1429"/>
      <c r="AJ147" s="1430"/>
      <c r="AK147" s="1534"/>
      <c r="AL147" s="1534"/>
      <c r="AM147" s="1534"/>
      <c r="AN147" s="1534"/>
      <c r="AO147" s="1451"/>
      <c r="AP147" s="1451"/>
      <c r="AQ147" s="1451"/>
      <c r="AR147" s="1451"/>
      <c r="AS147" s="1451"/>
      <c r="AT147" s="1451"/>
      <c r="AU147" s="1451"/>
      <c r="AV147" s="1451"/>
      <c r="AW147" s="1451"/>
      <c r="AX147" s="1451"/>
      <c r="AY147" s="1451"/>
      <c r="AZ147" s="1451"/>
      <c r="BA147" s="1451"/>
      <c r="BB147" s="1451"/>
      <c r="BC147" s="1451"/>
      <c r="BD147" s="1451"/>
      <c r="BE147" s="1451"/>
      <c r="BF147" s="1451"/>
      <c r="BG147" s="1451"/>
      <c r="BH147" s="1451"/>
      <c r="BI147" s="1465"/>
      <c r="BJ147" s="1465"/>
      <c r="BK147" s="1464"/>
      <c r="BL147" s="1464"/>
      <c r="BM147" s="1464"/>
      <c r="BN147" s="1464"/>
      <c r="BO147" s="1464"/>
      <c r="BP147" s="1464"/>
      <c r="BQ147" s="1464"/>
      <c r="BR147" s="1464"/>
      <c r="BS147" s="1466"/>
      <c r="BT147" s="1466"/>
      <c r="BU147" s="1464"/>
      <c r="BV147" s="1464"/>
      <c r="BW147" s="1464"/>
      <c r="BX147" s="1464"/>
      <c r="BY147" s="1464"/>
      <c r="BZ147" s="1464"/>
      <c r="CA147" s="679"/>
      <c r="CB147" s="657"/>
      <c r="CC147" s="657"/>
      <c r="CD147" s="657"/>
      <c r="CE147" s="657"/>
      <c r="CF147" s="657"/>
      <c r="CG147" s="657"/>
      <c r="CH147" s="657"/>
      <c r="CI147" s="657"/>
    </row>
    <row r="148" spans="1:87" ht="9.9499999999999993" customHeight="1">
      <c r="A148" s="1386">
        <f>BA125</f>
        <v>6</v>
      </c>
      <c r="B148" s="1387"/>
      <c r="C148" s="1388"/>
      <c r="D148" s="1389" t="s">
        <v>78</v>
      </c>
      <c r="E148" s="1389"/>
      <c r="F148" s="1389"/>
      <c r="G148" s="691"/>
      <c r="H148" s="692"/>
      <c r="I148" s="692"/>
      <c r="J148" s="688"/>
      <c r="K148" s="1466" t="s">
        <v>3029</v>
      </c>
      <c r="L148" s="1466"/>
      <c r="M148" s="1466"/>
      <c r="N148" s="1466"/>
      <c r="O148" s="1464" t="s">
        <v>3030</v>
      </c>
      <c r="P148" s="1464"/>
      <c r="Q148" s="1464"/>
      <c r="R148" s="1464" t="s">
        <v>3015</v>
      </c>
      <c r="S148" s="1464"/>
      <c r="T148" s="1464"/>
      <c r="U148" s="1464" t="s">
        <v>3031</v>
      </c>
      <c r="V148" s="1464"/>
      <c r="W148" s="1464" t="s">
        <v>384</v>
      </c>
      <c r="X148" s="1464"/>
      <c r="Y148" s="1422" t="s">
        <v>3096</v>
      </c>
      <c r="Z148" s="1443"/>
      <c r="AA148" s="1443"/>
      <c r="AB148" s="1443"/>
      <c r="AC148" s="1443"/>
      <c r="AD148" s="1443"/>
      <c r="AE148" s="1443"/>
      <c r="AF148" s="1443"/>
      <c r="AG148" s="1443"/>
      <c r="AH148" s="1443"/>
      <c r="AI148" s="1443"/>
      <c r="AJ148" s="1444"/>
      <c r="AK148" s="685"/>
      <c r="AL148" s="686"/>
      <c r="AM148" s="685"/>
      <c r="AN148" s="685"/>
      <c r="AO148" s="685"/>
      <c r="AP148" s="686"/>
      <c r="AQ148" s="685"/>
      <c r="AR148" s="685"/>
      <c r="AS148" s="685"/>
      <c r="AT148" s="686"/>
      <c r="AU148" s="685"/>
      <c r="AV148" s="685"/>
      <c r="AW148" s="685"/>
      <c r="AX148" s="686"/>
      <c r="AY148" s="685"/>
      <c r="AZ148" s="685"/>
      <c r="BA148" s="685"/>
      <c r="BB148" s="686"/>
      <c r="BC148" s="685"/>
      <c r="BD148" s="685"/>
      <c r="BE148" s="685"/>
      <c r="BF148" s="686"/>
      <c r="BG148" s="685"/>
      <c r="BH148" s="685"/>
      <c r="BI148" s="685"/>
      <c r="BJ148" s="686"/>
      <c r="BK148" s="685"/>
      <c r="BL148" s="685"/>
      <c r="BM148" s="685"/>
      <c r="BN148" s="686"/>
      <c r="BO148" s="685"/>
      <c r="BP148" s="685"/>
      <c r="BQ148" s="685"/>
      <c r="BR148" s="686"/>
      <c r="BS148" s="685"/>
      <c r="BT148" s="685"/>
      <c r="BU148" s="685"/>
      <c r="BV148" s="686"/>
      <c r="BW148" s="685"/>
      <c r="BX148" s="685"/>
      <c r="BY148" s="685"/>
      <c r="BZ148" s="729"/>
      <c r="CA148" s="668"/>
      <c r="CB148" s="657"/>
      <c r="CC148" s="657"/>
      <c r="CD148" s="657"/>
      <c r="CE148" s="657"/>
      <c r="CF148" s="657"/>
      <c r="CG148" s="657"/>
      <c r="CH148" s="657"/>
      <c r="CI148" s="657"/>
    </row>
    <row r="149" spans="1:87" ht="9.9499999999999993" customHeight="1">
      <c r="A149" s="1386"/>
      <c r="B149" s="1387"/>
      <c r="C149" s="1388"/>
      <c r="D149" s="1390"/>
      <c r="E149" s="1390"/>
      <c r="F149" s="1390"/>
      <c r="G149" s="691"/>
      <c r="H149" s="692"/>
      <c r="I149" s="692"/>
      <c r="J149" s="688"/>
      <c r="K149" s="1466"/>
      <c r="L149" s="1466"/>
      <c r="M149" s="1466"/>
      <c r="N149" s="1466"/>
      <c r="O149" s="1464"/>
      <c r="P149" s="1464"/>
      <c r="Q149" s="1464"/>
      <c r="R149" s="1464"/>
      <c r="S149" s="1464"/>
      <c r="T149" s="1464"/>
      <c r="U149" s="1464"/>
      <c r="V149" s="1464"/>
      <c r="W149" s="1464"/>
      <c r="X149" s="1464"/>
      <c r="Y149" s="1445"/>
      <c r="Z149" s="1446"/>
      <c r="AA149" s="1446"/>
      <c r="AB149" s="1446"/>
      <c r="AC149" s="1446"/>
      <c r="AD149" s="1446"/>
      <c r="AE149" s="1446"/>
      <c r="AF149" s="1446"/>
      <c r="AG149" s="1446"/>
      <c r="AH149" s="1446"/>
      <c r="AI149" s="1446"/>
      <c r="AJ149" s="1447"/>
      <c r="AK149" s="685"/>
      <c r="AL149" s="686"/>
      <c r="AM149" s="685"/>
      <c r="AN149" s="685"/>
      <c r="AO149" s="685"/>
      <c r="AP149" s="686"/>
      <c r="AQ149" s="685"/>
      <c r="AR149" s="685"/>
      <c r="AS149" s="685"/>
      <c r="AT149" s="686"/>
      <c r="AU149" s="685"/>
      <c r="AV149" s="685"/>
      <c r="AW149" s="685"/>
      <c r="AX149" s="686"/>
      <c r="AY149" s="685"/>
      <c r="AZ149" s="685"/>
      <c r="BA149" s="685"/>
      <c r="BB149" s="686"/>
      <c r="BC149" s="685"/>
      <c r="BD149" s="685"/>
      <c r="BE149" s="685"/>
      <c r="BF149" s="686"/>
      <c r="BG149" s="685"/>
      <c r="BH149" s="685"/>
      <c r="BI149" s="685"/>
      <c r="BJ149" s="686"/>
      <c r="BK149" s="685"/>
      <c r="BL149" s="685"/>
      <c r="BM149" s="685"/>
      <c r="BN149" s="686"/>
      <c r="BO149" s="685"/>
      <c r="BP149" s="685"/>
      <c r="BQ149" s="685"/>
      <c r="BR149" s="686"/>
      <c r="BS149" s="685"/>
      <c r="BT149" s="685"/>
      <c r="BU149" s="685"/>
      <c r="BV149" s="686"/>
      <c r="BW149" s="728"/>
      <c r="BX149" s="728"/>
      <c r="BY149" s="728"/>
      <c r="BZ149" s="729"/>
      <c r="CA149" s="668"/>
      <c r="CB149" s="657"/>
      <c r="CC149" s="657"/>
      <c r="CD149" s="657"/>
      <c r="CE149" s="657"/>
      <c r="CF149" s="657"/>
      <c r="CG149" s="657"/>
      <c r="CH149" s="657"/>
      <c r="CI149" s="657"/>
    </row>
    <row r="150" spans="1:87" ht="9.9499999999999993" customHeight="1">
      <c r="A150" s="1386"/>
      <c r="B150" s="1387"/>
      <c r="C150" s="1388"/>
      <c r="D150" s="1390"/>
      <c r="E150" s="1390"/>
      <c r="F150" s="1390"/>
      <c r="G150" s="691"/>
      <c r="H150" s="692"/>
      <c r="I150" s="692"/>
      <c r="J150" s="688"/>
      <c r="K150" s="1466"/>
      <c r="L150" s="1466"/>
      <c r="M150" s="1466"/>
      <c r="N150" s="1466"/>
      <c r="O150" s="1464"/>
      <c r="P150" s="1464"/>
      <c r="Q150" s="1464"/>
      <c r="R150" s="1464"/>
      <c r="S150" s="1464"/>
      <c r="T150" s="1464"/>
      <c r="U150" s="1464"/>
      <c r="V150" s="1464"/>
      <c r="W150" s="1464"/>
      <c r="X150" s="1464"/>
      <c r="Y150" s="1445"/>
      <c r="Z150" s="1446"/>
      <c r="AA150" s="1446"/>
      <c r="AB150" s="1446"/>
      <c r="AC150" s="1446"/>
      <c r="AD150" s="1446"/>
      <c r="AE150" s="1446"/>
      <c r="AF150" s="1446"/>
      <c r="AG150" s="1446"/>
      <c r="AH150" s="1446"/>
      <c r="AI150" s="1446"/>
      <c r="AJ150" s="1447"/>
      <c r="AK150" s="685"/>
      <c r="AL150" s="686"/>
      <c r="AM150" s="685"/>
      <c r="AN150" s="685"/>
      <c r="AO150" s="685"/>
      <c r="AP150" s="686"/>
      <c r="AQ150" s="685"/>
      <c r="AR150" s="685"/>
      <c r="AS150" s="685"/>
      <c r="AT150" s="686"/>
      <c r="AU150" s="685"/>
      <c r="AV150" s="685"/>
      <c r="AW150" s="685"/>
      <c r="AX150" s="686"/>
      <c r="AY150" s="685"/>
      <c r="AZ150" s="685"/>
      <c r="BA150" s="685"/>
      <c r="BB150" s="686"/>
      <c r="BC150" s="685"/>
      <c r="BD150" s="685"/>
      <c r="BE150" s="663"/>
      <c r="BF150" s="687"/>
      <c r="BG150" s="688"/>
      <c r="BH150" s="688"/>
      <c r="BI150" s="688"/>
      <c r="BJ150" s="687"/>
      <c r="BK150" s="688"/>
      <c r="BL150" s="688"/>
      <c r="BM150" s="688"/>
      <c r="BN150" s="687"/>
      <c r="BO150" s="688"/>
      <c r="BP150" s="688"/>
      <c r="BQ150" s="688"/>
      <c r="BR150" s="687"/>
      <c r="BS150" s="688"/>
      <c r="BT150" s="688"/>
      <c r="BU150" s="688"/>
      <c r="BV150" s="687"/>
      <c r="BW150" s="728"/>
      <c r="BX150" s="728"/>
      <c r="BY150" s="728"/>
      <c r="BZ150" s="729"/>
      <c r="CA150" s="672"/>
      <c r="CB150" s="657"/>
      <c r="CC150" s="657"/>
      <c r="CD150" s="657"/>
      <c r="CE150" s="657"/>
      <c r="CF150" s="657"/>
      <c r="CG150" s="657"/>
      <c r="CH150" s="657"/>
      <c r="CI150" s="657"/>
    </row>
    <row r="151" spans="1:87" ht="9.9499999999999993" customHeight="1">
      <c r="A151" s="1468" t="s">
        <v>15</v>
      </c>
      <c r="B151" s="1468"/>
      <c r="C151" s="1468"/>
      <c r="D151" s="1390"/>
      <c r="E151" s="1390"/>
      <c r="F151" s="1390"/>
      <c r="G151" s="691"/>
      <c r="H151" s="692"/>
      <c r="I151" s="692"/>
      <c r="J151" s="688"/>
      <c r="K151" s="1466"/>
      <c r="L151" s="1466"/>
      <c r="M151" s="1466"/>
      <c r="N151" s="1466"/>
      <c r="O151" s="1464"/>
      <c r="P151" s="1464"/>
      <c r="Q151" s="1464"/>
      <c r="R151" s="1464"/>
      <c r="S151" s="1464"/>
      <c r="T151" s="1464"/>
      <c r="U151" s="1464"/>
      <c r="V151" s="1464"/>
      <c r="W151" s="1464"/>
      <c r="X151" s="1464"/>
      <c r="Y151" s="1445"/>
      <c r="Z151" s="1446"/>
      <c r="AA151" s="1446"/>
      <c r="AB151" s="1446"/>
      <c r="AC151" s="1446"/>
      <c r="AD151" s="1446"/>
      <c r="AE151" s="1446"/>
      <c r="AF151" s="1446"/>
      <c r="AG151" s="1446"/>
      <c r="AH151" s="1446"/>
      <c r="AI151" s="1446"/>
      <c r="AJ151" s="1447"/>
      <c r="AK151" s="688"/>
      <c r="AL151" s="687"/>
      <c r="AM151" s="688"/>
      <c r="AN151" s="688"/>
      <c r="AO151" s="688"/>
      <c r="AP151" s="687"/>
      <c r="AQ151" s="688"/>
      <c r="AR151" s="688"/>
      <c r="AS151" s="688"/>
      <c r="AT151" s="687"/>
      <c r="AU151" s="688"/>
      <c r="AV151" s="688"/>
      <c r="AW151" s="688"/>
      <c r="AX151" s="687"/>
      <c r="AY151" s="688"/>
      <c r="AZ151" s="688"/>
      <c r="BA151" s="688"/>
      <c r="BB151" s="687"/>
      <c r="BC151" s="688"/>
      <c r="BD151" s="688"/>
      <c r="BE151" s="688"/>
      <c r="BF151" s="687"/>
      <c r="BG151" s="688"/>
      <c r="BH151" s="688"/>
      <c r="BI151" s="688"/>
      <c r="BJ151" s="687"/>
      <c r="BK151" s="688"/>
      <c r="BL151" s="688"/>
      <c r="BM151" s="688"/>
      <c r="BN151" s="687"/>
      <c r="BO151" s="688"/>
      <c r="BP151" s="688"/>
      <c r="BQ151" s="688"/>
      <c r="BR151" s="687"/>
      <c r="BS151" s="688"/>
      <c r="BT151" s="688"/>
      <c r="BU151" s="688"/>
      <c r="BV151" s="687"/>
      <c r="BW151" s="728"/>
      <c r="BX151" s="728"/>
      <c r="BY151" s="728"/>
      <c r="BZ151" s="729"/>
      <c r="CA151" s="672"/>
      <c r="CB151" s="657"/>
      <c r="CC151" s="657"/>
      <c r="CD151" s="657"/>
      <c r="CE151" s="657"/>
      <c r="CF151" s="657"/>
      <c r="CG151" s="657"/>
      <c r="CH151" s="657"/>
      <c r="CI151" s="657"/>
    </row>
    <row r="152" spans="1:87" ht="9.9499999999999993" customHeight="1">
      <c r="A152" s="1415"/>
      <c r="B152" s="1415"/>
      <c r="C152" s="1415"/>
      <c r="D152" s="1390"/>
      <c r="E152" s="1390"/>
      <c r="F152" s="1390"/>
      <c r="G152" s="691"/>
      <c r="H152" s="692"/>
      <c r="I152" s="692"/>
      <c r="J152" s="688"/>
      <c r="K152" s="1466"/>
      <c r="L152" s="1466"/>
      <c r="M152" s="1466"/>
      <c r="N152" s="1466"/>
      <c r="O152" s="1464"/>
      <c r="P152" s="1464"/>
      <c r="Q152" s="1464"/>
      <c r="R152" s="1464"/>
      <c r="S152" s="1464"/>
      <c r="T152" s="1464"/>
      <c r="U152" s="1464"/>
      <c r="V152" s="1464"/>
      <c r="W152" s="1464"/>
      <c r="X152" s="1464"/>
      <c r="Y152" s="1445"/>
      <c r="Z152" s="1446"/>
      <c r="AA152" s="1446"/>
      <c r="AB152" s="1446"/>
      <c r="AC152" s="1446"/>
      <c r="AD152" s="1446"/>
      <c r="AE152" s="1446"/>
      <c r="AF152" s="1446"/>
      <c r="AG152" s="1446"/>
      <c r="AH152" s="1446"/>
      <c r="AI152" s="1446"/>
      <c r="AJ152" s="1447"/>
      <c r="AK152" s="685"/>
      <c r="AL152" s="686"/>
      <c r="AM152" s="685"/>
      <c r="AN152" s="685"/>
      <c r="AO152" s="685"/>
      <c r="AP152" s="686"/>
      <c r="AQ152" s="685"/>
      <c r="AR152" s="685"/>
      <c r="AS152" s="685"/>
      <c r="AT152" s="686"/>
      <c r="AU152" s="685"/>
      <c r="AV152" s="685"/>
      <c r="AW152" s="685"/>
      <c r="AX152" s="686"/>
      <c r="AY152" s="685"/>
      <c r="AZ152" s="685"/>
      <c r="BA152" s="685"/>
      <c r="BB152" s="686"/>
      <c r="BC152" s="685"/>
      <c r="BD152" s="685"/>
      <c r="BE152" s="685"/>
      <c r="BF152" s="686"/>
      <c r="BG152" s="685"/>
      <c r="BH152" s="685"/>
      <c r="BI152" s="685"/>
      <c r="BJ152" s="686"/>
      <c r="BK152" s="685"/>
      <c r="BL152" s="685"/>
      <c r="BM152" s="685"/>
      <c r="BN152" s="686"/>
      <c r="BO152" s="685"/>
      <c r="BP152" s="685"/>
      <c r="BQ152" s="685"/>
      <c r="BR152" s="686"/>
      <c r="BS152" s="685"/>
      <c r="BT152" s="685"/>
      <c r="BU152" s="685"/>
      <c r="BV152" s="686"/>
      <c r="BW152" s="728"/>
      <c r="BX152" s="728"/>
      <c r="BY152" s="728"/>
      <c r="BZ152" s="729"/>
      <c r="CA152" s="668"/>
      <c r="CB152" s="657"/>
      <c r="CC152" s="657"/>
      <c r="CD152" s="657"/>
      <c r="CE152" s="657"/>
      <c r="CF152" s="657"/>
      <c r="CG152" s="657"/>
      <c r="CH152" s="657"/>
      <c r="CI152" s="657"/>
    </row>
    <row r="153" spans="1:87" ht="9.9499999999999993" customHeight="1">
      <c r="A153" s="1469"/>
      <c r="B153" s="1469"/>
      <c r="C153" s="1469"/>
      <c r="D153" s="1390"/>
      <c r="E153" s="1390"/>
      <c r="F153" s="1390"/>
      <c r="G153" s="691"/>
      <c r="H153" s="692"/>
      <c r="I153" s="692"/>
      <c r="J153" s="688"/>
      <c r="K153" s="1466"/>
      <c r="L153" s="1466"/>
      <c r="M153" s="1466"/>
      <c r="N153" s="1466"/>
      <c r="O153" s="1464"/>
      <c r="P153" s="1464"/>
      <c r="Q153" s="1464"/>
      <c r="R153" s="1464"/>
      <c r="S153" s="1464"/>
      <c r="T153" s="1464"/>
      <c r="U153" s="1464"/>
      <c r="V153" s="1464"/>
      <c r="W153" s="1464"/>
      <c r="X153" s="1464"/>
      <c r="Y153" s="1445"/>
      <c r="Z153" s="1446"/>
      <c r="AA153" s="1446"/>
      <c r="AB153" s="1446"/>
      <c r="AC153" s="1446"/>
      <c r="AD153" s="1446"/>
      <c r="AE153" s="1446"/>
      <c r="AF153" s="1446"/>
      <c r="AG153" s="1446"/>
      <c r="AH153" s="1446"/>
      <c r="AI153" s="1446"/>
      <c r="AJ153" s="1447"/>
      <c r="AK153" s="685"/>
      <c r="AL153" s="686"/>
      <c r="AM153" s="685"/>
      <c r="AN153" s="685"/>
      <c r="AO153" s="685"/>
      <c r="AP153" s="686"/>
      <c r="AQ153" s="685"/>
      <c r="AR153" s="685"/>
      <c r="AS153" s="685"/>
      <c r="AT153" s="686"/>
      <c r="AU153" s="685"/>
      <c r="AV153" s="685"/>
      <c r="AW153" s="685"/>
      <c r="AX153" s="686"/>
      <c r="AY153" s="685"/>
      <c r="AZ153" s="685"/>
      <c r="BA153" s="685"/>
      <c r="BB153" s="686"/>
      <c r="BC153" s="685"/>
      <c r="BD153" s="685"/>
      <c r="BE153" s="685"/>
      <c r="BF153" s="686"/>
      <c r="BG153" s="685"/>
      <c r="BH153" s="685"/>
      <c r="BI153" s="685"/>
      <c r="BJ153" s="686"/>
      <c r="BK153" s="685"/>
      <c r="BL153" s="685"/>
      <c r="BM153" s="685"/>
      <c r="BN153" s="686"/>
      <c r="BO153" s="685"/>
      <c r="BP153" s="685"/>
      <c r="BQ153" s="685"/>
      <c r="BR153" s="686"/>
      <c r="BS153" s="685"/>
      <c r="BT153" s="685"/>
      <c r="BU153" s="685"/>
      <c r="BV153" s="686"/>
      <c r="BW153" s="728"/>
      <c r="BX153" s="728"/>
      <c r="BY153" s="728"/>
      <c r="BZ153" s="729"/>
      <c r="CA153" s="668"/>
      <c r="CB153" s="657"/>
      <c r="CC153" s="657"/>
      <c r="CD153" s="657"/>
      <c r="CE153" s="657"/>
      <c r="CF153" s="657"/>
      <c r="CG153" s="657"/>
      <c r="CH153" s="657"/>
      <c r="CI153" s="657"/>
    </row>
    <row r="154" spans="1:87" ht="9.9499999999999993" customHeight="1" thickBot="1">
      <c r="A154" s="1470">
        <f>BE125</f>
        <v>3</v>
      </c>
      <c r="B154" s="1471"/>
      <c r="C154" s="1472"/>
      <c r="D154" s="1467"/>
      <c r="E154" s="1467"/>
      <c r="F154" s="1467"/>
      <c r="G154" s="691"/>
      <c r="H154" s="692"/>
      <c r="I154" s="692"/>
      <c r="J154" s="688"/>
      <c r="K154" s="1466"/>
      <c r="L154" s="1466"/>
      <c r="M154" s="1466"/>
      <c r="N154" s="1466"/>
      <c r="O154" s="1464"/>
      <c r="P154" s="1464"/>
      <c r="Q154" s="1464"/>
      <c r="R154" s="1464"/>
      <c r="S154" s="1464"/>
      <c r="T154" s="1464"/>
      <c r="U154" s="1464"/>
      <c r="V154" s="1464"/>
      <c r="W154" s="1464"/>
      <c r="X154" s="1464"/>
      <c r="Y154" s="1445"/>
      <c r="Z154" s="1446"/>
      <c r="AA154" s="1446"/>
      <c r="AB154" s="1446"/>
      <c r="AC154" s="1446"/>
      <c r="AD154" s="1446"/>
      <c r="AE154" s="1446"/>
      <c r="AF154" s="1446"/>
      <c r="AG154" s="1446"/>
      <c r="AH154" s="1446"/>
      <c r="AI154" s="1446"/>
      <c r="AJ154" s="1447"/>
      <c r="AK154" s="685"/>
      <c r="AL154" s="686"/>
      <c r="AM154" s="685"/>
      <c r="AN154" s="685"/>
      <c r="AO154" s="685"/>
      <c r="AP154" s="686"/>
      <c r="AQ154" s="685"/>
      <c r="AR154" s="685"/>
      <c r="AS154" s="685"/>
      <c r="AT154" s="686"/>
      <c r="AU154" s="685"/>
      <c r="AV154" s="685"/>
      <c r="AW154" s="685"/>
      <c r="AX154" s="686"/>
      <c r="AY154" s="685"/>
      <c r="AZ154" s="685"/>
      <c r="BA154" s="685"/>
      <c r="BB154" s="686"/>
      <c r="BC154" s="685"/>
      <c r="BD154" s="685"/>
      <c r="BE154" s="685"/>
      <c r="BF154" s="686"/>
      <c r="BG154" s="685"/>
      <c r="BH154" s="685"/>
      <c r="BI154" s="685"/>
      <c r="BJ154" s="686"/>
      <c r="BK154" s="685"/>
      <c r="BL154" s="685"/>
      <c r="BM154" s="685"/>
      <c r="BN154" s="686"/>
      <c r="BO154" s="685"/>
      <c r="BP154" s="685"/>
      <c r="BQ154" s="685"/>
      <c r="BR154" s="686"/>
      <c r="BS154" s="685"/>
      <c r="BT154" s="685"/>
      <c r="BU154" s="685"/>
      <c r="BV154" s="686"/>
      <c r="BW154" s="728"/>
      <c r="BX154" s="728"/>
      <c r="BY154" s="728"/>
      <c r="BZ154" s="729"/>
      <c r="CA154" s="668"/>
      <c r="CB154" s="657"/>
      <c r="CC154" s="657"/>
      <c r="CD154" s="657"/>
      <c r="CE154" s="657"/>
      <c r="CF154" s="657"/>
      <c r="CG154" s="657"/>
      <c r="CH154" s="657"/>
      <c r="CI154" s="657"/>
    </row>
    <row r="155" spans="1:87" ht="9.9499999999999993" customHeight="1">
      <c r="A155" s="1386"/>
      <c r="B155" s="1387"/>
      <c r="C155" s="1388"/>
      <c r="D155" s="1390"/>
      <c r="E155" s="1390"/>
      <c r="F155" s="1390"/>
      <c r="G155" s="695"/>
      <c r="H155" s="696"/>
      <c r="I155" s="696"/>
      <c r="J155" s="689"/>
      <c r="K155" s="1466"/>
      <c r="L155" s="1466"/>
      <c r="M155" s="1466"/>
      <c r="N155" s="1466"/>
      <c r="O155" s="1464"/>
      <c r="P155" s="1464"/>
      <c r="Q155" s="1464"/>
      <c r="R155" s="1464"/>
      <c r="S155" s="1464"/>
      <c r="T155" s="1464"/>
      <c r="U155" s="1464"/>
      <c r="V155" s="1464"/>
      <c r="W155" s="1464"/>
      <c r="X155" s="1464"/>
      <c r="Y155" s="1448"/>
      <c r="Z155" s="1449"/>
      <c r="AA155" s="1449"/>
      <c r="AB155" s="1449"/>
      <c r="AC155" s="1449"/>
      <c r="AD155" s="1449"/>
      <c r="AE155" s="1449"/>
      <c r="AF155" s="1449"/>
      <c r="AG155" s="1449"/>
      <c r="AH155" s="1449"/>
      <c r="AI155" s="1449"/>
      <c r="AJ155" s="1450"/>
      <c r="AK155" s="689"/>
      <c r="AL155" s="690"/>
      <c r="AM155" s="689"/>
      <c r="AN155" s="689"/>
      <c r="AO155" s="689"/>
      <c r="AP155" s="690"/>
      <c r="AQ155" s="689"/>
      <c r="AR155" s="689"/>
      <c r="AS155" s="689"/>
      <c r="AT155" s="690"/>
      <c r="AU155" s="689"/>
      <c r="AV155" s="689"/>
      <c r="AW155" s="689"/>
      <c r="AX155" s="690"/>
      <c r="AY155" s="689"/>
      <c r="AZ155" s="689"/>
      <c r="BA155" s="689"/>
      <c r="BB155" s="690"/>
      <c r="BC155" s="689"/>
      <c r="BD155" s="689"/>
      <c r="BE155" s="689"/>
      <c r="BF155" s="690"/>
      <c r="BG155" s="689"/>
      <c r="BH155" s="689"/>
      <c r="BI155" s="689"/>
      <c r="BJ155" s="690"/>
      <c r="BK155" s="689"/>
      <c r="BL155" s="689"/>
      <c r="BM155" s="689"/>
      <c r="BN155" s="690"/>
      <c r="BO155" s="689"/>
      <c r="BP155" s="689"/>
      <c r="BQ155" s="689"/>
      <c r="BR155" s="690"/>
      <c r="BS155" s="689"/>
      <c r="BT155" s="689"/>
      <c r="BU155" s="689"/>
      <c r="BV155" s="690"/>
      <c r="BW155" s="689"/>
      <c r="BX155" s="689"/>
      <c r="BY155" s="689"/>
      <c r="BZ155" s="697"/>
      <c r="CA155" s="679"/>
      <c r="CB155" s="657"/>
      <c r="CC155" s="657"/>
      <c r="CD155" s="657"/>
      <c r="CE155" s="657"/>
      <c r="CF155" s="657"/>
      <c r="CG155" s="657"/>
      <c r="CH155" s="657"/>
      <c r="CI155" s="657"/>
    </row>
    <row r="156" spans="1:87" ht="9.9499999999999993" customHeight="1">
      <c r="A156" s="1386"/>
      <c r="B156" s="1387"/>
      <c r="C156" s="1388"/>
      <c r="D156" s="1390" t="s">
        <v>77</v>
      </c>
      <c r="E156" s="1390"/>
      <c r="F156" s="1390"/>
      <c r="G156" s="698"/>
      <c r="H156" s="699"/>
      <c r="I156" s="699"/>
      <c r="J156" s="701"/>
      <c r="K156" s="1466"/>
      <c r="L156" s="1466"/>
      <c r="M156" s="1466"/>
      <c r="N156" s="1466"/>
      <c r="O156" s="1464"/>
      <c r="P156" s="1464"/>
      <c r="Q156" s="1464"/>
      <c r="R156" s="1464"/>
      <c r="S156" s="1464"/>
      <c r="T156" s="1464"/>
      <c r="U156" s="1464"/>
      <c r="V156" s="1464"/>
      <c r="W156" s="1464"/>
      <c r="X156" s="1464"/>
      <c r="Y156" s="682"/>
      <c r="Z156" s="683"/>
      <c r="AA156" s="662"/>
      <c r="AB156" s="662"/>
      <c r="AC156" s="662"/>
      <c r="AD156" s="683"/>
      <c r="AE156" s="662"/>
      <c r="AF156" s="662"/>
      <c r="AG156" s="938"/>
      <c r="AH156" s="702"/>
      <c r="AI156" s="938"/>
      <c r="AJ156" s="938"/>
      <c r="AK156" s="680"/>
      <c r="AL156" s="681"/>
      <c r="AM156" s="680"/>
      <c r="AN156" s="680"/>
      <c r="AO156" s="680"/>
      <c r="AP156" s="681"/>
      <c r="AQ156" s="680"/>
      <c r="AR156" s="680"/>
      <c r="AS156" s="680"/>
      <c r="AT156" s="681"/>
      <c r="AU156" s="680"/>
      <c r="AV156" s="680"/>
      <c r="AW156" s="680"/>
      <c r="AX156" s="681"/>
      <c r="AY156" s="680"/>
      <c r="AZ156" s="680"/>
      <c r="BA156" s="680"/>
      <c r="BB156" s="681"/>
      <c r="BC156" s="680"/>
      <c r="BD156" s="680"/>
      <c r="BE156" s="680"/>
      <c r="BF156" s="681"/>
      <c r="BG156" s="680"/>
      <c r="BH156" s="680"/>
      <c r="BI156" s="680"/>
      <c r="BJ156" s="681"/>
      <c r="BK156" s="680"/>
      <c r="BL156" s="680"/>
      <c r="BM156" s="680"/>
      <c r="BN156" s="681"/>
      <c r="BO156" s="680"/>
      <c r="BP156" s="680"/>
      <c r="BQ156" s="680"/>
      <c r="BR156" s="681"/>
      <c r="BS156" s="680"/>
      <c r="BT156" s="680"/>
      <c r="BU156" s="680"/>
      <c r="BV156" s="681"/>
      <c r="BW156" s="680"/>
      <c r="BX156" s="680"/>
      <c r="BY156" s="680"/>
      <c r="BZ156" s="684"/>
      <c r="CA156" s="668"/>
      <c r="CB156" s="657"/>
      <c r="CC156" s="657"/>
      <c r="CD156" s="657"/>
      <c r="CE156" s="657"/>
      <c r="CF156" s="657"/>
      <c r="CG156" s="657"/>
      <c r="CH156" s="657"/>
      <c r="CI156" s="657"/>
    </row>
    <row r="157" spans="1:87" ht="9.9499999999999993" customHeight="1">
      <c r="A157" s="1468" t="s">
        <v>14</v>
      </c>
      <c r="B157" s="1468"/>
      <c r="C157" s="1468"/>
      <c r="D157" s="1390"/>
      <c r="E157" s="1390"/>
      <c r="F157" s="1390"/>
      <c r="G157" s="691"/>
      <c r="H157" s="692"/>
      <c r="I157" s="692"/>
      <c r="J157" s="688"/>
      <c r="K157" s="1466"/>
      <c r="L157" s="1466"/>
      <c r="M157" s="1466"/>
      <c r="N157" s="1466"/>
      <c r="O157" s="1464"/>
      <c r="P157" s="1464"/>
      <c r="Q157" s="1464"/>
      <c r="R157" s="1464"/>
      <c r="S157" s="1464"/>
      <c r="T157" s="1464"/>
      <c r="U157" s="1464"/>
      <c r="V157" s="1464"/>
      <c r="W157" s="1464"/>
      <c r="X157" s="1464"/>
      <c r="Y157" s="663"/>
      <c r="Z157" s="671"/>
      <c r="AA157" s="663"/>
      <c r="AB157" s="663"/>
      <c r="AC157" s="663"/>
      <c r="AD157" s="671"/>
      <c r="AE157" s="663"/>
      <c r="AF157" s="663"/>
      <c r="AG157" s="939"/>
      <c r="AH157" s="670"/>
      <c r="AI157" s="939"/>
      <c r="AJ157" s="939"/>
      <c r="AK157" s="685"/>
      <c r="AL157" s="686"/>
      <c r="AM157" s="685"/>
      <c r="AN157" s="685"/>
      <c r="AO157" s="685"/>
      <c r="AP157" s="686"/>
      <c r="AQ157" s="685"/>
      <c r="AR157" s="685"/>
      <c r="AS157" s="685"/>
      <c r="AT157" s="686"/>
      <c r="AU157" s="685"/>
      <c r="AV157" s="685"/>
      <c r="AW157" s="685"/>
      <c r="AX157" s="686"/>
      <c r="AY157" s="685"/>
      <c r="AZ157" s="685"/>
      <c r="BA157" s="685"/>
      <c r="BB157" s="686"/>
      <c r="BC157" s="685"/>
      <c r="BD157" s="685"/>
      <c r="BE157" s="685"/>
      <c r="BF157" s="686"/>
      <c r="BG157" s="685"/>
      <c r="BH157" s="685"/>
      <c r="BI157" s="685"/>
      <c r="BJ157" s="686"/>
      <c r="BK157" s="685"/>
      <c r="BL157" s="685"/>
      <c r="BM157" s="685"/>
      <c r="BN157" s="686"/>
      <c r="BO157" s="685"/>
      <c r="BP157" s="685"/>
      <c r="BQ157" s="685"/>
      <c r="BR157" s="686"/>
      <c r="BS157" s="685"/>
      <c r="BT157" s="685"/>
      <c r="BU157" s="685"/>
      <c r="BV157" s="686"/>
      <c r="BW157" s="728"/>
      <c r="BX157" s="728"/>
      <c r="BY157" s="728"/>
      <c r="BZ157" s="729"/>
      <c r="CA157" s="668"/>
      <c r="CB157" s="657"/>
      <c r="CC157" s="657"/>
      <c r="CD157" s="657"/>
      <c r="CE157" s="657"/>
      <c r="CF157" s="657"/>
      <c r="CG157" s="657"/>
      <c r="CH157" s="657"/>
      <c r="CI157" s="657"/>
    </row>
    <row r="158" spans="1:87" ht="9.9499999999999993" customHeight="1">
      <c r="A158" s="1415"/>
      <c r="B158" s="1415"/>
      <c r="C158" s="1415"/>
      <c r="D158" s="1390"/>
      <c r="E158" s="1390"/>
      <c r="F158" s="1390"/>
      <c r="G158" s="691"/>
      <c r="H158" s="692"/>
      <c r="I158" s="692"/>
      <c r="J158" s="688"/>
      <c r="K158" s="1466"/>
      <c r="L158" s="1466"/>
      <c r="M158" s="1466"/>
      <c r="N158" s="1466"/>
      <c r="O158" s="1464"/>
      <c r="P158" s="1464"/>
      <c r="Q158" s="1464"/>
      <c r="R158" s="1464"/>
      <c r="S158" s="1464"/>
      <c r="T158" s="1464"/>
      <c r="U158" s="1464"/>
      <c r="V158" s="1464"/>
      <c r="W158" s="1464"/>
      <c r="X158" s="1464"/>
      <c r="Y158" s="663"/>
      <c r="Z158" s="671"/>
      <c r="AA158" s="663"/>
      <c r="AB158" s="663"/>
      <c r="AC158" s="663"/>
      <c r="AD158" s="671"/>
      <c r="AE158" s="663"/>
      <c r="AF158" s="663"/>
      <c r="AG158" s="939"/>
      <c r="AH158" s="670"/>
      <c r="AI158" s="939"/>
      <c r="AJ158" s="939"/>
      <c r="AK158" s="685"/>
      <c r="AL158" s="686"/>
      <c r="AM158" s="685"/>
      <c r="AN158" s="685"/>
      <c r="AO158" s="685"/>
      <c r="AP158" s="686"/>
      <c r="AQ158" s="685"/>
      <c r="AR158" s="685"/>
      <c r="AS158" s="685"/>
      <c r="AT158" s="686"/>
      <c r="AU158" s="685"/>
      <c r="AV158" s="685"/>
      <c r="AW158" s="685"/>
      <c r="AX158" s="686"/>
      <c r="AY158" s="685"/>
      <c r="AZ158" s="685"/>
      <c r="BA158" s="685"/>
      <c r="BB158" s="686"/>
      <c r="BC158" s="685"/>
      <c r="BD158" s="685"/>
      <c r="BE158" s="663"/>
      <c r="BF158" s="687"/>
      <c r="BG158" s="688"/>
      <c r="BH158" s="688"/>
      <c r="BI158" s="688"/>
      <c r="BJ158" s="687"/>
      <c r="BK158" s="688"/>
      <c r="BL158" s="688"/>
      <c r="BM158" s="688"/>
      <c r="BN158" s="687"/>
      <c r="BO158" s="688"/>
      <c r="BP158" s="688"/>
      <c r="BQ158" s="688"/>
      <c r="BR158" s="687"/>
      <c r="BS158" s="688"/>
      <c r="BT158" s="688"/>
      <c r="BU158" s="688"/>
      <c r="BV158" s="687"/>
      <c r="BW158" s="728"/>
      <c r="BX158" s="728"/>
      <c r="BY158" s="728"/>
      <c r="BZ158" s="729"/>
      <c r="CA158" s="672"/>
      <c r="CB158" s="657"/>
      <c r="CC158" s="657"/>
      <c r="CD158" s="657"/>
      <c r="CE158" s="657"/>
      <c r="CF158" s="657"/>
      <c r="CG158" s="657"/>
      <c r="CH158" s="657"/>
      <c r="CI158" s="657"/>
    </row>
    <row r="159" spans="1:87" ht="9.9499999999999993" customHeight="1">
      <c r="A159" s="1469"/>
      <c r="B159" s="1469"/>
      <c r="C159" s="1469"/>
      <c r="D159" s="1390"/>
      <c r="E159" s="1390"/>
      <c r="F159" s="1390"/>
      <c r="G159" s="691"/>
      <c r="H159" s="692"/>
      <c r="I159" s="692"/>
      <c r="J159" s="688"/>
      <c r="K159" s="1466"/>
      <c r="L159" s="1466"/>
      <c r="M159" s="1466"/>
      <c r="N159" s="1466"/>
      <c r="O159" s="1464"/>
      <c r="P159" s="1464"/>
      <c r="Q159" s="1464"/>
      <c r="R159" s="1464"/>
      <c r="S159" s="1464"/>
      <c r="T159" s="1464"/>
      <c r="U159" s="1464"/>
      <c r="V159" s="1464"/>
      <c r="W159" s="1464"/>
      <c r="X159" s="1464"/>
      <c r="Y159" s="663" t="s">
        <v>3097</v>
      </c>
      <c r="Z159" s="671"/>
      <c r="AA159" s="663"/>
      <c r="AB159" s="663"/>
      <c r="AC159" s="663"/>
      <c r="AD159" s="671"/>
      <c r="AE159" s="663"/>
      <c r="AF159" s="663"/>
      <c r="AG159" s="939"/>
      <c r="AH159" s="670"/>
      <c r="AI159" s="939"/>
      <c r="AJ159" s="939"/>
      <c r="AK159" s="688"/>
      <c r="AL159" s="687"/>
      <c r="AM159" s="688"/>
      <c r="AN159" s="688"/>
      <c r="AO159" s="688"/>
      <c r="AP159" s="687"/>
      <c r="AQ159" s="688"/>
      <c r="AR159" s="688"/>
      <c r="AS159" s="688"/>
      <c r="AT159" s="687"/>
      <c r="AU159" s="688"/>
      <c r="AV159" s="688"/>
      <c r="AW159" s="688"/>
      <c r="AX159" s="687"/>
      <c r="AY159" s="688"/>
      <c r="AZ159" s="688"/>
      <c r="BA159" s="688"/>
      <c r="BB159" s="687"/>
      <c r="BC159" s="688"/>
      <c r="BD159" s="688"/>
      <c r="BE159" s="688"/>
      <c r="BF159" s="687"/>
      <c r="BG159" s="688"/>
      <c r="BH159" s="688"/>
      <c r="BI159" s="688"/>
      <c r="BJ159" s="687"/>
      <c r="BK159" s="688"/>
      <c r="BL159" s="688"/>
      <c r="BM159" s="688"/>
      <c r="BN159" s="687"/>
      <c r="BO159" s="688"/>
      <c r="BP159" s="688"/>
      <c r="BQ159" s="688"/>
      <c r="BR159" s="687"/>
      <c r="BS159" s="688"/>
      <c r="BT159" s="688"/>
      <c r="BU159" s="688"/>
      <c r="BV159" s="687"/>
      <c r="BW159" s="728"/>
      <c r="BX159" s="728"/>
      <c r="BY159" s="728"/>
      <c r="BZ159" s="729"/>
      <c r="CA159" s="672"/>
      <c r="CB159" s="657"/>
      <c r="CC159" s="657"/>
      <c r="CD159" s="657"/>
      <c r="CE159" s="657"/>
      <c r="CF159" s="657"/>
      <c r="CG159" s="657"/>
      <c r="CH159" s="657"/>
      <c r="CI159" s="657"/>
    </row>
    <row r="160" spans="1:87" ht="9.9499999999999993" customHeight="1">
      <c r="A160" s="1473" t="s">
        <v>38</v>
      </c>
      <c r="B160" s="1473"/>
      <c r="C160" s="1473"/>
      <c r="D160" s="1390"/>
      <c r="E160" s="1390"/>
      <c r="F160" s="1390"/>
      <c r="G160" s="691"/>
      <c r="H160" s="692"/>
      <c r="I160" s="692"/>
      <c r="J160" s="688"/>
      <c r="K160" s="1466"/>
      <c r="L160" s="1466"/>
      <c r="M160" s="1466"/>
      <c r="N160" s="1466"/>
      <c r="O160" s="1464"/>
      <c r="P160" s="1464"/>
      <c r="Q160" s="1464"/>
      <c r="R160" s="1464"/>
      <c r="S160" s="1464"/>
      <c r="T160" s="1464"/>
      <c r="U160" s="1464"/>
      <c r="V160" s="1464"/>
      <c r="W160" s="1464"/>
      <c r="X160" s="1464"/>
      <c r="Y160" s="663"/>
      <c r="Z160" s="671"/>
      <c r="AA160" s="663"/>
      <c r="AB160" s="663"/>
      <c r="AC160" s="663"/>
      <c r="AD160" s="671"/>
      <c r="AE160" s="663"/>
      <c r="AF160" s="663"/>
      <c r="AG160" s="939"/>
      <c r="AH160" s="670"/>
      <c r="AI160" s="939"/>
      <c r="AJ160" s="939"/>
      <c r="AK160" s="685"/>
      <c r="AL160" s="686"/>
      <c r="AM160" s="685"/>
      <c r="AN160" s="685"/>
      <c r="AO160" s="685"/>
      <c r="AP160" s="686"/>
      <c r="AQ160" s="685"/>
      <c r="AR160" s="685"/>
      <c r="AS160" s="685"/>
      <c r="AT160" s="686"/>
      <c r="AU160" s="685"/>
      <c r="AV160" s="685"/>
      <c r="AW160" s="685"/>
      <c r="AX160" s="686"/>
      <c r="AY160" s="685"/>
      <c r="AZ160" s="685"/>
      <c r="BA160" s="685"/>
      <c r="BB160" s="686"/>
      <c r="BC160" s="685"/>
      <c r="BD160" s="685"/>
      <c r="BE160" s="685"/>
      <c r="BF160" s="686"/>
      <c r="BG160" s="685"/>
      <c r="BH160" s="685"/>
      <c r="BI160" s="685"/>
      <c r="BJ160" s="686"/>
      <c r="BK160" s="685"/>
      <c r="BL160" s="685"/>
      <c r="BM160" s="685"/>
      <c r="BN160" s="686"/>
      <c r="BO160" s="685"/>
      <c r="BP160" s="685"/>
      <c r="BQ160" s="685"/>
      <c r="BR160" s="686"/>
      <c r="BS160" s="685"/>
      <c r="BT160" s="685"/>
      <c r="BU160" s="685"/>
      <c r="BV160" s="686"/>
      <c r="BW160" s="728"/>
      <c r="BX160" s="728"/>
      <c r="BY160" s="728"/>
      <c r="BZ160" s="729"/>
      <c r="CA160" s="668"/>
      <c r="CB160" s="657"/>
      <c r="CC160" s="657"/>
      <c r="CD160" s="657"/>
      <c r="CE160" s="657"/>
      <c r="CF160" s="657"/>
      <c r="CG160" s="657"/>
      <c r="CH160" s="657"/>
      <c r="CI160" s="657"/>
    </row>
    <row r="161" spans="1:87" ht="9.9499999999999993" customHeight="1">
      <c r="A161" s="1474" t="str">
        <f>BK125</f>
        <v>木</v>
      </c>
      <c r="B161" s="1474"/>
      <c r="C161" s="1474"/>
      <c r="D161" s="1390"/>
      <c r="E161" s="1390"/>
      <c r="F161" s="1390"/>
      <c r="G161" s="691"/>
      <c r="H161" s="692"/>
      <c r="I161" s="692"/>
      <c r="J161" s="688"/>
      <c r="K161" s="1466"/>
      <c r="L161" s="1466"/>
      <c r="M161" s="1466"/>
      <c r="N161" s="1466"/>
      <c r="O161" s="1464"/>
      <c r="P161" s="1464"/>
      <c r="Q161" s="1464"/>
      <c r="R161" s="1464"/>
      <c r="S161" s="1464"/>
      <c r="T161" s="1464"/>
      <c r="U161" s="1464"/>
      <c r="V161" s="1464"/>
      <c r="W161" s="1464"/>
      <c r="X161" s="1464"/>
      <c r="Y161" s="663"/>
      <c r="Z161" s="671"/>
      <c r="AA161" s="663"/>
      <c r="AB161" s="663"/>
      <c r="AC161" s="663"/>
      <c r="AD161" s="671"/>
      <c r="AE161" s="663"/>
      <c r="AF161" s="663"/>
      <c r="AG161" s="939"/>
      <c r="AH161" s="670"/>
      <c r="AI161" s="939"/>
      <c r="AJ161" s="939"/>
      <c r="AK161" s="685"/>
      <c r="AL161" s="686"/>
      <c r="AM161" s="685"/>
      <c r="AN161" s="685"/>
      <c r="AO161" s="685"/>
      <c r="AP161" s="686"/>
      <c r="AQ161" s="685"/>
      <c r="AR161" s="685"/>
      <c r="AS161" s="685"/>
      <c r="AT161" s="686"/>
      <c r="AU161" s="685"/>
      <c r="AV161" s="685"/>
      <c r="AW161" s="685"/>
      <c r="AX161" s="686"/>
      <c r="AY161" s="685"/>
      <c r="AZ161" s="685"/>
      <c r="BA161" s="685"/>
      <c r="BB161" s="686"/>
      <c r="BC161" s="685"/>
      <c r="BD161" s="685"/>
      <c r="BE161" s="685"/>
      <c r="BF161" s="686"/>
      <c r="BG161" s="685"/>
      <c r="BH161" s="685"/>
      <c r="BI161" s="685"/>
      <c r="BJ161" s="686"/>
      <c r="BK161" s="685"/>
      <c r="BL161" s="685"/>
      <c r="BM161" s="685"/>
      <c r="BN161" s="686"/>
      <c r="BO161" s="685"/>
      <c r="BP161" s="685"/>
      <c r="BQ161" s="685"/>
      <c r="BR161" s="686"/>
      <c r="BS161" s="685"/>
      <c r="BT161" s="685"/>
      <c r="BU161" s="685"/>
      <c r="BV161" s="686"/>
      <c r="BW161" s="728"/>
      <c r="BX161" s="728"/>
      <c r="BY161" s="728"/>
      <c r="BZ161" s="729"/>
      <c r="CA161" s="668"/>
      <c r="CB161" s="657"/>
      <c r="CC161" s="657"/>
      <c r="CD161" s="657"/>
      <c r="CE161" s="657"/>
      <c r="CF161" s="657"/>
      <c r="CG161" s="657"/>
      <c r="CH161" s="657"/>
      <c r="CI161" s="657"/>
    </row>
    <row r="162" spans="1:87" ht="9.9499999999999993" customHeight="1">
      <c r="A162" s="1475"/>
      <c r="B162" s="1475"/>
      <c r="C162" s="1475"/>
      <c r="D162" s="1390"/>
      <c r="E162" s="1390"/>
      <c r="F162" s="1390"/>
      <c r="G162" s="691"/>
      <c r="H162" s="692"/>
      <c r="I162" s="692"/>
      <c r="J162" s="688"/>
      <c r="K162" s="1466"/>
      <c r="L162" s="1466"/>
      <c r="M162" s="1466"/>
      <c r="N162" s="1466"/>
      <c r="O162" s="1464"/>
      <c r="P162" s="1464"/>
      <c r="Q162" s="1464"/>
      <c r="R162" s="1464"/>
      <c r="S162" s="1464"/>
      <c r="T162" s="1464"/>
      <c r="U162" s="1464"/>
      <c r="V162" s="1464"/>
      <c r="W162" s="1464"/>
      <c r="X162" s="1464"/>
      <c r="Y162" s="663"/>
      <c r="Z162" s="671"/>
      <c r="AA162" s="663"/>
      <c r="AB162" s="663"/>
      <c r="AC162" s="663"/>
      <c r="AD162" s="671"/>
      <c r="AE162" s="663"/>
      <c r="AF162" s="663"/>
      <c r="AG162" s="939"/>
      <c r="AH162" s="670"/>
      <c r="AI162" s="939"/>
      <c r="AJ162" s="939"/>
      <c r="AK162" s="685"/>
      <c r="AL162" s="686"/>
      <c r="AM162" s="685"/>
      <c r="AN162" s="685"/>
      <c r="AO162" s="685"/>
      <c r="AP162" s="686"/>
      <c r="AQ162" s="685"/>
      <c r="AR162" s="685"/>
      <c r="AS162" s="685"/>
      <c r="AT162" s="686"/>
      <c r="AU162" s="685"/>
      <c r="AV162" s="685"/>
      <c r="AW162" s="685"/>
      <c r="AX162" s="686"/>
      <c r="AY162" s="685"/>
      <c r="AZ162" s="685"/>
      <c r="BA162" s="685"/>
      <c r="BB162" s="686"/>
      <c r="BC162" s="685"/>
      <c r="BD162" s="685"/>
      <c r="BE162" s="685"/>
      <c r="BF162" s="686"/>
      <c r="BG162" s="685"/>
      <c r="BH162" s="685"/>
      <c r="BI162" s="685"/>
      <c r="BJ162" s="686"/>
      <c r="BK162" s="685"/>
      <c r="BL162" s="685"/>
      <c r="BM162" s="685"/>
      <c r="BN162" s="686"/>
      <c r="BO162" s="685"/>
      <c r="BP162" s="685"/>
      <c r="BQ162" s="685"/>
      <c r="BR162" s="686"/>
      <c r="BS162" s="685"/>
      <c r="BT162" s="685"/>
      <c r="BU162" s="685"/>
      <c r="BV162" s="686"/>
      <c r="BW162" s="728"/>
      <c r="BX162" s="728"/>
      <c r="BY162" s="728"/>
      <c r="BZ162" s="729"/>
      <c r="CA162" s="668"/>
      <c r="CB162" s="657"/>
      <c r="CC162" s="657"/>
      <c r="CD162" s="657"/>
      <c r="CE162" s="657"/>
      <c r="CF162" s="657"/>
      <c r="CG162" s="657"/>
      <c r="CH162" s="657"/>
      <c r="CI162" s="657"/>
    </row>
    <row r="163" spans="1:87" ht="9.9499999999999993" customHeight="1">
      <c r="A163" s="1468" t="s">
        <v>37</v>
      </c>
      <c r="B163" s="1468"/>
      <c r="C163" s="1468"/>
      <c r="D163" s="1390"/>
      <c r="E163" s="1390"/>
      <c r="F163" s="1390"/>
      <c r="G163" s="695"/>
      <c r="H163" s="696"/>
      <c r="I163" s="696"/>
      <c r="J163" s="689"/>
      <c r="K163" s="1466"/>
      <c r="L163" s="1466"/>
      <c r="M163" s="1466"/>
      <c r="N163" s="1466"/>
      <c r="O163" s="1464"/>
      <c r="P163" s="1464"/>
      <c r="Q163" s="1464"/>
      <c r="R163" s="1464"/>
      <c r="S163" s="1464"/>
      <c r="T163" s="1464"/>
      <c r="U163" s="1464"/>
      <c r="V163" s="1464"/>
      <c r="W163" s="1464"/>
      <c r="X163" s="1464"/>
      <c r="Y163" s="676"/>
      <c r="Z163" s="676"/>
      <c r="AA163" s="706"/>
      <c r="AB163" s="676"/>
      <c r="AC163" s="676"/>
      <c r="AD163" s="676"/>
      <c r="AE163" s="706"/>
      <c r="AF163" s="676"/>
      <c r="AG163" s="940"/>
      <c r="AH163" s="941"/>
      <c r="AI163" s="940"/>
      <c r="AJ163" s="940"/>
      <c r="AK163" s="689"/>
      <c r="AL163" s="689"/>
      <c r="AM163" s="705"/>
      <c r="AN163" s="689"/>
      <c r="AO163" s="689"/>
      <c r="AP163" s="689"/>
      <c r="AQ163" s="705"/>
      <c r="AR163" s="689"/>
      <c r="AS163" s="689"/>
      <c r="AT163" s="689"/>
      <c r="AU163" s="705"/>
      <c r="AV163" s="689"/>
      <c r="AW163" s="689"/>
      <c r="AX163" s="689"/>
      <c r="AY163" s="705"/>
      <c r="AZ163" s="689"/>
      <c r="BA163" s="689"/>
      <c r="BB163" s="689"/>
      <c r="BC163" s="705"/>
      <c r="BD163" s="689"/>
      <c r="BE163" s="689"/>
      <c r="BF163" s="689"/>
      <c r="BG163" s="705"/>
      <c r="BH163" s="689"/>
      <c r="BI163" s="689"/>
      <c r="BJ163" s="689"/>
      <c r="BK163" s="705"/>
      <c r="BL163" s="689"/>
      <c r="BM163" s="689"/>
      <c r="BN163" s="689"/>
      <c r="BO163" s="705"/>
      <c r="BP163" s="689"/>
      <c r="BQ163" s="689"/>
      <c r="BR163" s="689"/>
      <c r="BS163" s="705"/>
      <c r="BT163" s="689"/>
      <c r="BU163" s="689"/>
      <c r="BV163" s="689"/>
      <c r="BW163" s="730"/>
      <c r="BX163" s="731"/>
      <c r="BY163" s="731"/>
      <c r="BZ163" s="732"/>
      <c r="CA163" s="679"/>
      <c r="CB163" s="657"/>
      <c r="CC163" s="657"/>
      <c r="CD163" s="657"/>
      <c r="CE163" s="657"/>
      <c r="CF163" s="657"/>
      <c r="CG163" s="657"/>
      <c r="CH163" s="657"/>
      <c r="CI163" s="657"/>
    </row>
    <row r="164" spans="1:87" ht="13.5" customHeight="1">
      <c r="A164" s="708"/>
      <c r="B164" s="708"/>
      <c r="C164" s="708"/>
      <c r="D164" s="708"/>
      <c r="E164" s="708"/>
      <c r="F164" s="708"/>
      <c r="G164" s="1461"/>
      <c r="H164" s="1461"/>
      <c r="I164" s="1391">
        <v>0.25</v>
      </c>
      <c r="J164" s="1391"/>
      <c r="K164" s="1391"/>
      <c r="L164" s="1391"/>
      <c r="M164" s="1391">
        <v>0.29166666666666669</v>
      </c>
      <c r="N164" s="1391"/>
      <c r="O164" s="1391"/>
      <c r="P164" s="1391"/>
      <c r="Q164" s="1391">
        <v>0.33333333333333331</v>
      </c>
      <c r="R164" s="1391"/>
      <c r="S164" s="1391"/>
      <c r="T164" s="1391"/>
      <c r="U164" s="1391">
        <v>0.375</v>
      </c>
      <c r="V164" s="1391"/>
      <c r="W164" s="1391"/>
      <c r="X164" s="1391"/>
      <c r="Y164" s="1391">
        <v>0.41666666666666669</v>
      </c>
      <c r="Z164" s="1418"/>
      <c r="AA164" s="1391"/>
      <c r="AB164" s="1391"/>
      <c r="AC164" s="1391">
        <v>0.45833333333333331</v>
      </c>
      <c r="AD164" s="1391"/>
      <c r="AE164" s="1391"/>
      <c r="AF164" s="1391"/>
      <c r="AG164" s="1385">
        <v>0.5</v>
      </c>
      <c r="AH164" s="1385"/>
      <c r="AI164" s="1385"/>
      <c r="AJ164" s="1385"/>
      <c r="AK164" s="1385">
        <v>4.1666666666666664E-2</v>
      </c>
      <c r="AL164" s="1385"/>
      <c r="AM164" s="1385"/>
      <c r="AN164" s="1385"/>
      <c r="AO164" s="1385">
        <v>8.3333333333333329E-2</v>
      </c>
      <c r="AP164" s="1385"/>
      <c r="AQ164" s="1385"/>
      <c r="AR164" s="1385"/>
      <c r="AS164" s="1385">
        <v>0.125</v>
      </c>
      <c r="AT164" s="1385"/>
      <c r="AU164" s="1385"/>
      <c r="AV164" s="1385"/>
      <c r="AW164" s="1385">
        <v>0.16666666666666666</v>
      </c>
      <c r="AX164" s="1385"/>
      <c r="AY164" s="1385"/>
      <c r="AZ164" s="1385"/>
      <c r="BA164" s="1385">
        <v>0.20833333333333334</v>
      </c>
      <c r="BB164" s="1385"/>
      <c r="BC164" s="1385"/>
      <c r="BD164" s="1385"/>
      <c r="BE164" s="1385">
        <v>0.25</v>
      </c>
      <c r="BF164" s="1385"/>
      <c r="BG164" s="1385"/>
      <c r="BH164" s="1385"/>
      <c r="BI164" s="1385">
        <v>0.29166666666666669</v>
      </c>
      <c r="BJ164" s="1385"/>
      <c r="BK164" s="1385"/>
      <c r="BL164" s="1385"/>
      <c r="BM164" s="1385">
        <v>0.33333333333333331</v>
      </c>
      <c r="BN164" s="1385"/>
      <c r="BO164" s="1385"/>
      <c r="BP164" s="1385"/>
      <c r="BQ164" s="1385">
        <v>0.375</v>
      </c>
      <c r="BR164" s="1385"/>
      <c r="BS164" s="1385"/>
      <c r="BT164" s="1385"/>
      <c r="BU164" s="1385">
        <v>0.41666666666666669</v>
      </c>
      <c r="BV164" s="1414"/>
      <c r="BW164" s="1414"/>
      <c r="BX164" s="1414"/>
      <c r="BY164" s="652"/>
      <c r="BZ164" s="652"/>
      <c r="CA164" s="652"/>
      <c r="CB164" s="657"/>
      <c r="CC164" s="657"/>
      <c r="CD164" s="657"/>
      <c r="CE164" s="657"/>
      <c r="CF164" s="657"/>
      <c r="CG164" s="657"/>
      <c r="CH164" s="657"/>
      <c r="CI164" s="657"/>
    </row>
    <row r="165" spans="1:87" ht="13.5" customHeight="1">
      <c r="A165" s="1415" t="s">
        <v>75</v>
      </c>
      <c r="B165" s="1415"/>
      <c r="C165" s="1415"/>
      <c r="D165" s="1463" t="s">
        <v>3103</v>
      </c>
      <c r="E165" s="1416"/>
      <c r="F165" s="1416"/>
      <c r="G165" s="1416"/>
      <c r="H165" s="1416"/>
      <c r="I165" s="1416"/>
      <c r="J165" s="1416"/>
      <c r="K165" s="1416"/>
      <c r="L165" s="1416"/>
      <c r="M165" s="1416"/>
      <c r="N165" s="1416"/>
      <c r="O165" s="1416"/>
      <c r="P165" s="1416"/>
      <c r="Q165" s="1416"/>
      <c r="R165" s="1416"/>
      <c r="S165" s="1416"/>
      <c r="T165" s="1416"/>
      <c r="U165" s="1416"/>
      <c r="V165" s="1416"/>
      <c r="W165" s="1416"/>
      <c r="X165" s="1416"/>
      <c r="Y165" s="1416"/>
      <c r="Z165" s="1416"/>
      <c r="AA165" s="1416"/>
      <c r="AB165" s="1416"/>
      <c r="AC165" s="1416"/>
      <c r="AD165" s="1416"/>
      <c r="AE165" s="1416"/>
      <c r="AF165" s="1416"/>
      <c r="AG165" s="1416"/>
      <c r="AH165" s="1416"/>
      <c r="AI165" s="1416"/>
      <c r="AJ165" s="1416"/>
      <c r="AK165" s="1416"/>
      <c r="AL165" s="1416"/>
      <c r="AM165" s="1416"/>
      <c r="AN165" s="1416"/>
      <c r="AO165" s="1416"/>
      <c r="AP165" s="1416"/>
      <c r="AQ165" s="1416"/>
      <c r="AR165" s="1416"/>
      <c r="AS165" s="1416"/>
      <c r="AT165" s="1416"/>
      <c r="AU165" s="1416"/>
      <c r="AV165" s="1416"/>
      <c r="AW165" s="1416"/>
      <c r="AX165" s="1416"/>
      <c r="AY165" s="1416"/>
      <c r="AZ165" s="1416"/>
      <c r="BA165" s="1416"/>
      <c r="BB165" s="1416"/>
      <c r="BC165" s="1416"/>
      <c r="BD165" s="1416"/>
      <c r="BE165" s="1416"/>
      <c r="BF165" s="1416"/>
      <c r="BG165" s="1416"/>
      <c r="BH165" s="1416"/>
      <c r="BI165" s="1416"/>
      <c r="BJ165" s="1416"/>
      <c r="BK165" s="1416"/>
      <c r="BL165" s="1416"/>
      <c r="BM165" s="1416"/>
      <c r="BN165" s="1416"/>
      <c r="BO165" s="1416"/>
      <c r="BP165" s="1416"/>
      <c r="BQ165" s="1416"/>
      <c r="BR165" s="1416"/>
      <c r="BS165" s="1416"/>
      <c r="BT165" s="1416"/>
      <c r="BU165" s="1416"/>
      <c r="BV165" s="1416"/>
      <c r="BW165" s="1416"/>
      <c r="BX165" s="1416"/>
      <c r="BY165" s="1416"/>
      <c r="BZ165" s="1416"/>
      <c r="CA165" s="672"/>
      <c r="CB165" s="709"/>
      <c r="CC165" s="709"/>
      <c r="CD165" s="709"/>
      <c r="CE165" s="709"/>
      <c r="CF165" s="709"/>
      <c r="CG165" s="709"/>
      <c r="CH165" s="709"/>
      <c r="CI165" s="709"/>
    </row>
    <row r="166" spans="1:87">
      <c r="A166" s="1415"/>
      <c r="B166" s="1415"/>
      <c r="C166" s="1415"/>
      <c r="D166" s="1416"/>
      <c r="E166" s="1416"/>
      <c r="F166" s="1416"/>
      <c r="G166" s="1416"/>
      <c r="H166" s="1416"/>
      <c r="I166" s="1416"/>
      <c r="J166" s="1416"/>
      <c r="K166" s="1416"/>
      <c r="L166" s="1416"/>
      <c r="M166" s="1416"/>
      <c r="N166" s="1416"/>
      <c r="O166" s="1416"/>
      <c r="P166" s="1416"/>
      <c r="Q166" s="1416"/>
      <c r="R166" s="1416"/>
      <c r="S166" s="1416"/>
      <c r="T166" s="1416"/>
      <c r="U166" s="1416"/>
      <c r="V166" s="1416"/>
      <c r="W166" s="1416"/>
      <c r="X166" s="1416"/>
      <c r="Y166" s="1416"/>
      <c r="Z166" s="1416"/>
      <c r="AA166" s="1416"/>
      <c r="AB166" s="1416"/>
      <c r="AC166" s="1416"/>
      <c r="AD166" s="1416"/>
      <c r="AE166" s="1416"/>
      <c r="AF166" s="1416"/>
      <c r="AG166" s="1416"/>
      <c r="AH166" s="1416"/>
      <c r="AI166" s="1416"/>
      <c r="AJ166" s="1416"/>
      <c r="AK166" s="1416"/>
      <c r="AL166" s="1416"/>
      <c r="AM166" s="1416"/>
      <c r="AN166" s="1416"/>
      <c r="AO166" s="1416"/>
      <c r="AP166" s="1416"/>
      <c r="AQ166" s="1416"/>
      <c r="AR166" s="1416"/>
      <c r="AS166" s="1416"/>
      <c r="AT166" s="1416"/>
      <c r="AU166" s="1416"/>
      <c r="AV166" s="1416"/>
      <c r="AW166" s="1416"/>
      <c r="AX166" s="1416"/>
      <c r="AY166" s="1416"/>
      <c r="AZ166" s="1416"/>
      <c r="BA166" s="1416"/>
      <c r="BB166" s="1416"/>
      <c r="BC166" s="1416"/>
      <c r="BD166" s="1416"/>
      <c r="BE166" s="1416"/>
      <c r="BF166" s="1416"/>
      <c r="BG166" s="1416"/>
      <c r="BH166" s="1416"/>
      <c r="BI166" s="1416"/>
      <c r="BJ166" s="1416"/>
      <c r="BK166" s="1416"/>
      <c r="BL166" s="1416"/>
      <c r="BM166" s="1416"/>
      <c r="BN166" s="1416"/>
      <c r="BO166" s="1416"/>
      <c r="BP166" s="1416"/>
      <c r="BQ166" s="1416"/>
      <c r="BR166" s="1416"/>
      <c r="BS166" s="1416"/>
      <c r="BT166" s="1416"/>
      <c r="BU166" s="1416"/>
      <c r="BV166" s="1416"/>
      <c r="BW166" s="1416"/>
      <c r="BX166" s="1416"/>
      <c r="BY166" s="1416"/>
      <c r="BZ166" s="1416"/>
      <c r="CA166" s="672"/>
      <c r="CB166" s="709"/>
      <c r="CC166" s="709"/>
      <c r="CD166" s="709"/>
      <c r="CE166" s="709"/>
      <c r="CF166" s="709"/>
      <c r="CG166" s="709"/>
      <c r="CH166" s="709"/>
      <c r="CI166" s="709"/>
    </row>
    <row r="167" spans="1:87">
      <c r="A167" s="1415"/>
      <c r="B167" s="1415"/>
      <c r="C167" s="1415"/>
      <c r="D167" s="1416"/>
      <c r="E167" s="1416"/>
      <c r="F167" s="1416"/>
      <c r="G167" s="1416"/>
      <c r="H167" s="1416"/>
      <c r="I167" s="1416"/>
      <c r="J167" s="1416"/>
      <c r="K167" s="1416"/>
      <c r="L167" s="1416"/>
      <c r="M167" s="1416"/>
      <c r="N167" s="1416"/>
      <c r="O167" s="1416"/>
      <c r="P167" s="1416"/>
      <c r="Q167" s="1416"/>
      <c r="R167" s="1416"/>
      <c r="S167" s="1416"/>
      <c r="T167" s="1416"/>
      <c r="U167" s="1416"/>
      <c r="V167" s="1416"/>
      <c r="W167" s="1416"/>
      <c r="X167" s="1416"/>
      <c r="Y167" s="1416"/>
      <c r="Z167" s="1416"/>
      <c r="AA167" s="1416"/>
      <c r="AB167" s="1416"/>
      <c r="AC167" s="1416"/>
      <c r="AD167" s="1416"/>
      <c r="AE167" s="1416"/>
      <c r="AF167" s="1416"/>
      <c r="AG167" s="1416"/>
      <c r="AH167" s="1416"/>
      <c r="AI167" s="1416"/>
      <c r="AJ167" s="1416"/>
      <c r="AK167" s="1416"/>
      <c r="AL167" s="1416"/>
      <c r="AM167" s="1416"/>
      <c r="AN167" s="1416"/>
      <c r="AO167" s="1416"/>
      <c r="AP167" s="1416"/>
      <c r="AQ167" s="1416"/>
      <c r="AR167" s="1416"/>
      <c r="AS167" s="1416"/>
      <c r="AT167" s="1416"/>
      <c r="AU167" s="1416"/>
      <c r="AV167" s="1416"/>
      <c r="AW167" s="1416"/>
      <c r="AX167" s="1416"/>
      <c r="AY167" s="1416"/>
      <c r="AZ167" s="1416"/>
      <c r="BA167" s="1416"/>
      <c r="BB167" s="1416"/>
      <c r="BC167" s="1416"/>
      <c r="BD167" s="1416"/>
      <c r="BE167" s="1416"/>
      <c r="BF167" s="1416"/>
      <c r="BG167" s="1416"/>
      <c r="BH167" s="1416"/>
      <c r="BI167" s="1416"/>
      <c r="BJ167" s="1416"/>
      <c r="BK167" s="1416"/>
      <c r="BL167" s="1416"/>
      <c r="BM167" s="1416"/>
      <c r="BN167" s="1416"/>
      <c r="BO167" s="1416"/>
      <c r="BP167" s="1416"/>
      <c r="BQ167" s="1416"/>
      <c r="BR167" s="1416"/>
      <c r="BS167" s="1416"/>
      <c r="BT167" s="1416"/>
      <c r="BU167" s="1416"/>
      <c r="BV167" s="1416"/>
      <c r="BW167" s="1416"/>
      <c r="BX167" s="1416"/>
      <c r="BY167" s="1416"/>
      <c r="BZ167" s="1416"/>
      <c r="CA167" s="672"/>
      <c r="CB167" s="709"/>
      <c r="CC167" s="709"/>
      <c r="CD167" s="709"/>
      <c r="CE167" s="709"/>
      <c r="CF167" s="709"/>
      <c r="CG167" s="709"/>
      <c r="CH167" s="709"/>
      <c r="CI167" s="709"/>
    </row>
    <row r="168" spans="1:87">
      <c r="A168" s="1415"/>
      <c r="B168" s="1415"/>
      <c r="C168" s="1415"/>
      <c r="D168" s="1416"/>
      <c r="E168" s="1416"/>
      <c r="F168" s="1416"/>
      <c r="G168" s="1416"/>
      <c r="H168" s="1416"/>
      <c r="I168" s="1416"/>
      <c r="J168" s="1416"/>
      <c r="K168" s="1416"/>
      <c r="L168" s="1416"/>
      <c r="M168" s="1416"/>
      <c r="N168" s="1416"/>
      <c r="O168" s="1416"/>
      <c r="P168" s="1416"/>
      <c r="Q168" s="1416"/>
      <c r="R168" s="1416"/>
      <c r="S168" s="1416"/>
      <c r="T168" s="1416"/>
      <c r="U168" s="1416"/>
      <c r="V168" s="1416"/>
      <c r="W168" s="1416"/>
      <c r="X168" s="1416"/>
      <c r="Y168" s="1416"/>
      <c r="Z168" s="1416"/>
      <c r="AA168" s="1416"/>
      <c r="AB168" s="1416"/>
      <c r="AC168" s="1416"/>
      <c r="AD168" s="1416"/>
      <c r="AE168" s="1416"/>
      <c r="AF168" s="1416"/>
      <c r="AG168" s="1416"/>
      <c r="AH168" s="1416"/>
      <c r="AI168" s="1416"/>
      <c r="AJ168" s="1416"/>
      <c r="AK168" s="1416"/>
      <c r="AL168" s="1416"/>
      <c r="AM168" s="1416"/>
      <c r="AN168" s="1416"/>
      <c r="AO168" s="1416"/>
      <c r="AP168" s="1416"/>
      <c r="AQ168" s="1416"/>
      <c r="AR168" s="1416"/>
      <c r="AS168" s="1416"/>
      <c r="AT168" s="1416"/>
      <c r="AU168" s="1416"/>
      <c r="AV168" s="1416"/>
      <c r="AW168" s="1416"/>
      <c r="AX168" s="1416"/>
      <c r="AY168" s="1416"/>
      <c r="AZ168" s="1416"/>
      <c r="BA168" s="1416"/>
      <c r="BB168" s="1416"/>
      <c r="BC168" s="1416"/>
      <c r="BD168" s="1416"/>
      <c r="BE168" s="1416"/>
      <c r="BF168" s="1416"/>
      <c r="BG168" s="1416"/>
      <c r="BH168" s="1416"/>
      <c r="BI168" s="1416"/>
      <c r="BJ168" s="1416"/>
      <c r="BK168" s="1416"/>
      <c r="BL168" s="1416"/>
      <c r="BM168" s="1416"/>
      <c r="BN168" s="1416"/>
      <c r="BO168" s="1416"/>
      <c r="BP168" s="1416"/>
      <c r="BQ168" s="1416"/>
      <c r="BR168" s="1416"/>
      <c r="BS168" s="1416"/>
      <c r="BT168" s="1416"/>
      <c r="BU168" s="1416"/>
      <c r="BV168" s="1416"/>
      <c r="BW168" s="1416"/>
      <c r="BX168" s="1416"/>
      <c r="BY168" s="1416"/>
      <c r="BZ168" s="1416"/>
      <c r="CA168" s="672"/>
      <c r="CB168" s="709"/>
      <c r="CC168" s="709"/>
      <c r="CD168" s="709"/>
      <c r="CE168" s="709"/>
      <c r="CF168" s="709"/>
      <c r="CG168" s="709"/>
      <c r="CH168" s="709"/>
      <c r="CI168" s="709"/>
    </row>
    <row r="169" spans="1:87">
      <c r="A169" s="1415"/>
      <c r="B169" s="1415"/>
      <c r="C169" s="1415"/>
      <c r="D169" s="1416"/>
      <c r="E169" s="1416"/>
      <c r="F169" s="1416"/>
      <c r="G169" s="1416"/>
      <c r="H169" s="1416"/>
      <c r="I169" s="1416"/>
      <c r="J169" s="1416"/>
      <c r="K169" s="1416"/>
      <c r="L169" s="1416"/>
      <c r="M169" s="1416"/>
      <c r="N169" s="1416"/>
      <c r="O169" s="1416"/>
      <c r="P169" s="1416"/>
      <c r="Q169" s="1416"/>
      <c r="R169" s="1416"/>
      <c r="S169" s="1416"/>
      <c r="T169" s="1416"/>
      <c r="U169" s="1416"/>
      <c r="V169" s="1416"/>
      <c r="W169" s="1416"/>
      <c r="X169" s="1416"/>
      <c r="Y169" s="1416"/>
      <c r="Z169" s="1416"/>
      <c r="AA169" s="1416"/>
      <c r="AB169" s="1416"/>
      <c r="AC169" s="1416"/>
      <c r="AD169" s="1416"/>
      <c r="AE169" s="1416"/>
      <c r="AF169" s="1416"/>
      <c r="AG169" s="1416"/>
      <c r="AH169" s="1416"/>
      <c r="AI169" s="1416"/>
      <c r="AJ169" s="1416"/>
      <c r="AK169" s="1416"/>
      <c r="AL169" s="1416"/>
      <c r="AM169" s="1416"/>
      <c r="AN169" s="1416"/>
      <c r="AO169" s="1416"/>
      <c r="AP169" s="1416"/>
      <c r="AQ169" s="1416"/>
      <c r="AR169" s="1416"/>
      <c r="AS169" s="1416"/>
      <c r="AT169" s="1416"/>
      <c r="AU169" s="1416"/>
      <c r="AV169" s="1416"/>
      <c r="AW169" s="1416"/>
      <c r="AX169" s="1416"/>
      <c r="AY169" s="1416"/>
      <c r="AZ169" s="1416"/>
      <c r="BA169" s="1416"/>
      <c r="BB169" s="1416"/>
      <c r="BC169" s="1416"/>
      <c r="BD169" s="1416"/>
      <c r="BE169" s="1416"/>
      <c r="BF169" s="1416"/>
      <c r="BG169" s="1416"/>
      <c r="BH169" s="1416"/>
      <c r="BI169" s="1416"/>
      <c r="BJ169" s="1416"/>
      <c r="BK169" s="1416"/>
      <c r="BL169" s="1416"/>
      <c r="BM169" s="1416"/>
      <c r="BN169" s="1416"/>
      <c r="BO169" s="1416"/>
      <c r="BP169" s="1416"/>
      <c r="BQ169" s="1416"/>
      <c r="BR169" s="1416"/>
      <c r="BS169" s="1416"/>
      <c r="BT169" s="1416"/>
      <c r="BU169" s="1416"/>
      <c r="BV169" s="1416"/>
      <c r="BW169" s="1416"/>
      <c r="BX169" s="1416"/>
      <c r="BY169" s="1416"/>
      <c r="BZ169" s="1416"/>
      <c r="CA169" s="672"/>
      <c r="CB169" s="709"/>
      <c r="CC169" s="709"/>
      <c r="CD169" s="709"/>
      <c r="CE169" s="709"/>
      <c r="CF169" s="709"/>
      <c r="CG169" s="709"/>
      <c r="CH169" s="709"/>
      <c r="CI169" s="709"/>
    </row>
    <row r="170" spans="1:87">
      <c r="A170" s="1417" t="s">
        <v>88</v>
      </c>
      <c r="B170" s="1417"/>
      <c r="C170" s="1417"/>
      <c r="D170" s="1417"/>
      <c r="E170" s="1417"/>
      <c r="F170" s="1417"/>
      <c r="G170" s="1417"/>
      <c r="H170" s="1417"/>
      <c r="I170" s="1417"/>
      <c r="J170" s="1417"/>
      <c r="K170" s="1417"/>
      <c r="L170" s="1417"/>
      <c r="M170" s="1417"/>
      <c r="N170" s="1417"/>
      <c r="O170" s="1417"/>
      <c r="P170" s="1417"/>
      <c r="Q170" s="1417"/>
      <c r="R170" s="1417"/>
      <c r="S170" s="1417"/>
      <c r="T170" s="1417"/>
      <c r="U170" s="1417"/>
      <c r="V170" s="1417"/>
      <c r="W170" s="1417"/>
      <c r="X170" s="1417"/>
      <c r="Y170" s="1417"/>
      <c r="Z170" s="1417"/>
      <c r="AA170" s="1417"/>
      <c r="AB170" s="1417"/>
      <c r="AC170" s="1417"/>
      <c r="AD170" s="1417"/>
      <c r="AE170" s="1417"/>
      <c r="AF170" s="1417"/>
      <c r="AG170" s="1417"/>
      <c r="AH170" s="1417"/>
      <c r="AI170" s="1417"/>
      <c r="AJ170" s="1417"/>
      <c r="AK170" s="1417"/>
      <c r="AL170" s="1417"/>
      <c r="AM170" s="1417"/>
      <c r="AN170" s="1417"/>
      <c r="AO170" s="1417"/>
      <c r="AP170" s="1417"/>
      <c r="AQ170" s="1417"/>
      <c r="AR170" s="1417"/>
      <c r="AS170" s="1417"/>
      <c r="AT170" s="1417"/>
      <c r="AU170" s="1417"/>
      <c r="AV170" s="1417"/>
      <c r="AW170" s="1417"/>
      <c r="AX170" s="1417"/>
      <c r="AY170" s="1417"/>
      <c r="AZ170" s="1417"/>
      <c r="BA170" s="1417"/>
      <c r="BB170" s="1417"/>
      <c r="BC170" s="1417"/>
      <c r="BD170" s="1417"/>
      <c r="BE170" s="1417"/>
      <c r="BF170" s="1417"/>
      <c r="BG170" s="1417"/>
      <c r="BH170" s="1417"/>
      <c r="BI170" s="1417"/>
      <c r="BJ170" s="1417"/>
      <c r="BK170" s="1417"/>
      <c r="BL170" s="1417"/>
      <c r="BM170" s="1417"/>
      <c r="BN170" s="1417"/>
      <c r="BO170" s="1417"/>
      <c r="BP170" s="1417"/>
      <c r="BQ170" s="1417"/>
      <c r="BR170" s="1417"/>
      <c r="BS170" s="1417"/>
      <c r="BT170" s="1417"/>
      <c r="BU170" s="1417"/>
      <c r="BV170" s="1417"/>
      <c r="BW170" s="1417"/>
      <c r="BX170" s="1417"/>
      <c r="BY170" s="1417"/>
      <c r="BZ170" s="1417"/>
      <c r="CA170" s="652"/>
      <c r="CB170" s="657"/>
      <c r="CC170" s="657"/>
      <c r="CD170" s="657"/>
      <c r="CE170" s="657"/>
      <c r="CF170" s="657"/>
      <c r="CG170" s="657"/>
      <c r="CH170" s="657"/>
      <c r="CI170" s="657"/>
    </row>
    <row r="171" spans="1:87">
      <c r="A171" s="1404" t="s">
        <v>87</v>
      </c>
      <c r="B171" s="1404"/>
      <c r="C171" s="1404"/>
      <c r="D171" s="1404"/>
      <c r="E171" s="1404"/>
      <c r="F171" s="1404"/>
      <c r="G171" s="1404"/>
      <c r="H171" s="1404"/>
      <c r="I171" s="1404"/>
      <c r="J171" s="1404"/>
      <c r="K171" s="1404"/>
      <c r="L171" s="1404"/>
      <c r="M171" s="1404"/>
      <c r="N171" s="1404"/>
      <c r="O171" s="1404"/>
      <c r="P171" s="1404"/>
      <c r="Q171" s="1404"/>
      <c r="R171" s="1404"/>
      <c r="S171" s="1404"/>
      <c r="T171" s="1404"/>
      <c r="U171" s="1404"/>
      <c r="V171" s="1404"/>
      <c r="W171" s="1404"/>
      <c r="X171" s="1404"/>
      <c r="Y171" s="1404"/>
      <c r="Z171" s="1404"/>
      <c r="AA171" s="1404"/>
      <c r="AB171" s="1404"/>
      <c r="AC171" s="1404"/>
      <c r="AD171" s="1404"/>
      <c r="AE171" s="1404"/>
      <c r="AF171" s="1404"/>
      <c r="AG171" s="1404"/>
      <c r="AH171" s="1404"/>
      <c r="AI171" s="1404"/>
      <c r="AJ171" s="1404"/>
      <c r="AK171" s="1404"/>
      <c r="AL171" s="1404"/>
      <c r="AM171" s="1404"/>
      <c r="AN171" s="1404"/>
      <c r="AO171" s="1404"/>
      <c r="AP171" s="1404"/>
      <c r="AQ171" s="1404"/>
      <c r="AR171" s="1404"/>
      <c r="AS171" s="1404"/>
      <c r="AT171" s="1404"/>
      <c r="AU171" s="1404"/>
      <c r="AV171" s="1404"/>
      <c r="AW171" s="1404"/>
      <c r="AX171" s="1404"/>
      <c r="AY171" s="1404"/>
      <c r="AZ171" s="1404"/>
      <c r="BA171" s="1404"/>
      <c r="BB171" s="1404"/>
      <c r="BC171" s="1404"/>
      <c r="BD171" s="1404"/>
      <c r="BE171" s="1404"/>
      <c r="BF171" s="1404"/>
      <c r="BG171" s="1404"/>
      <c r="BH171" s="1404"/>
      <c r="BI171" s="1404"/>
      <c r="BJ171" s="1404"/>
      <c r="BK171" s="1404"/>
      <c r="BL171" s="1404"/>
      <c r="BM171" s="1404"/>
      <c r="BN171" s="1404"/>
      <c r="BO171" s="1404"/>
      <c r="BP171" s="1404"/>
      <c r="BQ171" s="1404"/>
      <c r="BR171" s="1404"/>
      <c r="BS171" s="1404"/>
      <c r="BT171" s="1404"/>
      <c r="BU171" s="1404"/>
      <c r="BV171" s="1404"/>
      <c r="BW171" s="1404"/>
      <c r="BX171" s="1404"/>
      <c r="BY171" s="1404"/>
      <c r="BZ171" s="1404"/>
      <c r="CA171" s="652"/>
      <c r="CB171" s="657"/>
      <c r="CC171" s="657"/>
      <c r="CD171" s="657"/>
      <c r="CE171" s="657"/>
      <c r="CF171" s="657"/>
      <c r="CG171" s="657"/>
      <c r="CH171" s="657"/>
      <c r="CI171" s="657"/>
    </row>
    <row r="172" spans="1:87">
      <c r="A172" s="1404" t="s">
        <v>86</v>
      </c>
      <c r="B172" s="1404"/>
      <c r="C172" s="1404"/>
      <c r="D172" s="1404"/>
      <c r="E172" s="1404"/>
      <c r="F172" s="1404"/>
      <c r="G172" s="1404"/>
      <c r="H172" s="1404"/>
      <c r="I172" s="1404"/>
      <c r="J172" s="1404"/>
      <c r="K172" s="1404"/>
      <c r="L172" s="1404"/>
      <c r="M172" s="1404"/>
      <c r="N172" s="1404"/>
      <c r="O172" s="1404"/>
      <c r="P172" s="1404"/>
      <c r="Q172" s="1404"/>
      <c r="R172" s="1404"/>
      <c r="S172" s="1404"/>
      <c r="T172" s="1404"/>
      <c r="U172" s="1404"/>
      <c r="V172" s="1404"/>
      <c r="W172" s="1404"/>
      <c r="X172" s="1404"/>
      <c r="Y172" s="1404"/>
      <c r="Z172" s="1404"/>
      <c r="AA172" s="1404"/>
      <c r="AB172" s="1404"/>
      <c r="AC172" s="1404"/>
      <c r="AD172" s="1404"/>
      <c r="AE172" s="1404"/>
      <c r="AF172" s="1404"/>
      <c r="AG172" s="1404"/>
      <c r="AH172" s="1404"/>
      <c r="AI172" s="1404"/>
      <c r="AJ172" s="1404"/>
      <c r="AK172" s="1404"/>
      <c r="AL172" s="1404"/>
      <c r="AM172" s="1404"/>
      <c r="AN172" s="1404"/>
      <c r="AO172" s="1404"/>
      <c r="AP172" s="1404"/>
      <c r="AQ172" s="1404"/>
      <c r="AR172" s="1404"/>
      <c r="AS172" s="1404"/>
      <c r="AT172" s="1404"/>
      <c r="AU172" s="1404"/>
      <c r="AV172" s="1404"/>
      <c r="AW172" s="1404"/>
      <c r="AX172" s="1404"/>
      <c r="AY172" s="1404"/>
      <c r="AZ172" s="1404"/>
      <c r="BA172" s="1404"/>
      <c r="BB172" s="1404"/>
      <c r="BC172" s="1404"/>
      <c r="BD172" s="1404"/>
      <c r="BE172" s="1404"/>
      <c r="BF172" s="1404"/>
      <c r="BG172" s="1404"/>
      <c r="BH172" s="1404"/>
      <c r="BI172" s="1404"/>
      <c r="BJ172" s="1404"/>
      <c r="BK172" s="1404"/>
      <c r="BL172" s="1404"/>
      <c r="BM172" s="1404"/>
      <c r="BN172" s="1404"/>
      <c r="BO172" s="1404"/>
      <c r="BP172" s="1404"/>
      <c r="BQ172" s="1404"/>
      <c r="BR172" s="1404"/>
      <c r="BS172" s="1404"/>
      <c r="BT172" s="1404"/>
      <c r="BU172" s="1404"/>
      <c r="BV172" s="1404"/>
      <c r="BW172" s="1404"/>
      <c r="BX172" s="1404"/>
      <c r="BY172" s="1404"/>
      <c r="BZ172" s="1404"/>
      <c r="CA172" s="652"/>
      <c r="CB172" s="657"/>
      <c r="CC172" s="657"/>
      <c r="CD172" s="657"/>
      <c r="CE172" s="657"/>
      <c r="CF172" s="657"/>
      <c r="CG172" s="657"/>
      <c r="CH172" s="657"/>
      <c r="CI172" s="657"/>
    </row>
    <row r="173" spans="1:87" s="252" customFormat="1" ht="23.25">
      <c r="A173" s="1452" t="s">
        <v>3111</v>
      </c>
      <c r="B173" s="1452"/>
      <c r="C173" s="1452"/>
      <c r="D173" s="1452"/>
      <c r="E173" s="1452"/>
      <c r="F173" s="1452"/>
      <c r="G173" s="1452"/>
      <c r="H173" s="1452"/>
      <c r="I173" s="1452"/>
      <c r="J173" s="1452"/>
      <c r="K173" s="1452"/>
      <c r="L173" s="1452"/>
      <c r="M173" s="1452"/>
      <c r="N173" s="1452"/>
      <c r="O173" s="1452"/>
      <c r="P173" s="1452"/>
      <c r="Q173" s="1452"/>
      <c r="R173" s="1452"/>
      <c r="S173" s="1452"/>
      <c r="T173" s="1452"/>
      <c r="U173" s="1452"/>
      <c r="V173" s="1452"/>
      <c r="W173" s="1452"/>
      <c r="X173" s="1452"/>
      <c r="Y173" s="1452"/>
      <c r="Z173" s="1452"/>
      <c r="AA173" s="1452"/>
      <c r="AB173" s="1452"/>
      <c r="AC173" s="1452"/>
      <c r="AD173" s="1452"/>
      <c r="AE173" s="1452"/>
      <c r="AF173" s="1452"/>
      <c r="AG173" s="1452"/>
      <c r="AH173" s="1452"/>
      <c r="AI173" s="1452"/>
      <c r="AJ173" s="1452"/>
      <c r="AK173" s="1452"/>
      <c r="AL173" s="1452"/>
      <c r="AM173" s="1452"/>
      <c r="AN173" s="1452"/>
      <c r="AO173" s="1452"/>
      <c r="AP173" s="1452"/>
      <c r="AQ173" s="1452"/>
      <c r="AR173" s="1452"/>
      <c r="AS173" s="1452"/>
      <c r="AT173" s="1452"/>
      <c r="AU173" s="1452"/>
      <c r="AV173" s="1452"/>
      <c r="AW173" s="1452"/>
      <c r="AX173" s="1452"/>
      <c r="AY173" s="1452"/>
      <c r="AZ173" s="1452"/>
      <c r="BA173" s="1452"/>
      <c r="BB173" s="1452"/>
      <c r="BC173" s="1452"/>
      <c r="BD173" s="1452"/>
      <c r="BE173" s="1452"/>
      <c r="BF173" s="1452"/>
      <c r="BG173" s="1452"/>
      <c r="BH173" s="1452"/>
      <c r="BI173" s="1452"/>
      <c r="BJ173" s="1452"/>
      <c r="BK173" s="1452"/>
      <c r="BL173" s="1452"/>
      <c r="BM173" s="1452"/>
      <c r="BN173" s="1452"/>
      <c r="BO173" s="1452"/>
      <c r="BP173" s="1452"/>
      <c r="BQ173" s="1452"/>
      <c r="BR173" s="1452"/>
      <c r="BS173" s="1452"/>
      <c r="BT173" s="1452"/>
      <c r="BU173" s="1452"/>
      <c r="BV173" s="1452"/>
      <c r="BW173" s="1452"/>
      <c r="BX173" s="1452"/>
      <c r="BY173" s="1452"/>
      <c r="BZ173" s="1452"/>
      <c r="CA173" s="643"/>
      <c r="CB173" s="644"/>
      <c r="CC173" s="644"/>
      <c r="CD173" s="644"/>
      <c r="CE173" s="644"/>
      <c r="CF173" s="644"/>
      <c r="CG173" s="644"/>
      <c r="CH173" s="644"/>
      <c r="CI173" s="644"/>
    </row>
    <row r="174" spans="1:87" s="252" customFormat="1" ht="9.9499999999999993" customHeight="1">
      <c r="B174" s="749"/>
      <c r="C174" s="749"/>
      <c r="D174" s="749"/>
      <c r="E174" s="749"/>
      <c r="F174" s="749"/>
      <c r="G174" s="749"/>
      <c r="H174" s="749"/>
      <c r="I174" s="749"/>
      <c r="J174" s="749"/>
      <c r="K174" s="749"/>
      <c r="L174" s="749"/>
      <c r="M174" s="749"/>
      <c r="N174" s="749"/>
      <c r="O174" s="749"/>
      <c r="P174" s="749"/>
      <c r="Q174" s="749"/>
      <c r="R174" s="749"/>
      <c r="S174" s="749"/>
      <c r="T174" s="749"/>
      <c r="U174" s="749"/>
      <c r="V174" s="749"/>
      <c r="W174" s="749"/>
      <c r="X174" s="749"/>
      <c r="Y174" s="749"/>
      <c r="Z174" s="749"/>
      <c r="AA174" s="749"/>
      <c r="AB174" s="749"/>
      <c r="AC174" s="749"/>
      <c r="AD174" s="749"/>
      <c r="AE174" s="749"/>
      <c r="AF174" s="749"/>
      <c r="AG174" s="749"/>
      <c r="AH174" s="749"/>
      <c r="AI174" s="749"/>
      <c r="AJ174" s="749"/>
      <c r="AK174" s="749"/>
      <c r="AL174" s="749"/>
      <c r="AM174" s="749"/>
      <c r="AN174" s="749"/>
      <c r="AO174" s="749"/>
      <c r="AP174" s="749"/>
      <c r="AQ174" s="749"/>
      <c r="AR174" s="749"/>
      <c r="AS174" s="749"/>
      <c r="AT174" s="749"/>
      <c r="AW174" s="749"/>
      <c r="BW174" s="1453" t="s">
        <v>85</v>
      </c>
      <c r="BX174" s="1453"/>
      <c r="BY174" s="1454">
        <v>1</v>
      </c>
      <c r="BZ174" s="1454"/>
      <c r="CA174" s="294"/>
    </row>
    <row r="175" spans="1:87" s="252" customFormat="1" ht="9.9499999999999993" customHeight="1">
      <c r="B175" s="749"/>
      <c r="C175" s="749"/>
      <c r="D175" s="749"/>
      <c r="E175" s="749"/>
      <c r="F175" s="749"/>
      <c r="G175" s="749"/>
      <c r="H175" s="749"/>
      <c r="I175" s="749"/>
      <c r="J175" s="749"/>
      <c r="K175" s="749"/>
      <c r="L175" s="749"/>
      <c r="M175" s="749"/>
      <c r="N175" s="749"/>
      <c r="O175" s="749"/>
      <c r="P175" s="749"/>
      <c r="Q175" s="749"/>
      <c r="R175" s="749"/>
      <c r="S175" s="749"/>
      <c r="T175" s="749"/>
      <c r="U175" s="749"/>
      <c r="V175" s="749"/>
      <c r="W175" s="749"/>
      <c r="X175" s="749"/>
      <c r="Y175" s="749"/>
      <c r="Z175" s="749"/>
      <c r="AA175" s="749"/>
      <c r="AB175" s="749"/>
      <c r="AC175" s="749"/>
      <c r="AD175" s="749"/>
      <c r="AE175" s="749"/>
      <c r="AF175" s="749"/>
      <c r="AG175" s="749"/>
      <c r="AH175" s="749"/>
      <c r="AI175" s="749"/>
      <c r="AJ175" s="749"/>
      <c r="AK175" s="749"/>
      <c r="AL175" s="749"/>
      <c r="AM175" s="749"/>
      <c r="AN175" s="749"/>
      <c r="AO175" s="749"/>
      <c r="AP175" s="749"/>
      <c r="AQ175" s="749"/>
      <c r="AR175" s="749"/>
      <c r="AS175" s="749"/>
      <c r="AT175" s="749"/>
      <c r="AW175" s="749"/>
      <c r="CA175" s="294"/>
    </row>
    <row r="176" spans="1:87" s="252" customFormat="1" ht="12" customHeight="1">
      <c r="A176" s="1455" t="s">
        <v>84</v>
      </c>
      <c r="B176" s="1455"/>
      <c r="C176" s="1455"/>
      <c r="D176" s="1455"/>
      <c r="E176" s="1455"/>
      <c r="F176" s="1455"/>
      <c r="G176" s="1455"/>
      <c r="H176" s="1457" t="s">
        <v>3040</v>
      </c>
      <c r="I176" s="1457"/>
      <c r="J176" s="1457"/>
      <c r="K176" s="1457"/>
      <c r="L176" s="1457"/>
      <c r="M176" s="1457"/>
      <c r="N176" s="1457"/>
      <c r="O176" s="1457"/>
      <c r="P176" s="1457"/>
      <c r="Q176" s="1457"/>
      <c r="R176" s="1457"/>
      <c r="S176" s="1457"/>
      <c r="T176" s="1457"/>
      <c r="U176" s="1457"/>
      <c r="V176" s="1457"/>
      <c r="W176" s="1457"/>
      <c r="X176" s="1455" t="s">
        <v>82</v>
      </c>
      <c r="Y176" s="1455"/>
      <c r="Z176" s="1455"/>
      <c r="AA176" s="1455"/>
      <c r="AB176" s="1455"/>
      <c r="AC176" s="1455"/>
      <c r="AD176" s="1455"/>
      <c r="AE176" s="1459" t="s">
        <v>2927</v>
      </c>
      <c r="AF176" s="1459"/>
      <c r="AG176" s="1459"/>
      <c r="AH176" s="1459"/>
      <c r="AI176" s="1453" t="s">
        <v>16</v>
      </c>
      <c r="AJ176" s="1453"/>
      <c r="AK176" s="1459">
        <v>6</v>
      </c>
      <c r="AL176" s="1459"/>
      <c r="AM176" s="1453" t="s">
        <v>15</v>
      </c>
      <c r="AN176" s="1453"/>
      <c r="AO176" s="1459">
        <v>2</v>
      </c>
      <c r="AP176" s="1459"/>
      <c r="AQ176" s="1453" t="s">
        <v>14</v>
      </c>
      <c r="AR176" s="1453"/>
      <c r="AS176" s="1453" t="s">
        <v>38</v>
      </c>
      <c r="AT176" s="1453"/>
      <c r="AU176" s="1459" t="s">
        <v>3041</v>
      </c>
      <c r="AV176" s="1459"/>
      <c r="AW176" s="1453" t="s">
        <v>37</v>
      </c>
      <c r="AX176" s="1453"/>
      <c r="AY176" s="1453" t="s">
        <v>35</v>
      </c>
      <c r="AZ176" s="1453"/>
      <c r="BA176" s="1459">
        <v>6</v>
      </c>
      <c r="BB176" s="1459"/>
      <c r="BC176" s="1453" t="s">
        <v>15</v>
      </c>
      <c r="BD176" s="1453"/>
      <c r="BE176" s="1459">
        <v>3</v>
      </c>
      <c r="BF176" s="1459"/>
      <c r="BG176" s="1453" t="s">
        <v>14</v>
      </c>
      <c r="BH176" s="1453"/>
      <c r="BI176" s="1453" t="s">
        <v>38</v>
      </c>
      <c r="BJ176" s="1453"/>
      <c r="BK176" s="1459" t="s">
        <v>3042</v>
      </c>
      <c r="BL176" s="1459"/>
      <c r="BM176" s="1453" t="s">
        <v>37</v>
      </c>
      <c r="BN176" s="1453"/>
      <c r="BO176" s="1453"/>
      <c r="BP176" s="1511"/>
      <c r="BQ176" s="1453"/>
      <c r="BR176" s="1453"/>
      <c r="BS176" s="1508">
        <v>1</v>
      </c>
      <c r="BT176" s="1508"/>
      <c r="BU176" s="1453" t="s">
        <v>46</v>
      </c>
      <c r="BV176" s="1453"/>
      <c r="BW176" s="1508">
        <v>2</v>
      </c>
      <c r="BX176" s="1508"/>
      <c r="BY176" s="1453" t="s">
        <v>14</v>
      </c>
      <c r="BZ176" s="1453"/>
      <c r="CA176" s="294"/>
    </row>
    <row r="177" spans="1:87" s="252" customFormat="1" ht="12" customHeight="1">
      <c r="A177" s="1456"/>
      <c r="B177" s="1456"/>
      <c r="C177" s="1456"/>
      <c r="D177" s="1456"/>
      <c r="E177" s="1456"/>
      <c r="F177" s="1456"/>
      <c r="G177" s="1456"/>
      <c r="H177" s="1458"/>
      <c r="I177" s="1458"/>
      <c r="J177" s="1458"/>
      <c r="K177" s="1458"/>
      <c r="L177" s="1458"/>
      <c r="M177" s="1458"/>
      <c r="N177" s="1458"/>
      <c r="O177" s="1458"/>
      <c r="P177" s="1458"/>
      <c r="Q177" s="1458"/>
      <c r="R177" s="1458"/>
      <c r="S177" s="1458"/>
      <c r="T177" s="1458"/>
      <c r="U177" s="1458"/>
      <c r="V177" s="1458"/>
      <c r="W177" s="1458"/>
      <c r="X177" s="1456"/>
      <c r="Y177" s="1456"/>
      <c r="Z177" s="1456"/>
      <c r="AA177" s="1456"/>
      <c r="AB177" s="1456"/>
      <c r="AC177" s="1456"/>
      <c r="AD177" s="1456"/>
      <c r="AE177" s="1460"/>
      <c r="AF177" s="1460"/>
      <c r="AG177" s="1460"/>
      <c r="AH177" s="1460"/>
      <c r="AI177" s="1454"/>
      <c r="AJ177" s="1454"/>
      <c r="AK177" s="1460"/>
      <c r="AL177" s="1460"/>
      <c r="AM177" s="1454"/>
      <c r="AN177" s="1454"/>
      <c r="AO177" s="1460"/>
      <c r="AP177" s="1460"/>
      <c r="AQ177" s="1454"/>
      <c r="AR177" s="1454"/>
      <c r="AS177" s="1454"/>
      <c r="AT177" s="1454"/>
      <c r="AU177" s="1460"/>
      <c r="AV177" s="1460"/>
      <c r="AW177" s="1454"/>
      <c r="AX177" s="1454"/>
      <c r="AY177" s="1454"/>
      <c r="AZ177" s="1454"/>
      <c r="BA177" s="1460"/>
      <c r="BB177" s="1460"/>
      <c r="BC177" s="1454"/>
      <c r="BD177" s="1454"/>
      <c r="BE177" s="1460"/>
      <c r="BF177" s="1460"/>
      <c r="BG177" s="1454"/>
      <c r="BH177" s="1454"/>
      <c r="BI177" s="1454"/>
      <c r="BJ177" s="1454"/>
      <c r="BK177" s="1460"/>
      <c r="BL177" s="1460"/>
      <c r="BM177" s="1454"/>
      <c r="BN177" s="1454"/>
      <c r="BO177" s="1512"/>
      <c r="BP177" s="1512"/>
      <c r="BQ177" s="1454"/>
      <c r="BR177" s="1454"/>
      <c r="BS177" s="1454" t="s">
        <v>47</v>
      </c>
      <c r="BT177" s="1454"/>
      <c r="BU177" s="1454"/>
      <c r="BV177" s="1454"/>
      <c r="BW177" s="1509" t="e">
        <f>CONCATENATE('[1]01 使用承認申請書'!V166)</f>
        <v>#REF!</v>
      </c>
      <c r="BX177" s="1509"/>
      <c r="BY177" s="1454" t="s">
        <v>14</v>
      </c>
      <c r="BZ177" s="1454"/>
      <c r="CA177" s="294"/>
    </row>
    <row r="178" spans="1:87" s="252" customFormat="1" ht="12" customHeight="1">
      <c r="A178" s="744"/>
      <c r="B178" s="744"/>
      <c r="C178" s="744"/>
      <c r="D178" s="744"/>
      <c r="E178" s="744"/>
      <c r="F178" s="744"/>
      <c r="G178" s="744"/>
      <c r="H178" s="745"/>
      <c r="I178" s="745"/>
      <c r="J178" s="745"/>
      <c r="K178" s="745"/>
      <c r="L178" s="745"/>
      <c r="M178" s="745"/>
      <c r="N178" s="745"/>
      <c r="O178" s="745"/>
      <c r="P178" s="745"/>
      <c r="Q178" s="745"/>
      <c r="R178" s="745"/>
      <c r="S178" s="745"/>
      <c r="T178" s="745"/>
      <c r="U178" s="745"/>
      <c r="V178" s="745"/>
      <c r="W178" s="745"/>
      <c r="X178" s="744"/>
      <c r="Y178" s="744"/>
      <c r="Z178" s="744"/>
      <c r="AA178" s="744"/>
      <c r="AB178" s="744"/>
      <c r="AC178" s="744"/>
      <c r="AD178" s="744"/>
      <c r="AE178" s="741"/>
      <c r="AF178" s="741"/>
      <c r="AG178" s="742"/>
      <c r="AH178" s="648"/>
      <c r="AI178" s="746"/>
      <c r="AJ178" s="741"/>
      <c r="AK178" s="742"/>
      <c r="AL178" s="742"/>
      <c r="AM178" s="741"/>
      <c r="AN178" s="741"/>
      <c r="AO178" s="742"/>
      <c r="AP178" s="742"/>
      <c r="AQ178" s="741"/>
      <c r="AR178" s="741"/>
      <c r="AS178" s="741"/>
      <c r="AT178" s="741"/>
      <c r="AU178" s="742"/>
      <c r="AV178" s="742"/>
      <c r="AW178" s="741"/>
      <c r="AX178" s="741"/>
      <c r="AY178" s="741"/>
      <c r="AZ178" s="741"/>
      <c r="BA178" s="742"/>
      <c r="BB178" s="742"/>
      <c r="BC178" s="741"/>
      <c r="BD178" s="741"/>
      <c r="BE178" s="742"/>
      <c r="BF178" s="742"/>
      <c r="BG178" s="741"/>
      <c r="BH178" s="741"/>
      <c r="BI178" s="741"/>
      <c r="BJ178" s="741"/>
      <c r="BK178" s="742"/>
      <c r="BL178" s="742"/>
      <c r="BM178" s="741"/>
      <c r="BN178" s="741"/>
      <c r="BO178" s="743"/>
      <c r="BP178" s="743"/>
      <c r="BQ178" s="741"/>
      <c r="BR178" s="741"/>
      <c r="BS178" s="741"/>
      <c r="BT178" s="741"/>
      <c r="BU178" s="741"/>
      <c r="BV178" s="741"/>
      <c r="BW178" s="649"/>
      <c r="BX178" s="649"/>
      <c r="BY178" s="741"/>
      <c r="BZ178" s="741"/>
      <c r="CA178" s="294"/>
    </row>
    <row r="179" spans="1:87" ht="10.5" customHeight="1">
      <c r="A179" s="650"/>
      <c r="B179" s="650"/>
      <c r="C179" s="650"/>
      <c r="D179" s="650"/>
      <c r="E179" s="650"/>
      <c r="F179" s="650"/>
      <c r="G179" s="651"/>
      <c r="H179" s="650"/>
      <c r="I179" s="650"/>
      <c r="J179" s="650"/>
      <c r="K179" s="650"/>
      <c r="L179" s="650"/>
      <c r="M179" s="1505">
        <v>0.28125</v>
      </c>
      <c r="N179" s="1506"/>
      <c r="O179" s="1506"/>
      <c r="P179" s="1506"/>
      <c r="Q179" s="1507" t="s">
        <v>1901</v>
      </c>
      <c r="R179" s="1507"/>
      <c r="S179" s="1507"/>
      <c r="T179" s="1505">
        <v>0.36458333333333331</v>
      </c>
      <c r="U179" s="1506"/>
      <c r="V179" s="1506"/>
      <c r="W179" s="1506"/>
      <c r="X179" s="650"/>
      <c r="Y179" s="650"/>
      <c r="Z179" s="650"/>
      <c r="AA179" s="652"/>
      <c r="AB179" s="652"/>
      <c r="AC179" s="652"/>
      <c r="AD179" s="652"/>
      <c r="AE179" s="652"/>
      <c r="AF179" s="1505">
        <v>0.47916666666666669</v>
      </c>
      <c r="AG179" s="1506"/>
      <c r="AH179" s="1506"/>
      <c r="AI179" s="1506"/>
      <c r="AJ179" s="1507" t="s">
        <v>1901</v>
      </c>
      <c r="AK179" s="1507"/>
      <c r="AL179" s="1507"/>
      <c r="AM179" s="1505">
        <v>6.25E-2</v>
      </c>
      <c r="AN179" s="1506"/>
      <c r="AO179" s="1506"/>
      <c r="AP179" s="1506"/>
      <c r="AQ179" s="652"/>
      <c r="AR179" s="652"/>
      <c r="AS179" s="652"/>
      <c r="AT179" s="652"/>
      <c r="AU179" s="652"/>
      <c r="AV179" s="652"/>
      <c r="AW179" s="652"/>
      <c r="AX179" s="652"/>
      <c r="AY179" s="652"/>
      <c r="AZ179" s="652"/>
      <c r="BA179" s="1505">
        <v>0.20833333333333334</v>
      </c>
      <c r="BB179" s="1506"/>
      <c r="BC179" s="1506"/>
      <c r="BD179" s="1506"/>
      <c r="BE179" s="1507" t="s">
        <v>1901</v>
      </c>
      <c r="BF179" s="1507"/>
      <c r="BG179" s="1507"/>
      <c r="BH179" s="1507"/>
      <c r="BI179" s="1505">
        <v>0.29166666666666669</v>
      </c>
      <c r="BJ179" s="1506"/>
      <c r="BK179" s="1506"/>
      <c r="BL179" s="1506"/>
      <c r="BM179" s="652"/>
      <c r="BN179" s="652"/>
      <c r="BO179" s="652"/>
      <c r="BP179" s="652"/>
      <c r="BQ179" s="652"/>
      <c r="BR179" s="652"/>
      <c r="BS179" s="652"/>
      <c r="BT179" s="652"/>
      <c r="BU179" s="652"/>
      <c r="BV179" s="652"/>
      <c r="BW179" s="652"/>
      <c r="BX179" s="652"/>
      <c r="BY179" s="652"/>
      <c r="BZ179" s="652"/>
      <c r="CA179" s="652"/>
    </row>
    <row r="180" spans="1:87" ht="10.5" customHeight="1">
      <c r="A180" s="650"/>
      <c r="B180" s="650"/>
      <c r="C180" s="650"/>
      <c r="D180" s="650"/>
      <c r="E180" s="650"/>
      <c r="F180" s="650"/>
      <c r="G180" s="651"/>
      <c r="H180" s="650"/>
      <c r="I180" s="650"/>
      <c r="J180" s="650"/>
      <c r="K180" s="650"/>
      <c r="L180" s="650"/>
      <c r="M180" s="650"/>
      <c r="N180" s="650"/>
      <c r="O180" s="1491" t="s">
        <v>1837</v>
      </c>
      <c r="P180" s="1492"/>
      <c r="Q180" s="1492"/>
      <c r="R180" s="1492"/>
      <c r="S180" s="1492"/>
      <c r="T180" s="1493"/>
      <c r="U180" s="650"/>
      <c r="V180" s="650"/>
      <c r="W180" s="650"/>
      <c r="X180" s="650"/>
      <c r="Y180" s="650"/>
      <c r="Z180" s="650"/>
      <c r="AA180" s="652"/>
      <c r="AB180" s="652"/>
      <c r="AC180" s="652"/>
      <c r="AD180" s="652"/>
      <c r="AE180" s="652"/>
      <c r="AF180" s="654"/>
      <c r="AG180" s="654"/>
      <c r="AH180" s="1491" t="s">
        <v>1837</v>
      </c>
      <c r="AI180" s="1494"/>
      <c r="AJ180" s="1494"/>
      <c r="AK180" s="1494"/>
      <c r="AL180" s="1494"/>
      <c r="AM180" s="1494"/>
      <c r="AN180" s="1495"/>
      <c r="AO180" s="652"/>
      <c r="AP180" s="652"/>
      <c r="AQ180" s="652"/>
      <c r="AR180" s="652"/>
      <c r="AS180" s="652"/>
      <c r="AT180" s="652"/>
      <c r="AU180" s="652"/>
      <c r="AV180" s="652"/>
      <c r="AW180" s="652"/>
      <c r="AX180" s="652"/>
      <c r="AY180" s="652"/>
      <c r="AZ180" s="652"/>
      <c r="BA180" s="652"/>
      <c r="BB180" s="652"/>
      <c r="BC180" s="1496" t="s">
        <v>1837</v>
      </c>
      <c r="BD180" s="1494"/>
      <c r="BE180" s="1494"/>
      <c r="BF180" s="1494"/>
      <c r="BG180" s="1494"/>
      <c r="BH180" s="1494"/>
      <c r="BI180" s="1494"/>
      <c r="BJ180" s="1495"/>
      <c r="BK180" s="652"/>
      <c r="BL180" s="652"/>
      <c r="BM180" s="652"/>
      <c r="BN180" s="652"/>
      <c r="BO180" s="652"/>
      <c r="BP180" s="652"/>
      <c r="BQ180" s="652"/>
      <c r="BR180" s="652"/>
      <c r="BS180" s="652"/>
      <c r="BT180" s="652"/>
      <c r="BU180" s="652"/>
      <c r="BV180" s="652"/>
      <c r="BW180" s="652"/>
      <c r="BX180" s="652"/>
      <c r="BY180" s="652"/>
      <c r="BZ180" s="652"/>
      <c r="CA180" s="652"/>
    </row>
    <row r="181" spans="1:87" ht="10.5" customHeight="1">
      <c r="A181" s="1497" t="s">
        <v>80</v>
      </c>
      <c r="B181" s="1497"/>
      <c r="C181" s="1497"/>
      <c r="D181" s="1497" t="s">
        <v>79</v>
      </c>
      <c r="E181" s="1497"/>
      <c r="F181" s="1497"/>
      <c r="G181" s="651"/>
      <c r="H181" s="650"/>
      <c r="I181" s="650"/>
      <c r="J181" s="650"/>
      <c r="K181" s="650"/>
      <c r="L181" s="650"/>
      <c r="M181" s="650"/>
      <c r="N181" s="650"/>
      <c r="O181" s="650"/>
      <c r="P181" s="650"/>
      <c r="Q181" s="650"/>
      <c r="R181" s="650"/>
      <c r="S181" s="650"/>
      <c r="T181" s="650"/>
      <c r="U181" s="650"/>
      <c r="V181" s="650"/>
      <c r="W181" s="650"/>
      <c r="X181" s="650"/>
      <c r="Y181" s="650"/>
      <c r="Z181" s="650"/>
      <c r="AA181" s="652"/>
      <c r="AB181" s="652"/>
      <c r="AC181" s="652"/>
      <c r="AD181" s="652"/>
      <c r="AE181" s="652"/>
      <c r="AF181" s="654"/>
      <c r="AG181" s="654"/>
      <c r="AH181" s="655"/>
      <c r="AI181" s="1498" t="s">
        <v>1404</v>
      </c>
      <c r="AJ181" s="1498"/>
      <c r="AK181" s="1498"/>
      <c r="AL181" s="1498"/>
      <c r="AM181" s="1498"/>
      <c r="AN181" s="1498"/>
      <c r="AO181" s="1498"/>
      <c r="AP181" s="1498"/>
      <c r="AQ181" s="1498"/>
      <c r="AR181" s="1498"/>
      <c r="AS181" s="1498"/>
      <c r="AT181" s="1498"/>
      <c r="AU181" s="1498"/>
      <c r="AV181" s="1498"/>
      <c r="AW181" s="1498"/>
      <c r="AX181" s="1498"/>
      <c r="AY181" s="1499" t="s">
        <v>1405</v>
      </c>
      <c r="AZ181" s="1500"/>
      <c r="BA181" s="1500"/>
      <c r="BB181" s="1500"/>
      <c r="BC181" s="1500"/>
      <c r="BD181" s="1500"/>
      <c r="BE181" s="1500"/>
      <c r="BF181" s="1500"/>
      <c r="BG181" s="1500"/>
      <c r="BH181" s="1500"/>
      <c r="BI181" s="1500"/>
      <c r="BJ181" s="1500"/>
      <c r="BK181" s="1500"/>
      <c r="BL181" s="1500"/>
      <c r="BM181" s="1500"/>
      <c r="BN181" s="1500"/>
      <c r="BO181" s="1500"/>
      <c r="BP181" s="1500"/>
      <c r="BQ181" s="1500"/>
      <c r="BR181" s="1500"/>
      <c r="BS181" s="1500"/>
      <c r="BT181" s="1501"/>
      <c r="BU181" s="1502" t="s">
        <v>76</v>
      </c>
      <c r="BV181" s="1503"/>
      <c r="BW181" s="1503"/>
      <c r="BX181" s="1503"/>
      <c r="BY181" s="1503"/>
      <c r="BZ181" s="1504"/>
      <c r="CA181" s="652"/>
    </row>
    <row r="182" spans="1:87" ht="10.5" customHeight="1">
      <c r="A182" s="1497"/>
      <c r="B182" s="1497"/>
      <c r="C182" s="1497"/>
      <c r="D182" s="1497"/>
      <c r="E182" s="1497"/>
      <c r="F182" s="1497"/>
      <c r="G182" s="1461"/>
      <c r="H182" s="1461"/>
      <c r="I182" s="1391">
        <v>0.25</v>
      </c>
      <c r="J182" s="1391"/>
      <c r="K182" s="1391"/>
      <c r="L182" s="1391"/>
      <c r="M182" s="1391">
        <v>0.29166666666666669</v>
      </c>
      <c r="N182" s="1391"/>
      <c r="O182" s="1391"/>
      <c r="P182" s="1391"/>
      <c r="Q182" s="1391">
        <v>0.33333333333333331</v>
      </c>
      <c r="R182" s="1391"/>
      <c r="S182" s="1391"/>
      <c r="T182" s="1391"/>
      <c r="U182" s="1391">
        <v>0.375</v>
      </c>
      <c r="V182" s="1391"/>
      <c r="W182" s="1391"/>
      <c r="X182" s="1391"/>
      <c r="Y182" s="1391">
        <v>0.41666666666666669</v>
      </c>
      <c r="Z182" s="1418"/>
      <c r="AA182" s="1391"/>
      <c r="AB182" s="1391"/>
      <c r="AC182" s="1391">
        <v>0.45833333333333331</v>
      </c>
      <c r="AD182" s="1391"/>
      <c r="AE182" s="1391"/>
      <c r="AF182" s="1391"/>
      <c r="AG182" s="1385">
        <v>0.5</v>
      </c>
      <c r="AH182" s="1385"/>
      <c r="AI182" s="1385"/>
      <c r="AJ182" s="1385"/>
      <c r="AK182" s="1385">
        <v>4.1666666666666664E-2</v>
      </c>
      <c r="AL182" s="1385"/>
      <c r="AM182" s="1385"/>
      <c r="AN182" s="1385"/>
      <c r="AO182" s="1385">
        <v>8.3333333333333329E-2</v>
      </c>
      <c r="AP182" s="1385"/>
      <c r="AQ182" s="1385"/>
      <c r="AR182" s="1385"/>
      <c r="AS182" s="1385">
        <v>0.125</v>
      </c>
      <c r="AT182" s="1385"/>
      <c r="AU182" s="1385"/>
      <c r="AV182" s="1385"/>
      <c r="AW182" s="1385">
        <v>0.16666666666666666</v>
      </c>
      <c r="AX182" s="1385"/>
      <c r="AY182" s="1385"/>
      <c r="AZ182" s="1385"/>
      <c r="BA182" s="1385">
        <v>0.20833333333333334</v>
      </c>
      <c r="BB182" s="1385"/>
      <c r="BC182" s="1385"/>
      <c r="BD182" s="1385"/>
      <c r="BE182" s="1385">
        <v>0.25</v>
      </c>
      <c r="BF182" s="1385"/>
      <c r="BG182" s="1385"/>
      <c r="BH182" s="1385"/>
      <c r="BI182" s="1385">
        <v>0.29166666666666669</v>
      </c>
      <c r="BJ182" s="1385"/>
      <c r="BK182" s="1385"/>
      <c r="BL182" s="1385"/>
      <c r="BM182" s="1385">
        <v>0.33333333333333331</v>
      </c>
      <c r="BN182" s="1385"/>
      <c r="BO182" s="1385"/>
      <c r="BP182" s="1385"/>
      <c r="BQ182" s="1385">
        <v>0.375</v>
      </c>
      <c r="BR182" s="1385"/>
      <c r="BS182" s="1385"/>
      <c r="BT182" s="1385"/>
      <c r="BU182" s="1385">
        <v>0.41666666666666669</v>
      </c>
      <c r="BV182" s="1414"/>
      <c r="BW182" s="1414"/>
      <c r="BX182" s="1414"/>
      <c r="BY182" s="1385"/>
      <c r="BZ182" s="1385"/>
      <c r="CA182" s="656"/>
      <c r="CB182" s="657"/>
      <c r="CC182" s="657"/>
      <c r="CD182" s="657"/>
      <c r="CE182" s="657"/>
      <c r="CF182" s="657"/>
      <c r="CG182" s="657"/>
      <c r="CH182" s="657"/>
      <c r="CI182" s="657"/>
    </row>
    <row r="183" spans="1:87" ht="9.9499999999999993" customHeight="1">
      <c r="A183" s="1482">
        <f>AK176</f>
        <v>6</v>
      </c>
      <c r="B183" s="1482"/>
      <c r="C183" s="1482"/>
      <c r="D183" s="1390" t="s">
        <v>78</v>
      </c>
      <c r="E183" s="1390"/>
      <c r="F183" s="1390"/>
      <c r="G183" s="1395" t="s">
        <v>3026</v>
      </c>
      <c r="H183" s="1396"/>
      <c r="I183" s="1396"/>
      <c r="J183" s="1396"/>
      <c r="K183" s="1396"/>
      <c r="L183" s="1396"/>
      <c r="M183" s="1396"/>
      <c r="N183" s="1396"/>
      <c r="O183" s="1396"/>
      <c r="P183" s="1396"/>
      <c r="Q183" s="1396"/>
      <c r="R183" s="1396"/>
      <c r="S183" s="1396"/>
      <c r="T183" s="1396"/>
      <c r="U183" s="1396"/>
      <c r="V183" s="1397"/>
      <c r="W183" s="658"/>
      <c r="X183" s="658"/>
      <c r="Y183" s="658"/>
      <c r="Z183" s="658"/>
      <c r="AA183" s="1464" t="s">
        <v>3027</v>
      </c>
      <c r="AB183" s="1464"/>
      <c r="AC183" s="1422" t="s">
        <v>3134</v>
      </c>
      <c r="AD183" s="1423"/>
      <c r="AE183" s="1423"/>
      <c r="AF183" s="1423"/>
      <c r="AG183" s="1423"/>
      <c r="AH183" s="1423"/>
      <c r="AI183" s="1423"/>
      <c r="AJ183" s="1423"/>
      <c r="AK183" s="1423"/>
      <c r="AL183" s="1423"/>
      <c r="AM183" s="1423"/>
      <c r="AN183" s="1423"/>
      <c r="AO183" s="1423"/>
      <c r="AP183" s="1423"/>
      <c r="AQ183" s="1423"/>
      <c r="AR183" s="1424"/>
      <c r="AS183" s="1431" t="s">
        <v>3095</v>
      </c>
      <c r="AT183" s="1432"/>
      <c r="AU183" s="1422" t="s">
        <v>3109</v>
      </c>
      <c r="AV183" s="1443"/>
      <c r="AW183" s="1443"/>
      <c r="AX183" s="1443"/>
      <c r="AY183" s="1443"/>
      <c r="AZ183" s="1444"/>
      <c r="BA183" s="1431" t="s">
        <v>3092</v>
      </c>
      <c r="BB183" s="1432"/>
      <c r="BC183" s="1464" t="s">
        <v>3036</v>
      </c>
      <c r="BD183" s="1464"/>
      <c r="BE183" s="1464"/>
      <c r="BF183" s="1464"/>
      <c r="BG183" s="1465" t="s">
        <v>3016</v>
      </c>
      <c r="BH183" s="1465"/>
      <c r="BI183" s="1465"/>
      <c r="BJ183" s="1465"/>
      <c r="BK183" s="1464" t="s">
        <v>3014</v>
      </c>
      <c r="BL183" s="1464"/>
      <c r="BM183" s="1464"/>
      <c r="BN183" s="1464"/>
      <c r="BO183" s="1466" t="s">
        <v>3033</v>
      </c>
      <c r="BP183" s="1466"/>
      <c r="BQ183" s="1466"/>
      <c r="BR183" s="1466"/>
      <c r="BS183" s="1466" t="s">
        <v>3034</v>
      </c>
      <c r="BT183" s="1466"/>
      <c r="BU183" s="1464" t="s">
        <v>3028</v>
      </c>
      <c r="BV183" s="1464"/>
      <c r="BW183" s="1464"/>
      <c r="BX183" s="1464"/>
      <c r="BY183" s="1464"/>
      <c r="BZ183" s="1464"/>
      <c r="CA183" s="668"/>
      <c r="CB183" s="657"/>
      <c r="CC183" s="657"/>
      <c r="CD183" s="657"/>
      <c r="CE183" s="657"/>
      <c r="CF183" s="657"/>
      <c r="CG183" s="657"/>
      <c r="CH183" s="657"/>
      <c r="CI183" s="657"/>
    </row>
    <row r="184" spans="1:87" ht="9.9499999999999993" customHeight="1">
      <c r="A184" s="1482"/>
      <c r="B184" s="1482"/>
      <c r="C184" s="1482"/>
      <c r="D184" s="1390"/>
      <c r="E184" s="1390"/>
      <c r="F184" s="1390"/>
      <c r="G184" s="1398"/>
      <c r="H184" s="1399"/>
      <c r="I184" s="1399"/>
      <c r="J184" s="1399"/>
      <c r="K184" s="1399"/>
      <c r="L184" s="1399"/>
      <c r="M184" s="1399"/>
      <c r="N184" s="1399"/>
      <c r="O184" s="1399"/>
      <c r="P184" s="1399"/>
      <c r="Q184" s="1399"/>
      <c r="R184" s="1399"/>
      <c r="S184" s="1399"/>
      <c r="T184" s="1399"/>
      <c r="U184" s="1399"/>
      <c r="V184" s="1400"/>
      <c r="W184" s="669"/>
      <c r="X184" s="669"/>
      <c r="Y184" s="669"/>
      <c r="Z184" s="669"/>
      <c r="AA184" s="1464"/>
      <c r="AB184" s="1464"/>
      <c r="AC184" s="1425"/>
      <c r="AD184" s="1426"/>
      <c r="AE184" s="1426"/>
      <c r="AF184" s="1426"/>
      <c r="AG184" s="1426"/>
      <c r="AH184" s="1426"/>
      <c r="AI184" s="1426"/>
      <c r="AJ184" s="1426"/>
      <c r="AK184" s="1426"/>
      <c r="AL184" s="1426"/>
      <c r="AM184" s="1426"/>
      <c r="AN184" s="1426"/>
      <c r="AO184" s="1426"/>
      <c r="AP184" s="1426"/>
      <c r="AQ184" s="1426"/>
      <c r="AR184" s="1427"/>
      <c r="AS184" s="1433"/>
      <c r="AT184" s="1434"/>
      <c r="AU184" s="1445"/>
      <c r="AV184" s="1446"/>
      <c r="AW184" s="1446"/>
      <c r="AX184" s="1446"/>
      <c r="AY184" s="1446"/>
      <c r="AZ184" s="1447"/>
      <c r="BA184" s="1433"/>
      <c r="BB184" s="1434"/>
      <c r="BC184" s="1464"/>
      <c r="BD184" s="1464"/>
      <c r="BE184" s="1464"/>
      <c r="BF184" s="1464"/>
      <c r="BG184" s="1465"/>
      <c r="BH184" s="1465"/>
      <c r="BI184" s="1465"/>
      <c r="BJ184" s="1465"/>
      <c r="BK184" s="1464"/>
      <c r="BL184" s="1464"/>
      <c r="BM184" s="1464"/>
      <c r="BN184" s="1464"/>
      <c r="BO184" s="1466"/>
      <c r="BP184" s="1466"/>
      <c r="BQ184" s="1466"/>
      <c r="BR184" s="1466"/>
      <c r="BS184" s="1466"/>
      <c r="BT184" s="1466"/>
      <c r="BU184" s="1464"/>
      <c r="BV184" s="1464"/>
      <c r="BW184" s="1464"/>
      <c r="BX184" s="1464"/>
      <c r="BY184" s="1464"/>
      <c r="BZ184" s="1464"/>
      <c r="CA184" s="668"/>
      <c r="CB184" s="657"/>
      <c r="CC184" s="657"/>
      <c r="CD184" s="657"/>
      <c r="CE184" s="657"/>
      <c r="CF184" s="657"/>
      <c r="CG184" s="657"/>
      <c r="CH184" s="657"/>
      <c r="CI184" s="657"/>
    </row>
    <row r="185" spans="1:87" ht="9.9499999999999993" customHeight="1">
      <c r="A185" s="1483"/>
      <c r="B185" s="1483"/>
      <c r="C185" s="1483"/>
      <c r="D185" s="1390"/>
      <c r="E185" s="1390"/>
      <c r="F185" s="1390"/>
      <c r="G185" s="1398"/>
      <c r="H185" s="1399"/>
      <c r="I185" s="1399"/>
      <c r="J185" s="1399"/>
      <c r="K185" s="1399"/>
      <c r="L185" s="1399"/>
      <c r="M185" s="1399"/>
      <c r="N185" s="1399"/>
      <c r="O185" s="1399"/>
      <c r="P185" s="1399"/>
      <c r="Q185" s="1399"/>
      <c r="R185" s="1399"/>
      <c r="S185" s="1399"/>
      <c r="T185" s="1399"/>
      <c r="U185" s="1399"/>
      <c r="V185" s="1400"/>
      <c r="W185" s="669"/>
      <c r="X185" s="669"/>
      <c r="Y185" s="669"/>
      <c r="Z185" s="669"/>
      <c r="AA185" s="1464"/>
      <c r="AB185" s="1464"/>
      <c r="AC185" s="1425"/>
      <c r="AD185" s="1426"/>
      <c r="AE185" s="1426"/>
      <c r="AF185" s="1426"/>
      <c r="AG185" s="1426"/>
      <c r="AH185" s="1426"/>
      <c r="AI185" s="1426"/>
      <c r="AJ185" s="1426"/>
      <c r="AK185" s="1426"/>
      <c r="AL185" s="1426"/>
      <c r="AM185" s="1426"/>
      <c r="AN185" s="1426"/>
      <c r="AO185" s="1426"/>
      <c r="AP185" s="1426"/>
      <c r="AQ185" s="1426"/>
      <c r="AR185" s="1427"/>
      <c r="AS185" s="1433"/>
      <c r="AT185" s="1434"/>
      <c r="AU185" s="1445"/>
      <c r="AV185" s="1446"/>
      <c r="AW185" s="1446"/>
      <c r="AX185" s="1446"/>
      <c r="AY185" s="1446"/>
      <c r="AZ185" s="1447"/>
      <c r="BA185" s="1433"/>
      <c r="BB185" s="1434"/>
      <c r="BC185" s="1464"/>
      <c r="BD185" s="1464"/>
      <c r="BE185" s="1464"/>
      <c r="BF185" s="1464"/>
      <c r="BG185" s="1465"/>
      <c r="BH185" s="1465"/>
      <c r="BI185" s="1465"/>
      <c r="BJ185" s="1465"/>
      <c r="BK185" s="1464"/>
      <c r="BL185" s="1464"/>
      <c r="BM185" s="1464"/>
      <c r="BN185" s="1464"/>
      <c r="BO185" s="1466"/>
      <c r="BP185" s="1466"/>
      <c r="BQ185" s="1466"/>
      <c r="BR185" s="1466"/>
      <c r="BS185" s="1466"/>
      <c r="BT185" s="1466"/>
      <c r="BU185" s="1464"/>
      <c r="BV185" s="1464"/>
      <c r="BW185" s="1464"/>
      <c r="BX185" s="1464"/>
      <c r="BY185" s="1464"/>
      <c r="BZ185" s="1464"/>
      <c r="CA185" s="672"/>
      <c r="CB185" s="657"/>
      <c r="CC185" s="657"/>
      <c r="CD185" s="657"/>
      <c r="CE185" s="657"/>
      <c r="CF185" s="657"/>
      <c r="CG185" s="657"/>
      <c r="CH185" s="657"/>
      <c r="CI185" s="657"/>
    </row>
    <row r="186" spans="1:87" ht="9.9499999999999993" customHeight="1">
      <c r="A186" s="1389" t="s">
        <v>15</v>
      </c>
      <c r="B186" s="1389"/>
      <c r="C186" s="1389"/>
      <c r="D186" s="1390"/>
      <c r="E186" s="1390"/>
      <c r="F186" s="1390"/>
      <c r="G186" s="1398"/>
      <c r="H186" s="1399"/>
      <c r="I186" s="1399"/>
      <c r="J186" s="1399"/>
      <c r="K186" s="1399"/>
      <c r="L186" s="1399"/>
      <c r="M186" s="1399"/>
      <c r="N186" s="1399"/>
      <c r="O186" s="1399"/>
      <c r="P186" s="1399"/>
      <c r="Q186" s="1399"/>
      <c r="R186" s="1399"/>
      <c r="S186" s="1399"/>
      <c r="T186" s="1399"/>
      <c r="U186" s="1399"/>
      <c r="V186" s="1400"/>
      <c r="W186" s="669"/>
      <c r="X186" s="669"/>
      <c r="Y186" s="669"/>
      <c r="Z186" s="669"/>
      <c r="AA186" s="1464"/>
      <c r="AB186" s="1464"/>
      <c r="AC186" s="1425"/>
      <c r="AD186" s="1426"/>
      <c r="AE186" s="1426"/>
      <c r="AF186" s="1426"/>
      <c r="AG186" s="1426"/>
      <c r="AH186" s="1426"/>
      <c r="AI186" s="1426"/>
      <c r="AJ186" s="1426"/>
      <c r="AK186" s="1426"/>
      <c r="AL186" s="1426"/>
      <c r="AM186" s="1426"/>
      <c r="AN186" s="1426"/>
      <c r="AO186" s="1426"/>
      <c r="AP186" s="1426"/>
      <c r="AQ186" s="1426"/>
      <c r="AR186" s="1427"/>
      <c r="AS186" s="1433"/>
      <c r="AT186" s="1434"/>
      <c r="AU186" s="1445"/>
      <c r="AV186" s="1446"/>
      <c r="AW186" s="1446"/>
      <c r="AX186" s="1446"/>
      <c r="AY186" s="1446"/>
      <c r="AZ186" s="1447"/>
      <c r="BA186" s="1433"/>
      <c r="BB186" s="1434"/>
      <c r="BC186" s="1464"/>
      <c r="BD186" s="1464"/>
      <c r="BE186" s="1464"/>
      <c r="BF186" s="1464"/>
      <c r="BG186" s="1465"/>
      <c r="BH186" s="1465"/>
      <c r="BI186" s="1465"/>
      <c r="BJ186" s="1465"/>
      <c r="BK186" s="1464"/>
      <c r="BL186" s="1464"/>
      <c r="BM186" s="1464"/>
      <c r="BN186" s="1464"/>
      <c r="BO186" s="1466"/>
      <c r="BP186" s="1466"/>
      <c r="BQ186" s="1466"/>
      <c r="BR186" s="1466"/>
      <c r="BS186" s="1466"/>
      <c r="BT186" s="1466"/>
      <c r="BU186" s="1464"/>
      <c r="BV186" s="1464"/>
      <c r="BW186" s="1464"/>
      <c r="BX186" s="1464"/>
      <c r="BY186" s="1464"/>
      <c r="BZ186" s="1464"/>
      <c r="CA186" s="672"/>
      <c r="CB186" s="657"/>
      <c r="CC186" s="657"/>
      <c r="CD186" s="657"/>
      <c r="CE186" s="657"/>
      <c r="CF186" s="657"/>
      <c r="CG186" s="657"/>
      <c r="CH186" s="657"/>
      <c r="CI186" s="657"/>
    </row>
    <row r="187" spans="1:87" ht="9.9499999999999993" customHeight="1">
      <c r="A187" s="1390"/>
      <c r="B187" s="1390"/>
      <c r="C187" s="1390"/>
      <c r="D187" s="1390"/>
      <c r="E187" s="1390"/>
      <c r="F187" s="1390"/>
      <c r="G187" s="1398"/>
      <c r="H187" s="1399"/>
      <c r="I187" s="1399"/>
      <c r="J187" s="1399"/>
      <c r="K187" s="1399"/>
      <c r="L187" s="1399"/>
      <c r="M187" s="1399"/>
      <c r="N187" s="1399"/>
      <c r="O187" s="1399"/>
      <c r="P187" s="1399"/>
      <c r="Q187" s="1399"/>
      <c r="R187" s="1399"/>
      <c r="S187" s="1399"/>
      <c r="T187" s="1399"/>
      <c r="U187" s="1399"/>
      <c r="V187" s="1400"/>
      <c r="W187" s="669"/>
      <c r="X187" s="669"/>
      <c r="Y187" s="669"/>
      <c r="Z187" s="669"/>
      <c r="AA187" s="1464"/>
      <c r="AB187" s="1464"/>
      <c r="AC187" s="1425"/>
      <c r="AD187" s="1426"/>
      <c r="AE187" s="1426"/>
      <c r="AF187" s="1426"/>
      <c r="AG187" s="1426"/>
      <c r="AH187" s="1426"/>
      <c r="AI187" s="1426"/>
      <c r="AJ187" s="1426"/>
      <c r="AK187" s="1426"/>
      <c r="AL187" s="1426"/>
      <c r="AM187" s="1426"/>
      <c r="AN187" s="1426"/>
      <c r="AO187" s="1426"/>
      <c r="AP187" s="1426"/>
      <c r="AQ187" s="1426"/>
      <c r="AR187" s="1427"/>
      <c r="AS187" s="1433"/>
      <c r="AT187" s="1434"/>
      <c r="AU187" s="1445"/>
      <c r="AV187" s="1446"/>
      <c r="AW187" s="1446"/>
      <c r="AX187" s="1446"/>
      <c r="AY187" s="1446"/>
      <c r="AZ187" s="1447"/>
      <c r="BA187" s="1433"/>
      <c r="BB187" s="1434"/>
      <c r="BC187" s="1464"/>
      <c r="BD187" s="1464"/>
      <c r="BE187" s="1464"/>
      <c r="BF187" s="1464"/>
      <c r="BG187" s="1465"/>
      <c r="BH187" s="1465"/>
      <c r="BI187" s="1465"/>
      <c r="BJ187" s="1465"/>
      <c r="BK187" s="1464"/>
      <c r="BL187" s="1464"/>
      <c r="BM187" s="1464"/>
      <c r="BN187" s="1464"/>
      <c r="BO187" s="1466"/>
      <c r="BP187" s="1466"/>
      <c r="BQ187" s="1466"/>
      <c r="BR187" s="1466"/>
      <c r="BS187" s="1466"/>
      <c r="BT187" s="1466"/>
      <c r="BU187" s="1464"/>
      <c r="BV187" s="1464"/>
      <c r="BW187" s="1464"/>
      <c r="BX187" s="1464"/>
      <c r="BY187" s="1464"/>
      <c r="BZ187" s="1464"/>
      <c r="CA187" s="668"/>
      <c r="CB187" s="657"/>
      <c r="CC187" s="657"/>
      <c r="CD187" s="657"/>
      <c r="CE187" s="657"/>
      <c r="CF187" s="657"/>
      <c r="CG187" s="657"/>
      <c r="CH187" s="657"/>
      <c r="CI187" s="657"/>
    </row>
    <row r="188" spans="1:87" ht="9.9499999999999993" customHeight="1">
      <c r="A188" s="1484"/>
      <c r="B188" s="1484"/>
      <c r="C188" s="1484"/>
      <c r="D188" s="1390"/>
      <c r="E188" s="1390"/>
      <c r="F188" s="1390"/>
      <c r="G188" s="1398"/>
      <c r="H188" s="1399"/>
      <c r="I188" s="1399"/>
      <c r="J188" s="1399"/>
      <c r="K188" s="1399"/>
      <c r="L188" s="1399"/>
      <c r="M188" s="1399"/>
      <c r="N188" s="1399"/>
      <c r="O188" s="1399"/>
      <c r="P188" s="1399"/>
      <c r="Q188" s="1399"/>
      <c r="R188" s="1399"/>
      <c r="S188" s="1399"/>
      <c r="T188" s="1399"/>
      <c r="U188" s="1399"/>
      <c r="V188" s="1400"/>
      <c r="W188" s="669"/>
      <c r="X188" s="669"/>
      <c r="Y188" s="669"/>
      <c r="Z188" s="669"/>
      <c r="AA188" s="1464"/>
      <c r="AB188" s="1464"/>
      <c r="AC188" s="1425"/>
      <c r="AD188" s="1426"/>
      <c r="AE188" s="1426"/>
      <c r="AF188" s="1426"/>
      <c r="AG188" s="1426"/>
      <c r="AH188" s="1426"/>
      <c r="AI188" s="1426"/>
      <c r="AJ188" s="1426"/>
      <c r="AK188" s="1426"/>
      <c r="AL188" s="1426"/>
      <c r="AM188" s="1426"/>
      <c r="AN188" s="1426"/>
      <c r="AO188" s="1426"/>
      <c r="AP188" s="1426"/>
      <c r="AQ188" s="1426"/>
      <c r="AR188" s="1427"/>
      <c r="AS188" s="1433"/>
      <c r="AT188" s="1434"/>
      <c r="AU188" s="1445"/>
      <c r="AV188" s="1446"/>
      <c r="AW188" s="1446"/>
      <c r="AX188" s="1446"/>
      <c r="AY188" s="1446"/>
      <c r="AZ188" s="1447"/>
      <c r="BA188" s="1433"/>
      <c r="BB188" s="1434"/>
      <c r="BC188" s="1464"/>
      <c r="BD188" s="1464"/>
      <c r="BE188" s="1464"/>
      <c r="BF188" s="1464"/>
      <c r="BG188" s="1465"/>
      <c r="BH188" s="1465"/>
      <c r="BI188" s="1465"/>
      <c r="BJ188" s="1465"/>
      <c r="BK188" s="1464"/>
      <c r="BL188" s="1464"/>
      <c r="BM188" s="1464"/>
      <c r="BN188" s="1464"/>
      <c r="BO188" s="1466"/>
      <c r="BP188" s="1466"/>
      <c r="BQ188" s="1466"/>
      <c r="BR188" s="1466"/>
      <c r="BS188" s="1466"/>
      <c r="BT188" s="1466"/>
      <c r="BU188" s="1464"/>
      <c r="BV188" s="1464"/>
      <c r="BW188" s="1464"/>
      <c r="BX188" s="1464"/>
      <c r="BY188" s="1464"/>
      <c r="BZ188" s="1464"/>
      <c r="CA188" s="668"/>
      <c r="CB188" s="657"/>
      <c r="CC188" s="657"/>
      <c r="CD188" s="657"/>
      <c r="CE188" s="657"/>
      <c r="CF188" s="657"/>
      <c r="CG188" s="657"/>
      <c r="CH188" s="657"/>
      <c r="CI188" s="657"/>
    </row>
    <row r="189" spans="1:87" ht="9.9499999999999993" customHeight="1">
      <c r="A189" s="1485">
        <f>AO176</f>
        <v>2</v>
      </c>
      <c r="B189" s="1485"/>
      <c r="C189" s="1485"/>
      <c r="D189" s="1390"/>
      <c r="E189" s="1390"/>
      <c r="F189" s="1390"/>
      <c r="G189" s="1398"/>
      <c r="H189" s="1399"/>
      <c r="I189" s="1399"/>
      <c r="J189" s="1399"/>
      <c r="K189" s="1399"/>
      <c r="L189" s="1399"/>
      <c r="M189" s="1399"/>
      <c r="N189" s="1399"/>
      <c r="O189" s="1399"/>
      <c r="P189" s="1399"/>
      <c r="Q189" s="1399"/>
      <c r="R189" s="1399"/>
      <c r="S189" s="1399"/>
      <c r="T189" s="1399"/>
      <c r="U189" s="1399"/>
      <c r="V189" s="1400"/>
      <c r="W189" s="669"/>
      <c r="X189" s="669"/>
      <c r="Y189" s="669"/>
      <c r="Z189" s="669"/>
      <c r="AA189" s="1464"/>
      <c r="AB189" s="1464"/>
      <c r="AC189" s="1425"/>
      <c r="AD189" s="1426"/>
      <c r="AE189" s="1426"/>
      <c r="AF189" s="1426"/>
      <c r="AG189" s="1426"/>
      <c r="AH189" s="1426"/>
      <c r="AI189" s="1426"/>
      <c r="AJ189" s="1426"/>
      <c r="AK189" s="1426"/>
      <c r="AL189" s="1426"/>
      <c r="AM189" s="1426"/>
      <c r="AN189" s="1426"/>
      <c r="AO189" s="1426"/>
      <c r="AP189" s="1426"/>
      <c r="AQ189" s="1426"/>
      <c r="AR189" s="1427"/>
      <c r="AS189" s="1433"/>
      <c r="AT189" s="1434"/>
      <c r="AU189" s="1445"/>
      <c r="AV189" s="1446"/>
      <c r="AW189" s="1446"/>
      <c r="AX189" s="1446"/>
      <c r="AY189" s="1446"/>
      <c r="AZ189" s="1447"/>
      <c r="BA189" s="1433"/>
      <c r="BB189" s="1434"/>
      <c r="BC189" s="1464"/>
      <c r="BD189" s="1464"/>
      <c r="BE189" s="1464"/>
      <c r="BF189" s="1464"/>
      <c r="BG189" s="1465"/>
      <c r="BH189" s="1465"/>
      <c r="BI189" s="1465"/>
      <c r="BJ189" s="1465"/>
      <c r="BK189" s="1464"/>
      <c r="BL189" s="1464"/>
      <c r="BM189" s="1464"/>
      <c r="BN189" s="1464"/>
      <c r="BO189" s="1466"/>
      <c r="BP189" s="1466"/>
      <c r="BQ189" s="1466"/>
      <c r="BR189" s="1466"/>
      <c r="BS189" s="1466"/>
      <c r="BT189" s="1466"/>
      <c r="BU189" s="1464"/>
      <c r="BV189" s="1464"/>
      <c r="BW189" s="1464"/>
      <c r="BX189" s="1464"/>
      <c r="BY189" s="1464"/>
      <c r="BZ189" s="1464"/>
      <c r="CA189" s="668"/>
      <c r="CB189" s="657"/>
      <c r="CC189" s="657"/>
      <c r="CD189" s="657"/>
      <c r="CE189" s="657"/>
      <c r="CF189" s="657"/>
      <c r="CG189" s="657"/>
      <c r="CH189" s="657"/>
      <c r="CI189" s="657"/>
    </row>
    <row r="190" spans="1:87" ht="9.9499999999999993" customHeight="1">
      <c r="A190" s="1482"/>
      <c r="B190" s="1482"/>
      <c r="C190" s="1482"/>
      <c r="D190" s="1390"/>
      <c r="E190" s="1390"/>
      <c r="F190" s="1390"/>
      <c r="G190" s="1398"/>
      <c r="H190" s="1399"/>
      <c r="I190" s="1399"/>
      <c r="J190" s="1399"/>
      <c r="K190" s="1399"/>
      <c r="L190" s="1399"/>
      <c r="M190" s="1399"/>
      <c r="N190" s="1399"/>
      <c r="O190" s="1399"/>
      <c r="P190" s="1399"/>
      <c r="Q190" s="1399"/>
      <c r="R190" s="1399"/>
      <c r="S190" s="1399"/>
      <c r="T190" s="1399"/>
      <c r="U190" s="1399"/>
      <c r="V190" s="1400"/>
      <c r="W190" s="673"/>
      <c r="X190" s="673"/>
      <c r="Y190" s="673"/>
      <c r="Z190" s="673"/>
      <c r="AA190" s="1464"/>
      <c r="AB190" s="1464"/>
      <c r="AC190" s="1425"/>
      <c r="AD190" s="1426"/>
      <c r="AE190" s="1426"/>
      <c r="AF190" s="1426"/>
      <c r="AG190" s="1426"/>
      <c r="AH190" s="1426"/>
      <c r="AI190" s="1426"/>
      <c r="AJ190" s="1426"/>
      <c r="AK190" s="1426"/>
      <c r="AL190" s="1426"/>
      <c r="AM190" s="1426"/>
      <c r="AN190" s="1426"/>
      <c r="AO190" s="1426"/>
      <c r="AP190" s="1426"/>
      <c r="AQ190" s="1426"/>
      <c r="AR190" s="1427"/>
      <c r="AS190" s="1433"/>
      <c r="AT190" s="1434"/>
      <c r="AU190" s="1448"/>
      <c r="AV190" s="1449"/>
      <c r="AW190" s="1449"/>
      <c r="AX190" s="1449"/>
      <c r="AY190" s="1449"/>
      <c r="AZ190" s="1450"/>
      <c r="BA190" s="1433"/>
      <c r="BB190" s="1434"/>
      <c r="BC190" s="1464"/>
      <c r="BD190" s="1464"/>
      <c r="BE190" s="1464"/>
      <c r="BF190" s="1464"/>
      <c r="BG190" s="1465"/>
      <c r="BH190" s="1465"/>
      <c r="BI190" s="1465"/>
      <c r="BJ190" s="1465"/>
      <c r="BK190" s="1464"/>
      <c r="BL190" s="1464"/>
      <c r="BM190" s="1464"/>
      <c r="BN190" s="1464"/>
      <c r="BO190" s="1466"/>
      <c r="BP190" s="1466"/>
      <c r="BQ190" s="1466"/>
      <c r="BR190" s="1466"/>
      <c r="BS190" s="1466"/>
      <c r="BT190" s="1466"/>
      <c r="BU190" s="1464"/>
      <c r="BV190" s="1464"/>
      <c r="BW190" s="1464"/>
      <c r="BX190" s="1464"/>
      <c r="BY190" s="1464"/>
      <c r="BZ190" s="1464"/>
      <c r="CA190" s="679"/>
      <c r="CB190" s="657"/>
      <c r="CC190" s="657"/>
      <c r="CD190" s="657"/>
      <c r="CE190" s="657"/>
      <c r="CF190" s="657"/>
      <c r="CG190" s="657"/>
      <c r="CH190" s="657"/>
      <c r="CI190" s="657"/>
    </row>
    <row r="191" spans="1:87" ht="9.9499999999999993" customHeight="1">
      <c r="A191" s="1483"/>
      <c r="B191" s="1483"/>
      <c r="C191" s="1483"/>
      <c r="D191" s="1390" t="s">
        <v>77</v>
      </c>
      <c r="E191" s="1390"/>
      <c r="F191" s="1390"/>
      <c r="G191" s="1398"/>
      <c r="H191" s="1399"/>
      <c r="I191" s="1399"/>
      <c r="J191" s="1399"/>
      <c r="K191" s="1399"/>
      <c r="L191" s="1399"/>
      <c r="M191" s="1399"/>
      <c r="N191" s="1399"/>
      <c r="O191" s="1399"/>
      <c r="P191" s="1399"/>
      <c r="Q191" s="1399"/>
      <c r="R191" s="1399"/>
      <c r="S191" s="1399"/>
      <c r="T191" s="1399"/>
      <c r="U191" s="1399"/>
      <c r="V191" s="1400"/>
      <c r="W191" s="669"/>
      <c r="X191" s="669"/>
      <c r="Y191" s="669"/>
      <c r="Z191" s="669"/>
      <c r="AA191" s="1464"/>
      <c r="AB191" s="1464"/>
      <c r="AC191" s="1425"/>
      <c r="AD191" s="1426"/>
      <c r="AE191" s="1426"/>
      <c r="AF191" s="1426"/>
      <c r="AG191" s="1426"/>
      <c r="AH191" s="1426"/>
      <c r="AI191" s="1426"/>
      <c r="AJ191" s="1426"/>
      <c r="AK191" s="1426"/>
      <c r="AL191" s="1426"/>
      <c r="AM191" s="1426"/>
      <c r="AN191" s="1426"/>
      <c r="AO191" s="1426"/>
      <c r="AP191" s="1426"/>
      <c r="AQ191" s="1426"/>
      <c r="AR191" s="1427"/>
      <c r="AS191" s="1433"/>
      <c r="AT191" s="1434"/>
      <c r="AU191" s="1422" t="s">
        <v>3110</v>
      </c>
      <c r="AV191" s="1443"/>
      <c r="AW191" s="1443"/>
      <c r="AX191" s="1443"/>
      <c r="AY191" s="1443"/>
      <c r="AZ191" s="1444"/>
      <c r="BA191" s="1433"/>
      <c r="BB191" s="1434"/>
      <c r="BC191" s="1464"/>
      <c r="BD191" s="1464"/>
      <c r="BE191" s="1464"/>
      <c r="BF191" s="1464"/>
      <c r="BG191" s="1465"/>
      <c r="BH191" s="1465"/>
      <c r="BI191" s="1465"/>
      <c r="BJ191" s="1465"/>
      <c r="BK191" s="1464"/>
      <c r="BL191" s="1464"/>
      <c r="BM191" s="1464"/>
      <c r="BN191" s="1464"/>
      <c r="BO191" s="1466"/>
      <c r="BP191" s="1466"/>
      <c r="BQ191" s="1466"/>
      <c r="BR191" s="1466"/>
      <c r="BS191" s="1466"/>
      <c r="BT191" s="1466"/>
      <c r="BU191" s="1464"/>
      <c r="BV191" s="1464"/>
      <c r="BW191" s="1464"/>
      <c r="BX191" s="1464"/>
      <c r="BY191" s="1464"/>
      <c r="BZ191" s="1464"/>
      <c r="CA191" s="668"/>
      <c r="CB191" s="657"/>
      <c r="CC191" s="657"/>
      <c r="CD191" s="657"/>
      <c r="CE191" s="657"/>
      <c r="CF191" s="657"/>
      <c r="CG191" s="657"/>
      <c r="CH191" s="657"/>
      <c r="CI191" s="657"/>
    </row>
    <row r="192" spans="1:87" ht="9.9499999999999993" customHeight="1">
      <c r="A192" s="1468" t="s">
        <v>14</v>
      </c>
      <c r="B192" s="1468"/>
      <c r="C192" s="1468"/>
      <c r="D192" s="1390"/>
      <c r="E192" s="1390"/>
      <c r="F192" s="1390"/>
      <c r="G192" s="1398"/>
      <c r="H192" s="1399"/>
      <c r="I192" s="1399"/>
      <c r="J192" s="1399"/>
      <c r="K192" s="1399"/>
      <c r="L192" s="1399"/>
      <c r="M192" s="1399"/>
      <c r="N192" s="1399"/>
      <c r="O192" s="1399"/>
      <c r="P192" s="1399"/>
      <c r="Q192" s="1399"/>
      <c r="R192" s="1399"/>
      <c r="S192" s="1399"/>
      <c r="T192" s="1399"/>
      <c r="U192" s="1399"/>
      <c r="V192" s="1400"/>
      <c r="W192" s="669"/>
      <c r="X192" s="669"/>
      <c r="Y192" s="669"/>
      <c r="Z192" s="669"/>
      <c r="AA192" s="1464"/>
      <c r="AB192" s="1464"/>
      <c r="AC192" s="1425"/>
      <c r="AD192" s="1426"/>
      <c r="AE192" s="1426"/>
      <c r="AF192" s="1426"/>
      <c r="AG192" s="1426"/>
      <c r="AH192" s="1426"/>
      <c r="AI192" s="1426"/>
      <c r="AJ192" s="1426"/>
      <c r="AK192" s="1426"/>
      <c r="AL192" s="1426"/>
      <c r="AM192" s="1426"/>
      <c r="AN192" s="1426"/>
      <c r="AO192" s="1426"/>
      <c r="AP192" s="1426"/>
      <c r="AQ192" s="1426"/>
      <c r="AR192" s="1427"/>
      <c r="AS192" s="1433"/>
      <c r="AT192" s="1434"/>
      <c r="AU192" s="1445"/>
      <c r="AV192" s="1446"/>
      <c r="AW192" s="1446"/>
      <c r="AX192" s="1446"/>
      <c r="AY192" s="1446"/>
      <c r="AZ192" s="1447"/>
      <c r="BA192" s="1433"/>
      <c r="BB192" s="1434"/>
      <c r="BC192" s="1464"/>
      <c r="BD192" s="1464"/>
      <c r="BE192" s="1464"/>
      <c r="BF192" s="1464"/>
      <c r="BG192" s="1465"/>
      <c r="BH192" s="1465"/>
      <c r="BI192" s="1465"/>
      <c r="BJ192" s="1465"/>
      <c r="BK192" s="1464"/>
      <c r="BL192" s="1464"/>
      <c r="BM192" s="1464"/>
      <c r="BN192" s="1464"/>
      <c r="BO192" s="1466"/>
      <c r="BP192" s="1466"/>
      <c r="BQ192" s="1466"/>
      <c r="BR192" s="1466"/>
      <c r="BS192" s="1466"/>
      <c r="BT192" s="1466"/>
      <c r="BU192" s="1464"/>
      <c r="BV192" s="1464"/>
      <c r="BW192" s="1464"/>
      <c r="BX192" s="1464"/>
      <c r="BY192" s="1464"/>
      <c r="BZ192" s="1464"/>
      <c r="CA192" s="668"/>
      <c r="CB192" s="657"/>
      <c r="CC192" s="657"/>
      <c r="CD192" s="657"/>
      <c r="CE192" s="657"/>
      <c r="CF192" s="657"/>
      <c r="CG192" s="657"/>
      <c r="CH192" s="657"/>
      <c r="CI192" s="657"/>
    </row>
    <row r="193" spans="1:87" ht="9.9499999999999993" customHeight="1">
      <c r="A193" s="1415"/>
      <c r="B193" s="1415"/>
      <c r="C193" s="1415"/>
      <c r="D193" s="1390"/>
      <c r="E193" s="1390"/>
      <c r="F193" s="1390"/>
      <c r="G193" s="1398"/>
      <c r="H193" s="1399"/>
      <c r="I193" s="1399"/>
      <c r="J193" s="1399"/>
      <c r="K193" s="1399"/>
      <c r="L193" s="1399"/>
      <c r="M193" s="1399"/>
      <c r="N193" s="1399"/>
      <c r="O193" s="1399"/>
      <c r="P193" s="1399"/>
      <c r="Q193" s="1399"/>
      <c r="R193" s="1399"/>
      <c r="S193" s="1399"/>
      <c r="T193" s="1399"/>
      <c r="U193" s="1399"/>
      <c r="V193" s="1400"/>
      <c r="W193" s="669"/>
      <c r="X193" s="669"/>
      <c r="Y193" s="669"/>
      <c r="Z193" s="669"/>
      <c r="AA193" s="1464"/>
      <c r="AB193" s="1464"/>
      <c r="AC193" s="1425"/>
      <c r="AD193" s="1426"/>
      <c r="AE193" s="1426"/>
      <c r="AF193" s="1426"/>
      <c r="AG193" s="1426"/>
      <c r="AH193" s="1426"/>
      <c r="AI193" s="1426"/>
      <c r="AJ193" s="1426"/>
      <c r="AK193" s="1426"/>
      <c r="AL193" s="1426"/>
      <c r="AM193" s="1426"/>
      <c r="AN193" s="1426"/>
      <c r="AO193" s="1426"/>
      <c r="AP193" s="1426"/>
      <c r="AQ193" s="1426"/>
      <c r="AR193" s="1427"/>
      <c r="AS193" s="1433"/>
      <c r="AT193" s="1434"/>
      <c r="AU193" s="1445"/>
      <c r="AV193" s="1446"/>
      <c r="AW193" s="1446"/>
      <c r="AX193" s="1446"/>
      <c r="AY193" s="1446"/>
      <c r="AZ193" s="1447"/>
      <c r="BA193" s="1433"/>
      <c r="BB193" s="1434"/>
      <c r="BC193" s="1464"/>
      <c r="BD193" s="1464"/>
      <c r="BE193" s="1464"/>
      <c r="BF193" s="1464"/>
      <c r="BG193" s="1465"/>
      <c r="BH193" s="1465"/>
      <c r="BI193" s="1465"/>
      <c r="BJ193" s="1465"/>
      <c r="BK193" s="1464"/>
      <c r="BL193" s="1464"/>
      <c r="BM193" s="1464"/>
      <c r="BN193" s="1464"/>
      <c r="BO193" s="1466"/>
      <c r="BP193" s="1466"/>
      <c r="BQ193" s="1466"/>
      <c r="BR193" s="1466"/>
      <c r="BS193" s="1466"/>
      <c r="BT193" s="1466"/>
      <c r="BU193" s="1464"/>
      <c r="BV193" s="1464"/>
      <c r="BW193" s="1464"/>
      <c r="BX193" s="1464"/>
      <c r="BY193" s="1464"/>
      <c r="BZ193" s="1464"/>
      <c r="CA193" s="672"/>
      <c r="CB193" s="657"/>
      <c r="CC193" s="657"/>
      <c r="CD193" s="657"/>
      <c r="CE193" s="657"/>
      <c r="CF193" s="657"/>
      <c r="CG193" s="657"/>
      <c r="CH193" s="657"/>
      <c r="CI193" s="657"/>
    </row>
    <row r="194" spans="1:87" ht="9.9499999999999993" customHeight="1">
      <c r="A194" s="1469"/>
      <c r="B194" s="1469"/>
      <c r="C194" s="1469"/>
      <c r="D194" s="1390"/>
      <c r="E194" s="1390"/>
      <c r="F194" s="1390"/>
      <c r="G194" s="1398"/>
      <c r="H194" s="1399"/>
      <c r="I194" s="1399"/>
      <c r="J194" s="1399"/>
      <c r="K194" s="1399"/>
      <c r="L194" s="1399"/>
      <c r="M194" s="1399"/>
      <c r="N194" s="1399"/>
      <c r="O194" s="1399"/>
      <c r="P194" s="1399"/>
      <c r="Q194" s="1399"/>
      <c r="R194" s="1399"/>
      <c r="S194" s="1399"/>
      <c r="T194" s="1399"/>
      <c r="U194" s="1399"/>
      <c r="V194" s="1400"/>
      <c r="W194" s="669"/>
      <c r="X194" s="669"/>
      <c r="Y194" s="669"/>
      <c r="Z194" s="669"/>
      <c r="AA194" s="1464"/>
      <c r="AB194" s="1464"/>
      <c r="AC194" s="1425"/>
      <c r="AD194" s="1426"/>
      <c r="AE194" s="1426"/>
      <c r="AF194" s="1426"/>
      <c r="AG194" s="1426"/>
      <c r="AH194" s="1426"/>
      <c r="AI194" s="1426"/>
      <c r="AJ194" s="1426"/>
      <c r="AK194" s="1426"/>
      <c r="AL194" s="1426"/>
      <c r="AM194" s="1426"/>
      <c r="AN194" s="1426"/>
      <c r="AO194" s="1426"/>
      <c r="AP194" s="1426"/>
      <c r="AQ194" s="1426"/>
      <c r="AR194" s="1427"/>
      <c r="AS194" s="1433"/>
      <c r="AT194" s="1434"/>
      <c r="AU194" s="1445"/>
      <c r="AV194" s="1446"/>
      <c r="AW194" s="1446"/>
      <c r="AX194" s="1446"/>
      <c r="AY194" s="1446"/>
      <c r="AZ194" s="1447"/>
      <c r="BA194" s="1433"/>
      <c r="BB194" s="1434"/>
      <c r="BC194" s="1464"/>
      <c r="BD194" s="1464"/>
      <c r="BE194" s="1464"/>
      <c r="BF194" s="1464"/>
      <c r="BG194" s="1465"/>
      <c r="BH194" s="1465"/>
      <c r="BI194" s="1465"/>
      <c r="BJ194" s="1465"/>
      <c r="BK194" s="1464"/>
      <c r="BL194" s="1464"/>
      <c r="BM194" s="1464"/>
      <c r="BN194" s="1464"/>
      <c r="BO194" s="1466"/>
      <c r="BP194" s="1466"/>
      <c r="BQ194" s="1466"/>
      <c r="BR194" s="1466"/>
      <c r="BS194" s="1466"/>
      <c r="BT194" s="1466"/>
      <c r="BU194" s="1464"/>
      <c r="BV194" s="1464"/>
      <c r="BW194" s="1464"/>
      <c r="BX194" s="1464"/>
      <c r="BY194" s="1464"/>
      <c r="BZ194" s="1464"/>
      <c r="CA194" s="672"/>
      <c r="CB194" s="657"/>
      <c r="CC194" s="657"/>
      <c r="CD194" s="657"/>
      <c r="CE194" s="657"/>
      <c r="CF194" s="657"/>
      <c r="CG194" s="657"/>
      <c r="CH194" s="657"/>
      <c r="CI194" s="657"/>
    </row>
    <row r="195" spans="1:87" ht="9.9499999999999993" customHeight="1">
      <c r="A195" s="1473" t="s">
        <v>38</v>
      </c>
      <c r="B195" s="1473"/>
      <c r="C195" s="1473"/>
      <c r="D195" s="1390"/>
      <c r="E195" s="1390"/>
      <c r="F195" s="1390"/>
      <c r="G195" s="1398"/>
      <c r="H195" s="1399"/>
      <c r="I195" s="1399"/>
      <c r="J195" s="1399"/>
      <c r="K195" s="1399"/>
      <c r="L195" s="1399"/>
      <c r="M195" s="1399"/>
      <c r="N195" s="1399"/>
      <c r="O195" s="1399"/>
      <c r="P195" s="1399"/>
      <c r="Q195" s="1399"/>
      <c r="R195" s="1399"/>
      <c r="S195" s="1399"/>
      <c r="T195" s="1399"/>
      <c r="U195" s="1399"/>
      <c r="V195" s="1400"/>
      <c r="W195" s="669"/>
      <c r="X195" s="669"/>
      <c r="Y195" s="669"/>
      <c r="Z195" s="669"/>
      <c r="AA195" s="1464"/>
      <c r="AB195" s="1464"/>
      <c r="AC195" s="1425"/>
      <c r="AD195" s="1426"/>
      <c r="AE195" s="1426"/>
      <c r="AF195" s="1426"/>
      <c r="AG195" s="1426"/>
      <c r="AH195" s="1426"/>
      <c r="AI195" s="1426"/>
      <c r="AJ195" s="1426"/>
      <c r="AK195" s="1426"/>
      <c r="AL195" s="1426"/>
      <c r="AM195" s="1426"/>
      <c r="AN195" s="1426"/>
      <c r="AO195" s="1426"/>
      <c r="AP195" s="1426"/>
      <c r="AQ195" s="1426"/>
      <c r="AR195" s="1427"/>
      <c r="AS195" s="1433"/>
      <c r="AT195" s="1434"/>
      <c r="AU195" s="1445"/>
      <c r="AV195" s="1446"/>
      <c r="AW195" s="1446"/>
      <c r="AX195" s="1446"/>
      <c r="AY195" s="1446"/>
      <c r="AZ195" s="1447"/>
      <c r="BA195" s="1433"/>
      <c r="BB195" s="1434"/>
      <c r="BC195" s="1464"/>
      <c r="BD195" s="1464"/>
      <c r="BE195" s="1464"/>
      <c r="BF195" s="1464"/>
      <c r="BG195" s="1465"/>
      <c r="BH195" s="1465"/>
      <c r="BI195" s="1465"/>
      <c r="BJ195" s="1465"/>
      <c r="BK195" s="1464"/>
      <c r="BL195" s="1464"/>
      <c r="BM195" s="1464"/>
      <c r="BN195" s="1464"/>
      <c r="BO195" s="1466"/>
      <c r="BP195" s="1466"/>
      <c r="BQ195" s="1466"/>
      <c r="BR195" s="1466"/>
      <c r="BS195" s="1466"/>
      <c r="BT195" s="1466"/>
      <c r="BU195" s="1464"/>
      <c r="BV195" s="1464"/>
      <c r="BW195" s="1464"/>
      <c r="BX195" s="1464"/>
      <c r="BY195" s="1464"/>
      <c r="BZ195" s="1464"/>
      <c r="CA195" s="668"/>
      <c r="CB195" s="657"/>
      <c r="CC195" s="657"/>
      <c r="CD195" s="657"/>
      <c r="CE195" s="657"/>
      <c r="CF195" s="657"/>
      <c r="CG195" s="657"/>
      <c r="CH195" s="657"/>
      <c r="CI195" s="657"/>
    </row>
    <row r="196" spans="1:87" ht="9.9499999999999993" customHeight="1">
      <c r="A196" s="1474" t="str">
        <f>AU176</f>
        <v>水</v>
      </c>
      <c r="B196" s="1474"/>
      <c r="C196" s="1474"/>
      <c r="D196" s="1390"/>
      <c r="E196" s="1390"/>
      <c r="F196" s="1390"/>
      <c r="G196" s="1398"/>
      <c r="H196" s="1399"/>
      <c r="I196" s="1399"/>
      <c r="J196" s="1399"/>
      <c r="K196" s="1399"/>
      <c r="L196" s="1399"/>
      <c r="M196" s="1399"/>
      <c r="N196" s="1399"/>
      <c r="O196" s="1399"/>
      <c r="P196" s="1399"/>
      <c r="Q196" s="1399"/>
      <c r="R196" s="1399"/>
      <c r="S196" s="1399"/>
      <c r="T196" s="1399"/>
      <c r="U196" s="1399"/>
      <c r="V196" s="1400"/>
      <c r="W196" s="669"/>
      <c r="X196" s="669"/>
      <c r="Y196" s="669"/>
      <c r="Z196" s="669"/>
      <c r="AA196" s="1464"/>
      <c r="AB196" s="1464"/>
      <c r="AC196" s="1425"/>
      <c r="AD196" s="1426"/>
      <c r="AE196" s="1426"/>
      <c r="AF196" s="1426"/>
      <c r="AG196" s="1426"/>
      <c r="AH196" s="1426"/>
      <c r="AI196" s="1426"/>
      <c r="AJ196" s="1426"/>
      <c r="AK196" s="1426"/>
      <c r="AL196" s="1426"/>
      <c r="AM196" s="1426"/>
      <c r="AN196" s="1426"/>
      <c r="AO196" s="1426"/>
      <c r="AP196" s="1426"/>
      <c r="AQ196" s="1426"/>
      <c r="AR196" s="1427"/>
      <c r="AS196" s="1433"/>
      <c r="AT196" s="1434"/>
      <c r="AU196" s="1445"/>
      <c r="AV196" s="1446"/>
      <c r="AW196" s="1446"/>
      <c r="AX196" s="1446"/>
      <c r="AY196" s="1446"/>
      <c r="AZ196" s="1447"/>
      <c r="BA196" s="1433"/>
      <c r="BB196" s="1434"/>
      <c r="BC196" s="1464"/>
      <c r="BD196" s="1464"/>
      <c r="BE196" s="1464"/>
      <c r="BF196" s="1464"/>
      <c r="BG196" s="1465"/>
      <c r="BH196" s="1465"/>
      <c r="BI196" s="1465"/>
      <c r="BJ196" s="1465"/>
      <c r="BK196" s="1464"/>
      <c r="BL196" s="1464"/>
      <c r="BM196" s="1464"/>
      <c r="BN196" s="1464"/>
      <c r="BO196" s="1466"/>
      <c r="BP196" s="1466"/>
      <c r="BQ196" s="1466"/>
      <c r="BR196" s="1466"/>
      <c r="BS196" s="1466"/>
      <c r="BT196" s="1466"/>
      <c r="BU196" s="1464"/>
      <c r="BV196" s="1464"/>
      <c r="BW196" s="1464"/>
      <c r="BX196" s="1464"/>
      <c r="BY196" s="1464"/>
      <c r="BZ196" s="1464"/>
      <c r="CA196" s="668"/>
      <c r="CB196" s="657"/>
      <c r="CC196" s="657"/>
      <c r="CD196" s="657"/>
      <c r="CE196" s="657"/>
      <c r="CF196" s="657"/>
      <c r="CG196" s="657"/>
      <c r="CH196" s="657"/>
      <c r="CI196" s="657"/>
    </row>
    <row r="197" spans="1:87" ht="9.9499999999999993" customHeight="1">
      <c r="A197" s="1475"/>
      <c r="B197" s="1475"/>
      <c r="C197" s="1475"/>
      <c r="D197" s="1390"/>
      <c r="E197" s="1390"/>
      <c r="F197" s="1390"/>
      <c r="G197" s="1398"/>
      <c r="H197" s="1399"/>
      <c r="I197" s="1399"/>
      <c r="J197" s="1399"/>
      <c r="K197" s="1399"/>
      <c r="L197" s="1399"/>
      <c r="M197" s="1399"/>
      <c r="N197" s="1399"/>
      <c r="O197" s="1399"/>
      <c r="P197" s="1399"/>
      <c r="Q197" s="1399"/>
      <c r="R197" s="1399"/>
      <c r="S197" s="1399"/>
      <c r="T197" s="1399"/>
      <c r="U197" s="1399"/>
      <c r="V197" s="1400"/>
      <c r="W197" s="669"/>
      <c r="X197" s="669"/>
      <c r="Y197" s="669"/>
      <c r="Z197" s="669"/>
      <c r="AA197" s="1464"/>
      <c r="AB197" s="1464"/>
      <c r="AC197" s="1425"/>
      <c r="AD197" s="1426"/>
      <c r="AE197" s="1426"/>
      <c r="AF197" s="1426"/>
      <c r="AG197" s="1426"/>
      <c r="AH197" s="1426"/>
      <c r="AI197" s="1426"/>
      <c r="AJ197" s="1426"/>
      <c r="AK197" s="1426"/>
      <c r="AL197" s="1426"/>
      <c r="AM197" s="1426"/>
      <c r="AN197" s="1426"/>
      <c r="AO197" s="1426"/>
      <c r="AP197" s="1426"/>
      <c r="AQ197" s="1426"/>
      <c r="AR197" s="1427"/>
      <c r="AS197" s="1433"/>
      <c r="AT197" s="1434"/>
      <c r="AU197" s="1445"/>
      <c r="AV197" s="1446"/>
      <c r="AW197" s="1446"/>
      <c r="AX197" s="1446"/>
      <c r="AY197" s="1446"/>
      <c r="AZ197" s="1447"/>
      <c r="BA197" s="1433"/>
      <c r="BB197" s="1434"/>
      <c r="BC197" s="1464"/>
      <c r="BD197" s="1464"/>
      <c r="BE197" s="1464"/>
      <c r="BF197" s="1464"/>
      <c r="BG197" s="1465"/>
      <c r="BH197" s="1465"/>
      <c r="BI197" s="1465"/>
      <c r="BJ197" s="1465"/>
      <c r="BK197" s="1464"/>
      <c r="BL197" s="1464"/>
      <c r="BM197" s="1464"/>
      <c r="BN197" s="1464"/>
      <c r="BO197" s="1466"/>
      <c r="BP197" s="1466"/>
      <c r="BQ197" s="1466"/>
      <c r="BR197" s="1466"/>
      <c r="BS197" s="1466"/>
      <c r="BT197" s="1466"/>
      <c r="BU197" s="1464"/>
      <c r="BV197" s="1464"/>
      <c r="BW197" s="1464"/>
      <c r="BX197" s="1464"/>
      <c r="BY197" s="1464"/>
      <c r="BZ197" s="1464"/>
      <c r="CA197" s="668"/>
      <c r="CB197" s="657"/>
      <c r="CC197" s="657"/>
      <c r="CD197" s="657"/>
      <c r="CE197" s="657"/>
      <c r="CF197" s="657"/>
      <c r="CG197" s="657"/>
      <c r="CH197" s="657"/>
      <c r="CI197" s="657"/>
    </row>
    <row r="198" spans="1:87" ht="9.9499999999999993" customHeight="1">
      <c r="A198" s="1486" t="s">
        <v>37</v>
      </c>
      <c r="B198" s="1487"/>
      <c r="C198" s="1488"/>
      <c r="D198" s="1390"/>
      <c r="E198" s="1390"/>
      <c r="F198" s="1390"/>
      <c r="G198" s="1401"/>
      <c r="H198" s="1402"/>
      <c r="I198" s="1402"/>
      <c r="J198" s="1402"/>
      <c r="K198" s="1402"/>
      <c r="L198" s="1402"/>
      <c r="M198" s="1402"/>
      <c r="N198" s="1402"/>
      <c r="O198" s="1402"/>
      <c r="P198" s="1402"/>
      <c r="Q198" s="1402"/>
      <c r="R198" s="1402"/>
      <c r="S198" s="1402"/>
      <c r="T198" s="1402"/>
      <c r="U198" s="1402"/>
      <c r="V198" s="1403"/>
      <c r="W198" s="673"/>
      <c r="X198" s="673"/>
      <c r="Y198" s="673"/>
      <c r="Z198" s="673"/>
      <c r="AA198" s="1464"/>
      <c r="AB198" s="1464"/>
      <c r="AC198" s="1428"/>
      <c r="AD198" s="1429"/>
      <c r="AE198" s="1429"/>
      <c r="AF198" s="1429"/>
      <c r="AG198" s="1429"/>
      <c r="AH198" s="1429"/>
      <c r="AI198" s="1429"/>
      <c r="AJ198" s="1429"/>
      <c r="AK198" s="1429"/>
      <c r="AL198" s="1429"/>
      <c r="AM198" s="1429"/>
      <c r="AN198" s="1429"/>
      <c r="AO198" s="1429"/>
      <c r="AP198" s="1429"/>
      <c r="AQ198" s="1429"/>
      <c r="AR198" s="1430"/>
      <c r="AS198" s="1435"/>
      <c r="AT198" s="1436"/>
      <c r="AU198" s="1448"/>
      <c r="AV198" s="1449"/>
      <c r="AW198" s="1449"/>
      <c r="AX198" s="1449"/>
      <c r="AY198" s="1449"/>
      <c r="AZ198" s="1450"/>
      <c r="BA198" s="1435"/>
      <c r="BB198" s="1436"/>
      <c r="BC198" s="1464"/>
      <c r="BD198" s="1464"/>
      <c r="BE198" s="1464"/>
      <c r="BF198" s="1464"/>
      <c r="BG198" s="1465"/>
      <c r="BH198" s="1465"/>
      <c r="BI198" s="1465"/>
      <c r="BJ198" s="1465"/>
      <c r="BK198" s="1464"/>
      <c r="BL198" s="1464"/>
      <c r="BM198" s="1464"/>
      <c r="BN198" s="1464"/>
      <c r="BO198" s="1466"/>
      <c r="BP198" s="1466"/>
      <c r="BQ198" s="1466"/>
      <c r="BR198" s="1466"/>
      <c r="BS198" s="1466"/>
      <c r="BT198" s="1466"/>
      <c r="BU198" s="1464"/>
      <c r="BV198" s="1464"/>
      <c r="BW198" s="1464"/>
      <c r="BX198" s="1464"/>
      <c r="BY198" s="1464"/>
      <c r="BZ198" s="1464"/>
      <c r="CA198" s="679"/>
      <c r="CB198" s="657"/>
      <c r="CC198" s="657"/>
      <c r="CD198" s="657"/>
      <c r="CE198" s="657"/>
      <c r="CF198" s="657"/>
      <c r="CG198" s="657"/>
      <c r="CH198" s="657"/>
      <c r="CI198" s="657"/>
    </row>
    <row r="199" spans="1:87" ht="9.9499999999999993" customHeight="1">
      <c r="A199" s="1386">
        <f>BA176</f>
        <v>6</v>
      </c>
      <c r="B199" s="1387"/>
      <c r="C199" s="1388"/>
      <c r="D199" s="1389" t="s">
        <v>78</v>
      </c>
      <c r="E199" s="1389"/>
      <c r="F199" s="1389"/>
      <c r="G199" s="691"/>
      <c r="H199" s="692"/>
      <c r="I199" s="692"/>
      <c r="J199" s="687"/>
      <c r="K199" s="1466" t="s">
        <v>3029</v>
      </c>
      <c r="L199" s="1466"/>
      <c r="M199" s="1466"/>
      <c r="N199" s="1466"/>
      <c r="O199" s="1405" t="s">
        <v>3015</v>
      </c>
      <c r="P199" s="1406"/>
      <c r="Q199" s="1407"/>
      <c r="R199" s="1464" t="s">
        <v>3030</v>
      </c>
      <c r="S199" s="1464"/>
      <c r="T199" s="1464"/>
      <c r="U199" s="1464" t="s">
        <v>3031</v>
      </c>
      <c r="V199" s="1464"/>
      <c r="W199" s="1464" t="s">
        <v>384</v>
      </c>
      <c r="X199" s="1464"/>
      <c r="Y199" s="1422" t="s">
        <v>3096</v>
      </c>
      <c r="Z199" s="1443"/>
      <c r="AA199" s="1443"/>
      <c r="AB199" s="1443"/>
      <c r="AC199" s="1443"/>
      <c r="AD199" s="1443"/>
      <c r="AE199" s="1443"/>
      <c r="AF199" s="1443"/>
      <c r="AG199" s="1443"/>
      <c r="AH199" s="1443"/>
      <c r="AI199" s="1443"/>
      <c r="AJ199" s="1444"/>
      <c r="AK199" s="685"/>
      <c r="AL199" s="686"/>
      <c r="AM199" s="685"/>
      <c r="AN199" s="685"/>
      <c r="AO199" s="685"/>
      <c r="AP199" s="686"/>
      <c r="AQ199" s="685"/>
      <c r="AR199" s="685"/>
      <c r="AS199" s="685"/>
      <c r="AT199" s="686"/>
      <c r="AU199" s="685"/>
      <c r="AV199" s="685"/>
      <c r="AW199" s="685"/>
      <c r="AX199" s="686"/>
      <c r="AY199" s="685"/>
      <c r="AZ199" s="685"/>
      <c r="BA199" s="685"/>
      <c r="BB199" s="686"/>
      <c r="BC199" s="685"/>
      <c r="BD199" s="685"/>
      <c r="BE199" s="685"/>
      <c r="BF199" s="686"/>
      <c r="BG199" s="685"/>
      <c r="BH199" s="685"/>
      <c r="BI199" s="685"/>
      <c r="BJ199" s="686"/>
      <c r="BK199" s="685"/>
      <c r="BL199" s="685"/>
      <c r="BM199" s="685"/>
      <c r="BN199" s="686"/>
      <c r="BO199" s="685"/>
      <c r="BP199" s="685"/>
      <c r="BQ199" s="685"/>
      <c r="BR199" s="686"/>
      <c r="BS199" s="685"/>
      <c r="BT199" s="685"/>
      <c r="BU199" s="685"/>
      <c r="BV199" s="686"/>
      <c r="BW199" s="685"/>
      <c r="BX199" s="685"/>
      <c r="BY199" s="685"/>
      <c r="BZ199" s="737"/>
      <c r="CA199" s="668"/>
      <c r="CB199" s="657"/>
      <c r="CC199" s="657"/>
      <c r="CD199" s="657"/>
      <c r="CE199" s="657"/>
      <c r="CF199" s="657"/>
      <c r="CG199" s="657"/>
      <c r="CH199" s="657"/>
      <c r="CI199" s="657"/>
    </row>
    <row r="200" spans="1:87" ht="9.9499999999999993" customHeight="1">
      <c r="A200" s="1386"/>
      <c r="B200" s="1387"/>
      <c r="C200" s="1388"/>
      <c r="D200" s="1390"/>
      <c r="E200" s="1390"/>
      <c r="F200" s="1390"/>
      <c r="G200" s="691"/>
      <c r="H200" s="692"/>
      <c r="I200" s="692"/>
      <c r="J200" s="687"/>
      <c r="K200" s="1466"/>
      <c r="L200" s="1466"/>
      <c r="M200" s="1466"/>
      <c r="N200" s="1466"/>
      <c r="O200" s="1408"/>
      <c r="P200" s="1409"/>
      <c r="Q200" s="1410"/>
      <c r="R200" s="1464"/>
      <c r="S200" s="1464"/>
      <c r="T200" s="1464"/>
      <c r="U200" s="1464"/>
      <c r="V200" s="1464"/>
      <c r="W200" s="1464"/>
      <c r="X200" s="1464"/>
      <c r="Y200" s="1445"/>
      <c r="Z200" s="1446"/>
      <c r="AA200" s="1446"/>
      <c r="AB200" s="1446"/>
      <c r="AC200" s="1446"/>
      <c r="AD200" s="1446"/>
      <c r="AE200" s="1446"/>
      <c r="AF200" s="1446"/>
      <c r="AG200" s="1446"/>
      <c r="AH200" s="1446"/>
      <c r="AI200" s="1446"/>
      <c r="AJ200" s="1447"/>
      <c r="AK200" s="685"/>
      <c r="AL200" s="686"/>
      <c r="AM200" s="685"/>
      <c r="AN200" s="685"/>
      <c r="AO200" s="685"/>
      <c r="AP200" s="686"/>
      <c r="AQ200" s="685"/>
      <c r="AR200" s="685"/>
      <c r="AS200" s="685"/>
      <c r="AT200" s="686"/>
      <c r="AU200" s="685"/>
      <c r="AV200" s="685"/>
      <c r="AW200" s="685"/>
      <c r="AX200" s="686"/>
      <c r="AY200" s="685"/>
      <c r="AZ200" s="685"/>
      <c r="BA200" s="685"/>
      <c r="BB200" s="686"/>
      <c r="BC200" s="685"/>
      <c r="BD200" s="685"/>
      <c r="BE200" s="685"/>
      <c r="BF200" s="686"/>
      <c r="BG200" s="685"/>
      <c r="BH200" s="685"/>
      <c r="BI200" s="685"/>
      <c r="BJ200" s="686"/>
      <c r="BK200" s="685"/>
      <c r="BL200" s="685"/>
      <c r="BM200" s="685"/>
      <c r="BN200" s="686"/>
      <c r="BO200" s="685"/>
      <c r="BP200" s="685"/>
      <c r="BQ200" s="685"/>
      <c r="BR200" s="686"/>
      <c r="BS200" s="685"/>
      <c r="BT200" s="685"/>
      <c r="BU200" s="685"/>
      <c r="BV200" s="686"/>
      <c r="BW200" s="736"/>
      <c r="BX200" s="736"/>
      <c r="BY200" s="736"/>
      <c r="BZ200" s="737"/>
      <c r="CA200" s="668"/>
      <c r="CB200" s="657"/>
      <c r="CC200" s="657"/>
      <c r="CD200" s="657"/>
      <c r="CE200" s="657"/>
      <c r="CF200" s="657"/>
      <c r="CG200" s="657"/>
      <c r="CH200" s="657"/>
      <c r="CI200" s="657"/>
    </row>
    <row r="201" spans="1:87" ht="9.9499999999999993" customHeight="1">
      <c r="A201" s="1386"/>
      <c r="B201" s="1387"/>
      <c r="C201" s="1388"/>
      <c r="D201" s="1390"/>
      <c r="E201" s="1390"/>
      <c r="F201" s="1390"/>
      <c r="G201" s="691"/>
      <c r="H201" s="692"/>
      <c r="I201" s="692"/>
      <c r="J201" s="687"/>
      <c r="K201" s="1466"/>
      <c r="L201" s="1466"/>
      <c r="M201" s="1466"/>
      <c r="N201" s="1466"/>
      <c r="O201" s="1408"/>
      <c r="P201" s="1409"/>
      <c r="Q201" s="1410"/>
      <c r="R201" s="1464"/>
      <c r="S201" s="1464"/>
      <c r="T201" s="1464"/>
      <c r="U201" s="1464"/>
      <c r="V201" s="1464"/>
      <c r="W201" s="1464"/>
      <c r="X201" s="1464"/>
      <c r="Y201" s="1445"/>
      <c r="Z201" s="1446"/>
      <c r="AA201" s="1446"/>
      <c r="AB201" s="1446"/>
      <c r="AC201" s="1446"/>
      <c r="AD201" s="1446"/>
      <c r="AE201" s="1446"/>
      <c r="AF201" s="1446"/>
      <c r="AG201" s="1446"/>
      <c r="AH201" s="1446"/>
      <c r="AI201" s="1446"/>
      <c r="AJ201" s="1447"/>
      <c r="AK201" s="685"/>
      <c r="AL201" s="686"/>
      <c r="AM201" s="685"/>
      <c r="AN201" s="685"/>
      <c r="AO201" s="685"/>
      <c r="AP201" s="686"/>
      <c r="AQ201" s="685"/>
      <c r="AR201" s="685"/>
      <c r="AS201" s="685"/>
      <c r="AT201" s="686"/>
      <c r="AU201" s="685"/>
      <c r="AV201" s="685"/>
      <c r="AW201" s="685"/>
      <c r="AX201" s="686"/>
      <c r="AY201" s="685"/>
      <c r="AZ201" s="685"/>
      <c r="BA201" s="685"/>
      <c r="BB201" s="686"/>
      <c r="BC201" s="685"/>
      <c r="BD201" s="685"/>
      <c r="BE201" s="663"/>
      <c r="BF201" s="687"/>
      <c r="BG201" s="688"/>
      <c r="BH201" s="688"/>
      <c r="BI201" s="688"/>
      <c r="BJ201" s="687"/>
      <c r="BK201" s="688"/>
      <c r="BL201" s="688"/>
      <c r="BM201" s="688"/>
      <c r="BN201" s="687"/>
      <c r="BO201" s="688"/>
      <c r="BP201" s="688"/>
      <c r="BQ201" s="688"/>
      <c r="BR201" s="687"/>
      <c r="BS201" s="688"/>
      <c r="BT201" s="688"/>
      <c r="BU201" s="688"/>
      <c r="BV201" s="687"/>
      <c r="BW201" s="736"/>
      <c r="BX201" s="736"/>
      <c r="BY201" s="736"/>
      <c r="BZ201" s="737"/>
      <c r="CA201" s="672"/>
      <c r="CB201" s="657"/>
      <c r="CC201" s="657"/>
      <c r="CD201" s="657"/>
      <c r="CE201" s="657"/>
      <c r="CF201" s="657"/>
      <c r="CG201" s="657"/>
      <c r="CH201" s="657"/>
      <c r="CI201" s="657"/>
    </row>
    <row r="202" spans="1:87" ht="9.9499999999999993" customHeight="1">
      <c r="A202" s="1468" t="s">
        <v>15</v>
      </c>
      <c r="B202" s="1468"/>
      <c r="C202" s="1468"/>
      <c r="D202" s="1390"/>
      <c r="E202" s="1390"/>
      <c r="F202" s="1390"/>
      <c r="G202" s="691"/>
      <c r="H202" s="692"/>
      <c r="I202" s="692"/>
      <c r="J202" s="687"/>
      <c r="K202" s="1466"/>
      <c r="L202" s="1466"/>
      <c r="M202" s="1466"/>
      <c r="N202" s="1466"/>
      <c r="O202" s="1408"/>
      <c r="P202" s="1409"/>
      <c r="Q202" s="1410"/>
      <c r="R202" s="1464"/>
      <c r="S202" s="1464"/>
      <c r="T202" s="1464"/>
      <c r="U202" s="1464"/>
      <c r="V202" s="1464"/>
      <c r="W202" s="1464"/>
      <c r="X202" s="1464"/>
      <c r="Y202" s="1445"/>
      <c r="Z202" s="1446"/>
      <c r="AA202" s="1446"/>
      <c r="AB202" s="1446"/>
      <c r="AC202" s="1446"/>
      <c r="AD202" s="1446"/>
      <c r="AE202" s="1446"/>
      <c r="AF202" s="1446"/>
      <c r="AG202" s="1446"/>
      <c r="AH202" s="1446"/>
      <c r="AI202" s="1446"/>
      <c r="AJ202" s="1447"/>
      <c r="AK202" s="688"/>
      <c r="AL202" s="687"/>
      <c r="AM202" s="688"/>
      <c r="AN202" s="688"/>
      <c r="AO202" s="688"/>
      <c r="AP202" s="687"/>
      <c r="AQ202" s="688"/>
      <c r="AR202" s="688"/>
      <c r="AS202" s="688"/>
      <c r="AT202" s="687"/>
      <c r="AU202" s="688"/>
      <c r="AV202" s="688"/>
      <c r="AW202" s="688"/>
      <c r="AX202" s="687"/>
      <c r="AY202" s="688"/>
      <c r="AZ202" s="688"/>
      <c r="BA202" s="688"/>
      <c r="BB202" s="687"/>
      <c r="BC202" s="688"/>
      <c r="BD202" s="688"/>
      <c r="BE202" s="688"/>
      <c r="BF202" s="687"/>
      <c r="BG202" s="688"/>
      <c r="BH202" s="688"/>
      <c r="BI202" s="688"/>
      <c r="BJ202" s="687"/>
      <c r="BK202" s="688"/>
      <c r="BL202" s="688"/>
      <c r="BM202" s="688"/>
      <c r="BN202" s="687"/>
      <c r="BO202" s="688"/>
      <c r="BP202" s="688"/>
      <c r="BQ202" s="688"/>
      <c r="BR202" s="687"/>
      <c r="BS202" s="688"/>
      <c r="BT202" s="688"/>
      <c r="BU202" s="688"/>
      <c r="BV202" s="687"/>
      <c r="BW202" s="736"/>
      <c r="BX202" s="736"/>
      <c r="BY202" s="736"/>
      <c r="BZ202" s="737"/>
      <c r="CA202" s="672"/>
      <c r="CB202" s="657"/>
      <c r="CC202" s="657"/>
      <c r="CD202" s="657"/>
      <c r="CE202" s="657"/>
      <c r="CF202" s="657"/>
      <c r="CG202" s="657"/>
      <c r="CH202" s="657"/>
      <c r="CI202" s="657"/>
    </row>
    <row r="203" spans="1:87" ht="9.9499999999999993" customHeight="1">
      <c r="A203" s="1415"/>
      <c r="B203" s="1415"/>
      <c r="C203" s="1415"/>
      <c r="D203" s="1390"/>
      <c r="E203" s="1390"/>
      <c r="F203" s="1390"/>
      <c r="G203" s="691"/>
      <c r="H203" s="692"/>
      <c r="I203" s="692"/>
      <c r="J203" s="687"/>
      <c r="K203" s="1466"/>
      <c r="L203" s="1466"/>
      <c r="M203" s="1466"/>
      <c r="N203" s="1466"/>
      <c r="O203" s="1408"/>
      <c r="P203" s="1409"/>
      <c r="Q203" s="1410"/>
      <c r="R203" s="1464"/>
      <c r="S203" s="1464"/>
      <c r="T203" s="1464"/>
      <c r="U203" s="1464"/>
      <c r="V203" s="1464"/>
      <c r="W203" s="1464"/>
      <c r="X203" s="1464"/>
      <c r="Y203" s="1445"/>
      <c r="Z203" s="1446"/>
      <c r="AA203" s="1446"/>
      <c r="AB203" s="1446"/>
      <c r="AC203" s="1446"/>
      <c r="AD203" s="1446"/>
      <c r="AE203" s="1446"/>
      <c r="AF203" s="1446"/>
      <c r="AG203" s="1446"/>
      <c r="AH203" s="1446"/>
      <c r="AI203" s="1446"/>
      <c r="AJ203" s="1447"/>
      <c r="AK203" s="685"/>
      <c r="AL203" s="686"/>
      <c r="AM203" s="685"/>
      <c r="AN203" s="685"/>
      <c r="AO203" s="685"/>
      <c r="AP203" s="686"/>
      <c r="AQ203" s="685"/>
      <c r="AR203" s="685"/>
      <c r="AS203" s="685"/>
      <c r="AT203" s="686"/>
      <c r="AU203" s="685"/>
      <c r="AV203" s="685"/>
      <c r="AW203" s="685"/>
      <c r="AX203" s="686"/>
      <c r="AY203" s="685"/>
      <c r="AZ203" s="685"/>
      <c r="BA203" s="685"/>
      <c r="BB203" s="686"/>
      <c r="BC203" s="685"/>
      <c r="BD203" s="685"/>
      <c r="BE203" s="685"/>
      <c r="BF203" s="686"/>
      <c r="BG203" s="685"/>
      <c r="BH203" s="685"/>
      <c r="BI203" s="685"/>
      <c r="BJ203" s="686"/>
      <c r="BK203" s="685"/>
      <c r="BL203" s="685"/>
      <c r="BM203" s="685"/>
      <c r="BN203" s="686"/>
      <c r="BO203" s="685"/>
      <c r="BP203" s="685"/>
      <c r="BQ203" s="685"/>
      <c r="BR203" s="686"/>
      <c r="BS203" s="685"/>
      <c r="BT203" s="685"/>
      <c r="BU203" s="685"/>
      <c r="BV203" s="686"/>
      <c r="BW203" s="736"/>
      <c r="BX203" s="736"/>
      <c r="BY203" s="736"/>
      <c r="BZ203" s="737"/>
      <c r="CA203" s="668"/>
      <c r="CB203" s="657"/>
      <c r="CC203" s="657"/>
      <c r="CD203" s="657"/>
      <c r="CE203" s="657"/>
      <c r="CF203" s="657"/>
      <c r="CG203" s="657"/>
      <c r="CH203" s="657"/>
      <c r="CI203" s="657"/>
    </row>
    <row r="204" spans="1:87" ht="9.9499999999999993" customHeight="1">
      <c r="A204" s="1469"/>
      <c r="B204" s="1469"/>
      <c r="C204" s="1469"/>
      <c r="D204" s="1390"/>
      <c r="E204" s="1390"/>
      <c r="F204" s="1390"/>
      <c r="G204" s="691"/>
      <c r="H204" s="692"/>
      <c r="I204" s="692"/>
      <c r="J204" s="687"/>
      <c r="K204" s="1466"/>
      <c r="L204" s="1466"/>
      <c r="M204" s="1466"/>
      <c r="N204" s="1466"/>
      <c r="O204" s="1408"/>
      <c r="P204" s="1409"/>
      <c r="Q204" s="1410"/>
      <c r="R204" s="1464"/>
      <c r="S204" s="1464"/>
      <c r="T204" s="1464"/>
      <c r="U204" s="1464"/>
      <c r="V204" s="1464"/>
      <c r="W204" s="1464"/>
      <c r="X204" s="1464"/>
      <c r="Y204" s="1445"/>
      <c r="Z204" s="1446"/>
      <c r="AA204" s="1446"/>
      <c r="AB204" s="1446"/>
      <c r="AC204" s="1446"/>
      <c r="AD204" s="1446"/>
      <c r="AE204" s="1446"/>
      <c r="AF204" s="1446"/>
      <c r="AG204" s="1446"/>
      <c r="AH204" s="1446"/>
      <c r="AI204" s="1446"/>
      <c r="AJ204" s="1447"/>
      <c r="AK204" s="685"/>
      <c r="AL204" s="686"/>
      <c r="AM204" s="685"/>
      <c r="AN204" s="685"/>
      <c r="AO204" s="685"/>
      <c r="AP204" s="686"/>
      <c r="AQ204" s="685"/>
      <c r="AR204" s="685"/>
      <c r="AS204" s="685"/>
      <c r="AT204" s="686"/>
      <c r="AU204" s="685"/>
      <c r="AV204" s="685"/>
      <c r="AW204" s="685"/>
      <c r="AX204" s="686"/>
      <c r="AY204" s="685"/>
      <c r="AZ204" s="685"/>
      <c r="BA204" s="685"/>
      <c r="BB204" s="686"/>
      <c r="BC204" s="685"/>
      <c r="BD204" s="685"/>
      <c r="BE204" s="685"/>
      <c r="BF204" s="686"/>
      <c r="BG204" s="685"/>
      <c r="BH204" s="685"/>
      <c r="BI204" s="685"/>
      <c r="BJ204" s="686"/>
      <c r="BK204" s="685"/>
      <c r="BL204" s="685"/>
      <c r="BM204" s="685"/>
      <c r="BN204" s="686"/>
      <c r="BO204" s="685"/>
      <c r="BP204" s="685"/>
      <c r="BQ204" s="685"/>
      <c r="BR204" s="686"/>
      <c r="BS204" s="685"/>
      <c r="BT204" s="685"/>
      <c r="BU204" s="685"/>
      <c r="BV204" s="686"/>
      <c r="BW204" s="736"/>
      <c r="BX204" s="736"/>
      <c r="BY204" s="736"/>
      <c r="BZ204" s="737"/>
      <c r="CA204" s="668"/>
      <c r="CB204" s="657"/>
      <c r="CC204" s="657"/>
      <c r="CD204" s="657"/>
      <c r="CE204" s="657"/>
      <c r="CF204" s="657"/>
      <c r="CG204" s="657"/>
      <c r="CH204" s="657"/>
      <c r="CI204" s="657"/>
    </row>
    <row r="205" spans="1:87" ht="9.9499999999999993" customHeight="1" thickBot="1">
      <c r="A205" s="1470">
        <f>BE176</f>
        <v>3</v>
      </c>
      <c r="B205" s="1471"/>
      <c r="C205" s="1472"/>
      <c r="D205" s="1467"/>
      <c r="E205" s="1467"/>
      <c r="F205" s="1467"/>
      <c r="G205" s="691"/>
      <c r="H205" s="692"/>
      <c r="I205" s="692"/>
      <c r="J205" s="687"/>
      <c r="K205" s="1466"/>
      <c r="L205" s="1466"/>
      <c r="M205" s="1466"/>
      <c r="N205" s="1466"/>
      <c r="O205" s="1408"/>
      <c r="P205" s="1409"/>
      <c r="Q205" s="1410"/>
      <c r="R205" s="1464"/>
      <c r="S205" s="1464"/>
      <c r="T205" s="1464"/>
      <c r="U205" s="1464"/>
      <c r="V205" s="1464"/>
      <c r="W205" s="1464"/>
      <c r="X205" s="1464"/>
      <c r="Y205" s="1445"/>
      <c r="Z205" s="1446"/>
      <c r="AA205" s="1446"/>
      <c r="AB205" s="1446"/>
      <c r="AC205" s="1446"/>
      <c r="AD205" s="1446"/>
      <c r="AE205" s="1446"/>
      <c r="AF205" s="1446"/>
      <c r="AG205" s="1446"/>
      <c r="AH205" s="1446"/>
      <c r="AI205" s="1446"/>
      <c r="AJ205" s="1447"/>
      <c r="AK205" s="685"/>
      <c r="AL205" s="686"/>
      <c r="AM205" s="685"/>
      <c r="AN205" s="685"/>
      <c r="AO205" s="685"/>
      <c r="AP205" s="686"/>
      <c r="AQ205" s="685"/>
      <c r="AR205" s="685"/>
      <c r="AS205" s="685"/>
      <c r="AT205" s="686"/>
      <c r="AU205" s="685"/>
      <c r="AV205" s="685"/>
      <c r="AW205" s="685"/>
      <c r="AX205" s="686"/>
      <c r="AY205" s="685"/>
      <c r="AZ205" s="685"/>
      <c r="BA205" s="685"/>
      <c r="BB205" s="686"/>
      <c r="BC205" s="685"/>
      <c r="BD205" s="685"/>
      <c r="BE205" s="685"/>
      <c r="BF205" s="686"/>
      <c r="BG205" s="685"/>
      <c r="BH205" s="685"/>
      <c r="BI205" s="685"/>
      <c r="BJ205" s="686"/>
      <c r="BK205" s="685"/>
      <c r="BL205" s="685"/>
      <c r="BM205" s="685"/>
      <c r="BN205" s="686"/>
      <c r="BO205" s="685"/>
      <c r="BP205" s="685"/>
      <c r="BQ205" s="685"/>
      <c r="BR205" s="686"/>
      <c r="BS205" s="685"/>
      <c r="BT205" s="685"/>
      <c r="BU205" s="685"/>
      <c r="BV205" s="686"/>
      <c r="BW205" s="736"/>
      <c r="BX205" s="736"/>
      <c r="BY205" s="736"/>
      <c r="BZ205" s="737"/>
      <c r="CA205" s="668"/>
      <c r="CB205" s="657"/>
      <c r="CC205" s="657"/>
      <c r="CD205" s="657"/>
      <c r="CE205" s="657"/>
      <c r="CF205" s="657"/>
      <c r="CG205" s="657"/>
      <c r="CH205" s="657"/>
      <c r="CI205" s="657"/>
    </row>
    <row r="206" spans="1:87" ht="9.9499999999999993" customHeight="1">
      <c r="A206" s="1386"/>
      <c r="B206" s="1387"/>
      <c r="C206" s="1388"/>
      <c r="D206" s="1390"/>
      <c r="E206" s="1390"/>
      <c r="F206" s="1390"/>
      <c r="G206" s="695"/>
      <c r="H206" s="696"/>
      <c r="I206" s="696"/>
      <c r="J206" s="690"/>
      <c r="K206" s="1466"/>
      <c r="L206" s="1466"/>
      <c r="M206" s="1466"/>
      <c r="N206" s="1466"/>
      <c r="O206" s="1408"/>
      <c r="P206" s="1409"/>
      <c r="Q206" s="1410"/>
      <c r="R206" s="1464"/>
      <c r="S206" s="1464"/>
      <c r="T206" s="1464"/>
      <c r="U206" s="1464"/>
      <c r="V206" s="1464"/>
      <c r="W206" s="1464"/>
      <c r="X206" s="1464"/>
      <c r="Y206" s="1448"/>
      <c r="Z206" s="1449"/>
      <c r="AA206" s="1449"/>
      <c r="AB206" s="1449"/>
      <c r="AC206" s="1449"/>
      <c r="AD206" s="1449"/>
      <c r="AE206" s="1449"/>
      <c r="AF206" s="1449"/>
      <c r="AG206" s="1449"/>
      <c r="AH206" s="1449"/>
      <c r="AI206" s="1449"/>
      <c r="AJ206" s="1450"/>
      <c r="AK206" s="689"/>
      <c r="AL206" s="690"/>
      <c r="AM206" s="689"/>
      <c r="AN206" s="689"/>
      <c r="AO206" s="689"/>
      <c r="AP206" s="690"/>
      <c r="AQ206" s="689"/>
      <c r="AR206" s="689"/>
      <c r="AS206" s="689"/>
      <c r="AT206" s="690"/>
      <c r="AU206" s="689"/>
      <c r="AV206" s="689"/>
      <c r="AW206" s="689"/>
      <c r="AX206" s="690"/>
      <c r="AY206" s="689"/>
      <c r="AZ206" s="689"/>
      <c r="BA206" s="689"/>
      <c r="BB206" s="690"/>
      <c r="BC206" s="689"/>
      <c r="BD206" s="689"/>
      <c r="BE206" s="689"/>
      <c r="BF206" s="690"/>
      <c r="BG206" s="689"/>
      <c r="BH206" s="689"/>
      <c r="BI206" s="689"/>
      <c r="BJ206" s="690"/>
      <c r="BK206" s="689"/>
      <c r="BL206" s="689"/>
      <c r="BM206" s="689"/>
      <c r="BN206" s="690"/>
      <c r="BO206" s="689"/>
      <c r="BP206" s="689"/>
      <c r="BQ206" s="689"/>
      <c r="BR206" s="690"/>
      <c r="BS206" s="689"/>
      <c r="BT206" s="689"/>
      <c r="BU206" s="689"/>
      <c r="BV206" s="690"/>
      <c r="BW206" s="689"/>
      <c r="BX206" s="689"/>
      <c r="BY206" s="689"/>
      <c r="BZ206" s="697"/>
      <c r="CA206" s="679"/>
      <c r="CB206" s="657"/>
      <c r="CC206" s="657"/>
      <c r="CD206" s="657"/>
      <c r="CE206" s="657"/>
      <c r="CF206" s="657"/>
      <c r="CG206" s="657"/>
      <c r="CH206" s="657"/>
      <c r="CI206" s="657"/>
    </row>
    <row r="207" spans="1:87" ht="9.9499999999999993" customHeight="1">
      <c r="A207" s="1386"/>
      <c r="B207" s="1387"/>
      <c r="C207" s="1388"/>
      <c r="D207" s="1390" t="s">
        <v>77</v>
      </c>
      <c r="E207" s="1390"/>
      <c r="F207" s="1390"/>
      <c r="G207" s="698"/>
      <c r="H207" s="699"/>
      <c r="I207" s="699"/>
      <c r="J207" s="700"/>
      <c r="K207" s="1466"/>
      <c r="L207" s="1466"/>
      <c r="M207" s="1466"/>
      <c r="N207" s="1466"/>
      <c r="O207" s="1408"/>
      <c r="P207" s="1409"/>
      <c r="Q207" s="1410"/>
      <c r="R207" s="1464"/>
      <c r="S207" s="1464"/>
      <c r="T207" s="1464"/>
      <c r="U207" s="1464"/>
      <c r="V207" s="1464"/>
      <c r="W207" s="1464"/>
      <c r="X207" s="1464"/>
      <c r="Y207" s="682"/>
      <c r="Z207" s="683"/>
      <c r="AA207" s="662"/>
      <c r="AB207" s="662"/>
      <c r="AC207" s="662"/>
      <c r="AD207" s="683"/>
      <c r="AE207" s="662"/>
      <c r="AF207" s="662"/>
      <c r="AG207" s="938"/>
      <c r="AH207" s="702"/>
      <c r="AI207" s="938"/>
      <c r="AJ207" s="938"/>
      <c r="AK207" s="680"/>
      <c r="AL207" s="681"/>
      <c r="AM207" s="680"/>
      <c r="AN207" s="680"/>
      <c r="AO207" s="680"/>
      <c r="AP207" s="681"/>
      <c r="AQ207" s="680"/>
      <c r="AR207" s="680"/>
      <c r="AS207" s="680"/>
      <c r="AT207" s="681"/>
      <c r="AU207" s="680"/>
      <c r="AV207" s="680"/>
      <c r="AW207" s="680"/>
      <c r="AX207" s="681"/>
      <c r="AY207" s="680"/>
      <c r="AZ207" s="680"/>
      <c r="BA207" s="680"/>
      <c r="BB207" s="681"/>
      <c r="BC207" s="680"/>
      <c r="BD207" s="680"/>
      <c r="BE207" s="680"/>
      <c r="BF207" s="681"/>
      <c r="BG207" s="680"/>
      <c r="BH207" s="680"/>
      <c r="BI207" s="680"/>
      <c r="BJ207" s="681"/>
      <c r="BK207" s="680"/>
      <c r="BL207" s="680"/>
      <c r="BM207" s="680"/>
      <c r="BN207" s="681"/>
      <c r="BO207" s="680"/>
      <c r="BP207" s="680"/>
      <c r="BQ207" s="680"/>
      <c r="BR207" s="681"/>
      <c r="BS207" s="680"/>
      <c r="BT207" s="680"/>
      <c r="BU207" s="680"/>
      <c r="BV207" s="681"/>
      <c r="BW207" s="680"/>
      <c r="BX207" s="680"/>
      <c r="BY207" s="680"/>
      <c r="BZ207" s="684"/>
      <c r="CA207" s="668"/>
      <c r="CB207" s="657"/>
      <c r="CC207" s="657"/>
      <c r="CD207" s="657"/>
      <c r="CE207" s="657"/>
      <c r="CF207" s="657"/>
      <c r="CG207" s="657"/>
      <c r="CH207" s="657"/>
      <c r="CI207" s="657"/>
    </row>
    <row r="208" spans="1:87" ht="9.9499999999999993" customHeight="1">
      <c r="A208" s="1468" t="s">
        <v>14</v>
      </c>
      <c r="B208" s="1468"/>
      <c r="C208" s="1468"/>
      <c r="D208" s="1390"/>
      <c r="E208" s="1390"/>
      <c r="F208" s="1390"/>
      <c r="G208" s="691"/>
      <c r="H208" s="692"/>
      <c r="I208" s="692"/>
      <c r="J208" s="687"/>
      <c r="K208" s="1466"/>
      <c r="L208" s="1466"/>
      <c r="M208" s="1466"/>
      <c r="N208" s="1466"/>
      <c r="O208" s="1408"/>
      <c r="P208" s="1409"/>
      <c r="Q208" s="1410"/>
      <c r="R208" s="1464"/>
      <c r="S208" s="1464"/>
      <c r="T208" s="1464"/>
      <c r="U208" s="1464"/>
      <c r="V208" s="1464"/>
      <c r="W208" s="1464"/>
      <c r="X208" s="1464"/>
      <c r="Y208" s="663"/>
      <c r="Z208" s="671"/>
      <c r="AA208" s="663"/>
      <c r="AB208" s="663"/>
      <c r="AC208" s="663"/>
      <c r="AD208" s="671"/>
      <c r="AE208" s="663"/>
      <c r="AF208" s="663"/>
      <c r="AG208" s="939"/>
      <c r="AH208" s="670"/>
      <c r="AI208" s="939"/>
      <c r="AJ208" s="939"/>
      <c r="AK208" s="685"/>
      <c r="AL208" s="686"/>
      <c r="AM208" s="685"/>
      <c r="AN208" s="685"/>
      <c r="AO208" s="685"/>
      <c r="AP208" s="686"/>
      <c r="AQ208" s="685"/>
      <c r="AR208" s="685"/>
      <c r="AS208" s="685"/>
      <c r="AT208" s="686"/>
      <c r="AU208" s="685"/>
      <c r="AV208" s="685"/>
      <c r="AW208" s="685"/>
      <c r="AX208" s="686"/>
      <c r="AY208" s="685"/>
      <c r="AZ208" s="685"/>
      <c r="BA208" s="685"/>
      <c r="BB208" s="686"/>
      <c r="BC208" s="685"/>
      <c r="BD208" s="685"/>
      <c r="BE208" s="685"/>
      <c r="BF208" s="686"/>
      <c r="BG208" s="685"/>
      <c r="BH208" s="685"/>
      <c r="BI208" s="685"/>
      <c r="BJ208" s="686"/>
      <c r="BK208" s="685"/>
      <c r="BL208" s="685"/>
      <c r="BM208" s="685"/>
      <c r="BN208" s="686"/>
      <c r="BO208" s="685"/>
      <c r="BP208" s="685"/>
      <c r="BQ208" s="685"/>
      <c r="BR208" s="686"/>
      <c r="BS208" s="685"/>
      <c r="BT208" s="685"/>
      <c r="BU208" s="685"/>
      <c r="BV208" s="686"/>
      <c r="BW208" s="736"/>
      <c r="BX208" s="736"/>
      <c r="BY208" s="736"/>
      <c r="BZ208" s="737"/>
      <c r="CA208" s="668"/>
      <c r="CB208" s="657"/>
      <c r="CC208" s="657"/>
      <c r="CD208" s="657"/>
      <c r="CE208" s="657"/>
      <c r="CF208" s="657"/>
      <c r="CG208" s="657"/>
      <c r="CH208" s="657"/>
      <c r="CI208" s="657"/>
    </row>
    <row r="209" spans="1:87" ht="9.9499999999999993" customHeight="1">
      <c r="A209" s="1415"/>
      <c r="B209" s="1415"/>
      <c r="C209" s="1415"/>
      <c r="D209" s="1390"/>
      <c r="E209" s="1390"/>
      <c r="F209" s="1390"/>
      <c r="G209" s="691"/>
      <c r="H209" s="692"/>
      <c r="I209" s="692"/>
      <c r="J209" s="687"/>
      <c r="K209" s="1466"/>
      <c r="L209" s="1466"/>
      <c r="M209" s="1466"/>
      <c r="N209" s="1466"/>
      <c r="O209" s="1408"/>
      <c r="P209" s="1409"/>
      <c r="Q209" s="1410"/>
      <c r="R209" s="1464"/>
      <c r="S209" s="1464"/>
      <c r="T209" s="1464"/>
      <c r="U209" s="1464"/>
      <c r="V209" s="1464"/>
      <c r="W209" s="1464"/>
      <c r="X209" s="1464"/>
      <c r="Y209" s="663"/>
      <c r="Z209" s="671"/>
      <c r="AA209" s="663"/>
      <c r="AB209" s="663"/>
      <c r="AC209" s="663"/>
      <c r="AD209" s="671"/>
      <c r="AE209" s="663"/>
      <c r="AF209" s="663"/>
      <c r="AG209" s="939"/>
      <c r="AH209" s="670"/>
      <c r="AI209" s="939"/>
      <c r="AJ209" s="939"/>
      <c r="AK209" s="685"/>
      <c r="AL209" s="686"/>
      <c r="AM209" s="685"/>
      <c r="AN209" s="685"/>
      <c r="AO209" s="685"/>
      <c r="AP209" s="686"/>
      <c r="AQ209" s="685"/>
      <c r="AR209" s="685"/>
      <c r="AS209" s="685"/>
      <c r="AT209" s="686"/>
      <c r="AU209" s="685"/>
      <c r="AV209" s="685"/>
      <c r="AW209" s="685"/>
      <c r="AX209" s="686"/>
      <c r="AY209" s="685"/>
      <c r="AZ209" s="685"/>
      <c r="BA209" s="685"/>
      <c r="BB209" s="686"/>
      <c r="BC209" s="685"/>
      <c r="BD209" s="685"/>
      <c r="BE209" s="663"/>
      <c r="BF209" s="687"/>
      <c r="BG209" s="688"/>
      <c r="BH209" s="688"/>
      <c r="BI209" s="688"/>
      <c r="BJ209" s="687"/>
      <c r="BK209" s="688"/>
      <c r="BL209" s="688"/>
      <c r="BM209" s="688"/>
      <c r="BN209" s="687"/>
      <c r="BO209" s="688"/>
      <c r="BP209" s="688"/>
      <c r="BQ209" s="688"/>
      <c r="BR209" s="687"/>
      <c r="BS209" s="688"/>
      <c r="BT209" s="688"/>
      <c r="BU209" s="688"/>
      <c r="BV209" s="687"/>
      <c r="BW209" s="736"/>
      <c r="BX209" s="736"/>
      <c r="BY209" s="736"/>
      <c r="BZ209" s="737"/>
      <c r="CA209" s="672"/>
      <c r="CB209" s="657"/>
      <c r="CC209" s="657"/>
      <c r="CD209" s="657"/>
      <c r="CE209" s="657"/>
      <c r="CF209" s="657"/>
      <c r="CG209" s="657"/>
      <c r="CH209" s="657"/>
      <c r="CI209" s="657"/>
    </row>
    <row r="210" spans="1:87" ht="9.9499999999999993" customHeight="1">
      <c r="A210" s="1469"/>
      <c r="B210" s="1469"/>
      <c r="C210" s="1469"/>
      <c r="D210" s="1390"/>
      <c r="E210" s="1390"/>
      <c r="F210" s="1390"/>
      <c r="G210" s="691"/>
      <c r="H210" s="692"/>
      <c r="I210" s="692"/>
      <c r="J210" s="687"/>
      <c r="K210" s="1466"/>
      <c r="L210" s="1466"/>
      <c r="M210" s="1466"/>
      <c r="N210" s="1466"/>
      <c r="O210" s="1408"/>
      <c r="P210" s="1409"/>
      <c r="Q210" s="1410"/>
      <c r="R210" s="1464"/>
      <c r="S210" s="1464"/>
      <c r="T210" s="1464"/>
      <c r="U210" s="1464"/>
      <c r="V210" s="1464"/>
      <c r="W210" s="1464"/>
      <c r="X210" s="1464"/>
      <c r="Y210" s="663" t="s">
        <v>3097</v>
      </c>
      <c r="Z210" s="671"/>
      <c r="AA210" s="663"/>
      <c r="AB210" s="663"/>
      <c r="AC210" s="663"/>
      <c r="AD210" s="671"/>
      <c r="AE210" s="663"/>
      <c r="AF210" s="663"/>
      <c r="AG210" s="939"/>
      <c r="AH210" s="670"/>
      <c r="AI210" s="939"/>
      <c r="AJ210" s="939"/>
      <c r="AK210" s="688"/>
      <c r="AL210" s="687"/>
      <c r="AM210" s="688"/>
      <c r="AN210" s="688"/>
      <c r="AO210" s="688"/>
      <c r="AP210" s="687"/>
      <c r="AQ210" s="688"/>
      <c r="AR210" s="688"/>
      <c r="AS210" s="688"/>
      <c r="AT210" s="687"/>
      <c r="AU210" s="688"/>
      <c r="AV210" s="688"/>
      <c r="AW210" s="688"/>
      <c r="AX210" s="687"/>
      <c r="AY210" s="688"/>
      <c r="AZ210" s="688"/>
      <c r="BA210" s="688"/>
      <c r="BB210" s="687"/>
      <c r="BC210" s="688"/>
      <c r="BD210" s="688"/>
      <c r="BE210" s="688"/>
      <c r="BF210" s="687"/>
      <c r="BG210" s="688"/>
      <c r="BH210" s="688"/>
      <c r="BI210" s="688"/>
      <c r="BJ210" s="687"/>
      <c r="BK210" s="688"/>
      <c r="BL210" s="688"/>
      <c r="BM210" s="688"/>
      <c r="BN210" s="687"/>
      <c r="BO210" s="688"/>
      <c r="BP210" s="688"/>
      <c r="BQ210" s="688"/>
      <c r="BR210" s="687"/>
      <c r="BS210" s="688"/>
      <c r="BT210" s="688"/>
      <c r="BU210" s="688"/>
      <c r="BV210" s="687"/>
      <c r="BW210" s="736"/>
      <c r="BX210" s="736"/>
      <c r="BY210" s="736"/>
      <c r="BZ210" s="737"/>
      <c r="CA210" s="672"/>
      <c r="CB210" s="657"/>
      <c r="CC210" s="657"/>
      <c r="CD210" s="657"/>
      <c r="CE210" s="657"/>
      <c r="CF210" s="657"/>
      <c r="CG210" s="657"/>
      <c r="CH210" s="657"/>
      <c r="CI210" s="657"/>
    </row>
    <row r="211" spans="1:87" ht="9.9499999999999993" customHeight="1">
      <c r="A211" s="1473" t="s">
        <v>38</v>
      </c>
      <c r="B211" s="1473"/>
      <c r="C211" s="1473"/>
      <c r="D211" s="1390"/>
      <c r="E211" s="1390"/>
      <c r="F211" s="1390"/>
      <c r="G211" s="691"/>
      <c r="H211" s="692"/>
      <c r="I211" s="692"/>
      <c r="J211" s="687"/>
      <c r="K211" s="1466"/>
      <c r="L211" s="1466"/>
      <c r="M211" s="1466"/>
      <c r="N211" s="1466"/>
      <c r="O211" s="1408"/>
      <c r="P211" s="1409"/>
      <c r="Q211" s="1410"/>
      <c r="R211" s="1464"/>
      <c r="S211" s="1464"/>
      <c r="T211" s="1464"/>
      <c r="U211" s="1464"/>
      <c r="V211" s="1464"/>
      <c r="W211" s="1464"/>
      <c r="X211" s="1464"/>
      <c r="Y211" s="663"/>
      <c r="Z211" s="671"/>
      <c r="AA211" s="663"/>
      <c r="AB211" s="663"/>
      <c r="AC211" s="663"/>
      <c r="AD211" s="671"/>
      <c r="AE211" s="663"/>
      <c r="AF211" s="663"/>
      <c r="AG211" s="939"/>
      <c r="AH211" s="670"/>
      <c r="AI211" s="939"/>
      <c r="AJ211" s="939"/>
      <c r="AK211" s="685"/>
      <c r="AL211" s="686"/>
      <c r="AM211" s="685"/>
      <c r="AN211" s="685"/>
      <c r="AO211" s="685"/>
      <c r="AP211" s="686"/>
      <c r="AQ211" s="685"/>
      <c r="AR211" s="685"/>
      <c r="AS211" s="685"/>
      <c r="AT211" s="686"/>
      <c r="AU211" s="685"/>
      <c r="AV211" s="685"/>
      <c r="AW211" s="685"/>
      <c r="AX211" s="686"/>
      <c r="AY211" s="685"/>
      <c r="AZ211" s="685"/>
      <c r="BA211" s="685"/>
      <c r="BB211" s="686"/>
      <c r="BC211" s="685"/>
      <c r="BD211" s="685"/>
      <c r="BE211" s="685"/>
      <c r="BF211" s="686"/>
      <c r="BG211" s="685"/>
      <c r="BH211" s="685"/>
      <c r="BI211" s="685"/>
      <c r="BJ211" s="686"/>
      <c r="BK211" s="685"/>
      <c r="BL211" s="685"/>
      <c r="BM211" s="685"/>
      <c r="BN211" s="686"/>
      <c r="BO211" s="685"/>
      <c r="BP211" s="685"/>
      <c r="BQ211" s="685"/>
      <c r="BR211" s="686"/>
      <c r="BS211" s="685"/>
      <c r="BT211" s="685"/>
      <c r="BU211" s="685"/>
      <c r="BV211" s="686"/>
      <c r="BW211" s="736"/>
      <c r="BX211" s="736"/>
      <c r="BY211" s="736"/>
      <c r="BZ211" s="737"/>
      <c r="CA211" s="668"/>
      <c r="CB211" s="657"/>
      <c r="CC211" s="657"/>
      <c r="CD211" s="657"/>
      <c r="CE211" s="657"/>
      <c r="CF211" s="657"/>
      <c r="CG211" s="657"/>
      <c r="CH211" s="657"/>
      <c r="CI211" s="657"/>
    </row>
    <row r="212" spans="1:87" ht="9.9499999999999993" customHeight="1">
      <c r="A212" s="1474" t="str">
        <f>BK176</f>
        <v>木</v>
      </c>
      <c r="B212" s="1474"/>
      <c r="C212" s="1474"/>
      <c r="D212" s="1390"/>
      <c r="E212" s="1390"/>
      <c r="F212" s="1390"/>
      <c r="G212" s="691"/>
      <c r="H212" s="692"/>
      <c r="I212" s="692"/>
      <c r="J212" s="687"/>
      <c r="K212" s="1466"/>
      <c r="L212" s="1466"/>
      <c r="M212" s="1466"/>
      <c r="N212" s="1466"/>
      <c r="O212" s="1408"/>
      <c r="P212" s="1409"/>
      <c r="Q212" s="1410"/>
      <c r="R212" s="1464"/>
      <c r="S212" s="1464"/>
      <c r="T212" s="1464"/>
      <c r="U212" s="1464"/>
      <c r="V212" s="1464"/>
      <c r="W212" s="1464"/>
      <c r="X212" s="1464"/>
      <c r="Y212" s="663"/>
      <c r="Z212" s="671"/>
      <c r="AA212" s="663"/>
      <c r="AB212" s="663"/>
      <c r="AC212" s="663"/>
      <c r="AD212" s="671"/>
      <c r="AE212" s="663"/>
      <c r="AF212" s="663"/>
      <c r="AG212" s="939"/>
      <c r="AH212" s="670"/>
      <c r="AI212" s="939"/>
      <c r="AJ212" s="939"/>
      <c r="AK212" s="685"/>
      <c r="AL212" s="686"/>
      <c r="AM212" s="685"/>
      <c r="AN212" s="685"/>
      <c r="AO212" s="685"/>
      <c r="AP212" s="686"/>
      <c r="AQ212" s="685"/>
      <c r="AR212" s="685"/>
      <c r="AS212" s="685"/>
      <c r="AT212" s="686"/>
      <c r="AU212" s="685"/>
      <c r="AV212" s="685"/>
      <c r="AW212" s="685"/>
      <c r="AX212" s="686"/>
      <c r="AY212" s="685"/>
      <c r="AZ212" s="685"/>
      <c r="BA212" s="685"/>
      <c r="BB212" s="686"/>
      <c r="BC212" s="685"/>
      <c r="BD212" s="685"/>
      <c r="BE212" s="685"/>
      <c r="BF212" s="686"/>
      <c r="BG212" s="685"/>
      <c r="BH212" s="685"/>
      <c r="BI212" s="685"/>
      <c r="BJ212" s="686"/>
      <c r="BK212" s="685"/>
      <c r="BL212" s="685"/>
      <c r="BM212" s="685"/>
      <c r="BN212" s="686"/>
      <c r="BO212" s="685"/>
      <c r="BP212" s="685"/>
      <c r="BQ212" s="685"/>
      <c r="BR212" s="686"/>
      <c r="BS212" s="685"/>
      <c r="BT212" s="685"/>
      <c r="BU212" s="685"/>
      <c r="BV212" s="686"/>
      <c r="BW212" s="736"/>
      <c r="BX212" s="736"/>
      <c r="BY212" s="736"/>
      <c r="BZ212" s="737"/>
      <c r="CA212" s="668"/>
      <c r="CB212" s="657"/>
      <c r="CC212" s="657"/>
      <c r="CD212" s="657"/>
      <c r="CE212" s="657"/>
      <c r="CF212" s="657"/>
      <c r="CG212" s="657"/>
      <c r="CH212" s="657"/>
      <c r="CI212" s="657"/>
    </row>
    <row r="213" spans="1:87" ht="9.9499999999999993" customHeight="1">
      <c r="A213" s="1475"/>
      <c r="B213" s="1475"/>
      <c r="C213" s="1475"/>
      <c r="D213" s="1390"/>
      <c r="E213" s="1390"/>
      <c r="F213" s="1390"/>
      <c r="G213" s="691"/>
      <c r="H213" s="692"/>
      <c r="I213" s="692"/>
      <c r="J213" s="687"/>
      <c r="K213" s="1466"/>
      <c r="L213" s="1466"/>
      <c r="M213" s="1466"/>
      <c r="N213" s="1466"/>
      <c r="O213" s="1408"/>
      <c r="P213" s="1409"/>
      <c r="Q213" s="1410"/>
      <c r="R213" s="1464"/>
      <c r="S213" s="1464"/>
      <c r="T213" s="1464"/>
      <c r="U213" s="1464"/>
      <c r="V213" s="1464"/>
      <c r="W213" s="1464"/>
      <c r="X213" s="1464"/>
      <c r="Y213" s="663"/>
      <c r="Z213" s="671"/>
      <c r="AA213" s="663"/>
      <c r="AB213" s="663"/>
      <c r="AC213" s="663"/>
      <c r="AD213" s="671"/>
      <c r="AE213" s="663"/>
      <c r="AF213" s="663"/>
      <c r="AG213" s="939"/>
      <c r="AH213" s="670"/>
      <c r="AI213" s="939"/>
      <c r="AJ213" s="939"/>
      <c r="AK213" s="685"/>
      <c r="AL213" s="686"/>
      <c r="AM213" s="685"/>
      <c r="AN213" s="685"/>
      <c r="AO213" s="685"/>
      <c r="AP213" s="686"/>
      <c r="AQ213" s="685"/>
      <c r="AR213" s="685"/>
      <c r="AS213" s="685"/>
      <c r="AT213" s="686"/>
      <c r="AU213" s="685"/>
      <c r="AV213" s="685"/>
      <c r="AW213" s="685"/>
      <c r="AX213" s="686"/>
      <c r="AY213" s="685"/>
      <c r="AZ213" s="685"/>
      <c r="BA213" s="685"/>
      <c r="BB213" s="686"/>
      <c r="BC213" s="685"/>
      <c r="BD213" s="685"/>
      <c r="BE213" s="685"/>
      <c r="BF213" s="686"/>
      <c r="BG213" s="685"/>
      <c r="BH213" s="685"/>
      <c r="BI213" s="685"/>
      <c r="BJ213" s="686"/>
      <c r="BK213" s="685"/>
      <c r="BL213" s="685"/>
      <c r="BM213" s="685"/>
      <c r="BN213" s="686"/>
      <c r="BO213" s="685"/>
      <c r="BP213" s="685"/>
      <c r="BQ213" s="685"/>
      <c r="BR213" s="686"/>
      <c r="BS213" s="685"/>
      <c r="BT213" s="685"/>
      <c r="BU213" s="685"/>
      <c r="BV213" s="686"/>
      <c r="BW213" s="736"/>
      <c r="BX213" s="736"/>
      <c r="BY213" s="736"/>
      <c r="BZ213" s="737"/>
      <c r="CA213" s="668"/>
      <c r="CB213" s="657"/>
      <c r="CC213" s="657"/>
      <c r="CD213" s="657"/>
      <c r="CE213" s="657"/>
      <c r="CF213" s="657"/>
      <c r="CG213" s="657"/>
      <c r="CH213" s="657"/>
      <c r="CI213" s="657"/>
    </row>
    <row r="214" spans="1:87" ht="9.9499999999999993" customHeight="1">
      <c r="A214" s="1468" t="s">
        <v>37</v>
      </c>
      <c r="B214" s="1468"/>
      <c r="C214" s="1468"/>
      <c r="D214" s="1390"/>
      <c r="E214" s="1390"/>
      <c r="F214" s="1390"/>
      <c r="G214" s="695"/>
      <c r="H214" s="696"/>
      <c r="I214" s="696"/>
      <c r="J214" s="697"/>
      <c r="K214" s="1466"/>
      <c r="L214" s="1466"/>
      <c r="M214" s="1466"/>
      <c r="N214" s="1466"/>
      <c r="O214" s="1411"/>
      <c r="P214" s="1412"/>
      <c r="Q214" s="1413"/>
      <c r="R214" s="1464"/>
      <c r="S214" s="1464"/>
      <c r="T214" s="1464"/>
      <c r="U214" s="1464"/>
      <c r="V214" s="1464"/>
      <c r="W214" s="1464"/>
      <c r="X214" s="1464"/>
      <c r="Y214" s="676"/>
      <c r="Z214" s="676"/>
      <c r="AA214" s="706"/>
      <c r="AB214" s="676"/>
      <c r="AC214" s="676"/>
      <c r="AD214" s="676"/>
      <c r="AE214" s="706"/>
      <c r="AF214" s="676"/>
      <c r="AG214" s="940"/>
      <c r="AH214" s="941"/>
      <c r="AI214" s="940"/>
      <c r="AJ214" s="940"/>
      <c r="AK214" s="689"/>
      <c r="AL214" s="689"/>
      <c r="AM214" s="705"/>
      <c r="AN214" s="689"/>
      <c r="AO214" s="689"/>
      <c r="AP214" s="689"/>
      <c r="AQ214" s="705"/>
      <c r="AR214" s="689"/>
      <c r="AS214" s="689"/>
      <c r="AT214" s="689"/>
      <c r="AU214" s="705"/>
      <c r="AV214" s="689"/>
      <c r="AW214" s="689"/>
      <c r="AX214" s="689"/>
      <c r="AY214" s="705"/>
      <c r="AZ214" s="689"/>
      <c r="BA214" s="689"/>
      <c r="BB214" s="689"/>
      <c r="BC214" s="705"/>
      <c r="BD214" s="689"/>
      <c r="BE214" s="689"/>
      <c r="BF214" s="689"/>
      <c r="BG214" s="705"/>
      <c r="BH214" s="689"/>
      <c r="BI214" s="689"/>
      <c r="BJ214" s="689"/>
      <c r="BK214" s="705"/>
      <c r="BL214" s="689"/>
      <c r="BM214" s="689"/>
      <c r="BN214" s="689"/>
      <c r="BO214" s="705"/>
      <c r="BP214" s="689"/>
      <c r="BQ214" s="689"/>
      <c r="BR214" s="689"/>
      <c r="BS214" s="705"/>
      <c r="BT214" s="689"/>
      <c r="BU214" s="689"/>
      <c r="BV214" s="689"/>
      <c r="BW214" s="738"/>
      <c r="BX214" s="739"/>
      <c r="BY214" s="739"/>
      <c r="BZ214" s="740"/>
      <c r="CA214" s="679"/>
      <c r="CB214" s="657"/>
      <c r="CC214" s="657"/>
      <c r="CD214" s="657"/>
      <c r="CE214" s="657"/>
      <c r="CF214" s="657"/>
      <c r="CG214" s="657"/>
      <c r="CH214" s="657"/>
      <c r="CI214" s="657"/>
    </row>
    <row r="215" spans="1:87" ht="13.5" customHeight="1">
      <c r="A215" s="708"/>
      <c r="B215" s="708"/>
      <c r="C215" s="708"/>
      <c r="D215" s="708"/>
      <c r="E215" s="708"/>
      <c r="F215" s="708"/>
      <c r="G215" s="1461"/>
      <c r="H215" s="1461"/>
      <c r="I215" s="1391">
        <v>0.25</v>
      </c>
      <c r="J215" s="1391"/>
      <c r="K215" s="1391"/>
      <c r="L215" s="1391"/>
      <c r="M215" s="1391">
        <v>0.29166666666666669</v>
      </c>
      <c r="N215" s="1391"/>
      <c r="O215" s="1391"/>
      <c r="P215" s="1391"/>
      <c r="Q215" s="1391">
        <v>0.33333333333333331</v>
      </c>
      <c r="R215" s="1391"/>
      <c r="S215" s="1391"/>
      <c r="T215" s="1391"/>
      <c r="U215" s="1391">
        <v>0.375</v>
      </c>
      <c r="V215" s="1391"/>
      <c r="W215" s="1391"/>
      <c r="X215" s="1391"/>
      <c r="Y215" s="1391">
        <v>0.41666666666666669</v>
      </c>
      <c r="Z215" s="1418"/>
      <c r="AA215" s="1391"/>
      <c r="AB215" s="1391"/>
      <c r="AC215" s="1391">
        <v>0.45833333333333331</v>
      </c>
      <c r="AD215" s="1391"/>
      <c r="AE215" s="1391"/>
      <c r="AF215" s="1391"/>
      <c r="AG215" s="1385">
        <v>0.5</v>
      </c>
      <c r="AH215" s="1385"/>
      <c r="AI215" s="1385"/>
      <c r="AJ215" s="1385"/>
      <c r="AK215" s="1385">
        <v>4.1666666666666664E-2</v>
      </c>
      <c r="AL215" s="1385"/>
      <c r="AM215" s="1385"/>
      <c r="AN215" s="1385"/>
      <c r="AO215" s="1385">
        <v>8.3333333333333329E-2</v>
      </c>
      <c r="AP215" s="1385"/>
      <c r="AQ215" s="1385"/>
      <c r="AR215" s="1385"/>
      <c r="AS215" s="1385">
        <v>0.125</v>
      </c>
      <c r="AT215" s="1385"/>
      <c r="AU215" s="1385"/>
      <c r="AV215" s="1385"/>
      <c r="AW215" s="1385">
        <v>0.16666666666666666</v>
      </c>
      <c r="AX215" s="1385"/>
      <c r="AY215" s="1385"/>
      <c r="AZ215" s="1385"/>
      <c r="BA215" s="1385">
        <v>0.20833333333333334</v>
      </c>
      <c r="BB215" s="1385"/>
      <c r="BC215" s="1385"/>
      <c r="BD215" s="1385"/>
      <c r="BE215" s="1385">
        <v>0.25</v>
      </c>
      <c r="BF215" s="1385"/>
      <c r="BG215" s="1385"/>
      <c r="BH215" s="1385"/>
      <c r="BI215" s="1385">
        <v>0.29166666666666669</v>
      </c>
      <c r="BJ215" s="1385"/>
      <c r="BK215" s="1385"/>
      <c r="BL215" s="1385"/>
      <c r="BM215" s="1385">
        <v>0.33333333333333331</v>
      </c>
      <c r="BN215" s="1385"/>
      <c r="BO215" s="1385"/>
      <c r="BP215" s="1385"/>
      <c r="BQ215" s="1385">
        <v>0.375</v>
      </c>
      <c r="BR215" s="1385"/>
      <c r="BS215" s="1385"/>
      <c r="BT215" s="1385"/>
      <c r="BU215" s="1385">
        <v>0.41666666666666669</v>
      </c>
      <c r="BV215" s="1414"/>
      <c r="BW215" s="1414"/>
      <c r="BX215" s="1414"/>
      <c r="BY215" s="652"/>
      <c r="BZ215" s="652"/>
      <c r="CA215" s="652"/>
      <c r="CB215" s="657"/>
      <c r="CC215" s="657"/>
      <c r="CD215" s="657"/>
      <c r="CE215" s="657"/>
      <c r="CF215" s="657"/>
      <c r="CG215" s="657"/>
      <c r="CH215" s="657"/>
      <c r="CI215" s="657"/>
    </row>
    <row r="216" spans="1:87" ht="13.5" customHeight="1">
      <c r="A216" s="1415" t="s">
        <v>75</v>
      </c>
      <c r="B216" s="1415"/>
      <c r="C216" s="1415"/>
      <c r="D216" s="1463" t="s">
        <v>3103</v>
      </c>
      <c r="E216" s="1416"/>
      <c r="F216" s="1416"/>
      <c r="G216" s="1416"/>
      <c r="H216" s="1416"/>
      <c r="I216" s="1416"/>
      <c r="J216" s="1416"/>
      <c r="K216" s="1416"/>
      <c r="L216" s="1416"/>
      <c r="M216" s="1416"/>
      <c r="N216" s="1416"/>
      <c r="O216" s="1416"/>
      <c r="P216" s="1416"/>
      <c r="Q216" s="1416"/>
      <c r="R216" s="1416"/>
      <c r="S216" s="1416"/>
      <c r="T216" s="1416"/>
      <c r="U216" s="1416"/>
      <c r="V216" s="1416"/>
      <c r="W216" s="1416"/>
      <c r="X216" s="1416"/>
      <c r="Y216" s="1416"/>
      <c r="Z216" s="1416"/>
      <c r="AA216" s="1416"/>
      <c r="AB216" s="1416"/>
      <c r="AC216" s="1416"/>
      <c r="AD216" s="1416"/>
      <c r="AE216" s="1416"/>
      <c r="AF216" s="1416"/>
      <c r="AG216" s="1416"/>
      <c r="AH216" s="1416"/>
      <c r="AI216" s="1416"/>
      <c r="AJ216" s="1416"/>
      <c r="AK216" s="1416"/>
      <c r="AL216" s="1416"/>
      <c r="AM216" s="1416"/>
      <c r="AN216" s="1416"/>
      <c r="AO216" s="1416"/>
      <c r="AP216" s="1416"/>
      <c r="AQ216" s="1416"/>
      <c r="AR216" s="1416"/>
      <c r="AS216" s="1416"/>
      <c r="AT216" s="1416"/>
      <c r="AU216" s="1416"/>
      <c r="AV216" s="1416"/>
      <c r="AW216" s="1416"/>
      <c r="AX216" s="1416"/>
      <c r="AY216" s="1416"/>
      <c r="AZ216" s="1416"/>
      <c r="BA216" s="1416"/>
      <c r="BB216" s="1416"/>
      <c r="BC216" s="1416"/>
      <c r="BD216" s="1416"/>
      <c r="BE216" s="1416"/>
      <c r="BF216" s="1416"/>
      <c r="BG216" s="1416"/>
      <c r="BH216" s="1416"/>
      <c r="BI216" s="1416"/>
      <c r="BJ216" s="1416"/>
      <c r="BK216" s="1416"/>
      <c r="BL216" s="1416"/>
      <c r="BM216" s="1416"/>
      <c r="BN216" s="1416"/>
      <c r="BO216" s="1416"/>
      <c r="BP216" s="1416"/>
      <c r="BQ216" s="1416"/>
      <c r="BR216" s="1416"/>
      <c r="BS216" s="1416"/>
      <c r="BT216" s="1416"/>
      <c r="BU216" s="1416"/>
      <c r="BV216" s="1416"/>
      <c r="BW216" s="1416"/>
      <c r="BX216" s="1416"/>
      <c r="BY216" s="1416"/>
      <c r="BZ216" s="1416"/>
      <c r="CA216" s="672"/>
      <c r="CB216" s="709"/>
      <c r="CC216" s="709"/>
      <c r="CD216" s="709"/>
      <c r="CE216" s="709"/>
      <c r="CF216" s="709"/>
      <c r="CG216" s="709"/>
      <c r="CH216" s="709"/>
      <c r="CI216" s="709"/>
    </row>
    <row r="217" spans="1:87">
      <c r="A217" s="1415"/>
      <c r="B217" s="1415"/>
      <c r="C217" s="1415"/>
      <c r="D217" s="1416"/>
      <c r="E217" s="1416"/>
      <c r="F217" s="1416"/>
      <c r="G217" s="1416"/>
      <c r="H217" s="1416"/>
      <c r="I217" s="1416"/>
      <c r="J217" s="1416"/>
      <c r="K217" s="1416"/>
      <c r="L217" s="1416"/>
      <c r="M217" s="1416"/>
      <c r="N217" s="1416"/>
      <c r="O217" s="1416"/>
      <c r="P217" s="1416"/>
      <c r="Q217" s="1416"/>
      <c r="R217" s="1416"/>
      <c r="S217" s="1416"/>
      <c r="T217" s="1416"/>
      <c r="U217" s="1416"/>
      <c r="V217" s="1416"/>
      <c r="W217" s="1416"/>
      <c r="X217" s="1416"/>
      <c r="Y217" s="1416"/>
      <c r="Z217" s="1416"/>
      <c r="AA217" s="1416"/>
      <c r="AB217" s="1416"/>
      <c r="AC217" s="1416"/>
      <c r="AD217" s="1416"/>
      <c r="AE217" s="1416"/>
      <c r="AF217" s="1416"/>
      <c r="AG217" s="1416"/>
      <c r="AH217" s="1416"/>
      <c r="AI217" s="1416"/>
      <c r="AJ217" s="1416"/>
      <c r="AK217" s="1416"/>
      <c r="AL217" s="1416"/>
      <c r="AM217" s="1416"/>
      <c r="AN217" s="1416"/>
      <c r="AO217" s="1416"/>
      <c r="AP217" s="1416"/>
      <c r="AQ217" s="1416"/>
      <c r="AR217" s="1416"/>
      <c r="AS217" s="1416"/>
      <c r="AT217" s="1416"/>
      <c r="AU217" s="1416"/>
      <c r="AV217" s="1416"/>
      <c r="AW217" s="1416"/>
      <c r="AX217" s="1416"/>
      <c r="AY217" s="1416"/>
      <c r="AZ217" s="1416"/>
      <c r="BA217" s="1416"/>
      <c r="BB217" s="1416"/>
      <c r="BC217" s="1416"/>
      <c r="BD217" s="1416"/>
      <c r="BE217" s="1416"/>
      <c r="BF217" s="1416"/>
      <c r="BG217" s="1416"/>
      <c r="BH217" s="1416"/>
      <c r="BI217" s="1416"/>
      <c r="BJ217" s="1416"/>
      <c r="BK217" s="1416"/>
      <c r="BL217" s="1416"/>
      <c r="BM217" s="1416"/>
      <c r="BN217" s="1416"/>
      <c r="BO217" s="1416"/>
      <c r="BP217" s="1416"/>
      <c r="BQ217" s="1416"/>
      <c r="BR217" s="1416"/>
      <c r="BS217" s="1416"/>
      <c r="BT217" s="1416"/>
      <c r="BU217" s="1416"/>
      <c r="BV217" s="1416"/>
      <c r="BW217" s="1416"/>
      <c r="BX217" s="1416"/>
      <c r="BY217" s="1416"/>
      <c r="BZ217" s="1416"/>
      <c r="CA217" s="672"/>
      <c r="CB217" s="709"/>
      <c r="CC217" s="709"/>
      <c r="CD217" s="709"/>
      <c r="CE217" s="709"/>
      <c r="CF217" s="709"/>
      <c r="CG217" s="709"/>
      <c r="CH217" s="709"/>
      <c r="CI217" s="709"/>
    </row>
    <row r="218" spans="1:87">
      <c r="A218" s="1415"/>
      <c r="B218" s="1415"/>
      <c r="C218" s="1415"/>
      <c r="D218" s="1416"/>
      <c r="E218" s="1416"/>
      <c r="F218" s="1416"/>
      <c r="G218" s="1416"/>
      <c r="H218" s="1416"/>
      <c r="I218" s="1416"/>
      <c r="J218" s="1416"/>
      <c r="K218" s="1416"/>
      <c r="L218" s="1416"/>
      <c r="M218" s="1416"/>
      <c r="N218" s="1416"/>
      <c r="O218" s="1416"/>
      <c r="P218" s="1416"/>
      <c r="Q218" s="1416"/>
      <c r="R218" s="1416"/>
      <c r="S218" s="1416"/>
      <c r="T218" s="1416"/>
      <c r="U218" s="1416"/>
      <c r="V218" s="1416"/>
      <c r="W218" s="1416"/>
      <c r="X218" s="1416"/>
      <c r="Y218" s="1416"/>
      <c r="Z218" s="1416"/>
      <c r="AA218" s="1416"/>
      <c r="AB218" s="1416"/>
      <c r="AC218" s="1416"/>
      <c r="AD218" s="1416"/>
      <c r="AE218" s="1416"/>
      <c r="AF218" s="1416"/>
      <c r="AG218" s="1416"/>
      <c r="AH218" s="1416"/>
      <c r="AI218" s="1416"/>
      <c r="AJ218" s="1416"/>
      <c r="AK218" s="1416"/>
      <c r="AL218" s="1416"/>
      <c r="AM218" s="1416"/>
      <c r="AN218" s="1416"/>
      <c r="AO218" s="1416"/>
      <c r="AP218" s="1416"/>
      <c r="AQ218" s="1416"/>
      <c r="AR218" s="1416"/>
      <c r="AS218" s="1416"/>
      <c r="AT218" s="1416"/>
      <c r="AU218" s="1416"/>
      <c r="AV218" s="1416"/>
      <c r="AW218" s="1416"/>
      <c r="AX218" s="1416"/>
      <c r="AY218" s="1416"/>
      <c r="AZ218" s="1416"/>
      <c r="BA218" s="1416"/>
      <c r="BB218" s="1416"/>
      <c r="BC218" s="1416"/>
      <c r="BD218" s="1416"/>
      <c r="BE218" s="1416"/>
      <c r="BF218" s="1416"/>
      <c r="BG218" s="1416"/>
      <c r="BH218" s="1416"/>
      <c r="BI218" s="1416"/>
      <c r="BJ218" s="1416"/>
      <c r="BK218" s="1416"/>
      <c r="BL218" s="1416"/>
      <c r="BM218" s="1416"/>
      <c r="BN218" s="1416"/>
      <c r="BO218" s="1416"/>
      <c r="BP218" s="1416"/>
      <c r="BQ218" s="1416"/>
      <c r="BR218" s="1416"/>
      <c r="BS218" s="1416"/>
      <c r="BT218" s="1416"/>
      <c r="BU218" s="1416"/>
      <c r="BV218" s="1416"/>
      <c r="BW218" s="1416"/>
      <c r="BX218" s="1416"/>
      <c r="BY218" s="1416"/>
      <c r="BZ218" s="1416"/>
      <c r="CA218" s="672"/>
      <c r="CB218" s="709"/>
      <c r="CC218" s="709"/>
      <c r="CD218" s="709"/>
      <c r="CE218" s="709"/>
      <c r="CF218" s="709"/>
      <c r="CG218" s="709"/>
      <c r="CH218" s="709"/>
      <c r="CI218" s="709"/>
    </row>
    <row r="219" spans="1:87">
      <c r="A219" s="1415"/>
      <c r="B219" s="1415"/>
      <c r="C219" s="1415"/>
      <c r="D219" s="1416"/>
      <c r="E219" s="1416"/>
      <c r="F219" s="1416"/>
      <c r="G219" s="1416"/>
      <c r="H219" s="1416"/>
      <c r="I219" s="1416"/>
      <c r="J219" s="1416"/>
      <c r="K219" s="1416"/>
      <c r="L219" s="1416"/>
      <c r="M219" s="1416"/>
      <c r="N219" s="1416"/>
      <c r="O219" s="1416"/>
      <c r="P219" s="1416"/>
      <c r="Q219" s="1416"/>
      <c r="R219" s="1416"/>
      <c r="S219" s="1416"/>
      <c r="T219" s="1416"/>
      <c r="U219" s="1416"/>
      <c r="V219" s="1416"/>
      <c r="W219" s="1416"/>
      <c r="X219" s="1416"/>
      <c r="Y219" s="1416"/>
      <c r="Z219" s="1416"/>
      <c r="AA219" s="1416"/>
      <c r="AB219" s="1416"/>
      <c r="AC219" s="1416"/>
      <c r="AD219" s="1416"/>
      <c r="AE219" s="1416"/>
      <c r="AF219" s="1416"/>
      <c r="AG219" s="1416"/>
      <c r="AH219" s="1416"/>
      <c r="AI219" s="1416"/>
      <c r="AJ219" s="1416"/>
      <c r="AK219" s="1416"/>
      <c r="AL219" s="1416"/>
      <c r="AM219" s="1416"/>
      <c r="AN219" s="1416"/>
      <c r="AO219" s="1416"/>
      <c r="AP219" s="1416"/>
      <c r="AQ219" s="1416"/>
      <c r="AR219" s="1416"/>
      <c r="AS219" s="1416"/>
      <c r="AT219" s="1416"/>
      <c r="AU219" s="1416"/>
      <c r="AV219" s="1416"/>
      <c r="AW219" s="1416"/>
      <c r="AX219" s="1416"/>
      <c r="AY219" s="1416"/>
      <c r="AZ219" s="1416"/>
      <c r="BA219" s="1416"/>
      <c r="BB219" s="1416"/>
      <c r="BC219" s="1416"/>
      <c r="BD219" s="1416"/>
      <c r="BE219" s="1416"/>
      <c r="BF219" s="1416"/>
      <c r="BG219" s="1416"/>
      <c r="BH219" s="1416"/>
      <c r="BI219" s="1416"/>
      <c r="BJ219" s="1416"/>
      <c r="BK219" s="1416"/>
      <c r="BL219" s="1416"/>
      <c r="BM219" s="1416"/>
      <c r="BN219" s="1416"/>
      <c r="BO219" s="1416"/>
      <c r="BP219" s="1416"/>
      <c r="BQ219" s="1416"/>
      <c r="BR219" s="1416"/>
      <c r="BS219" s="1416"/>
      <c r="BT219" s="1416"/>
      <c r="BU219" s="1416"/>
      <c r="BV219" s="1416"/>
      <c r="BW219" s="1416"/>
      <c r="BX219" s="1416"/>
      <c r="BY219" s="1416"/>
      <c r="BZ219" s="1416"/>
      <c r="CA219" s="672"/>
      <c r="CB219" s="709"/>
      <c r="CC219" s="709"/>
      <c r="CD219" s="709"/>
      <c r="CE219" s="709"/>
      <c r="CF219" s="709"/>
      <c r="CG219" s="709"/>
      <c r="CH219" s="709"/>
      <c r="CI219" s="709"/>
    </row>
    <row r="220" spans="1:87">
      <c r="A220" s="1415"/>
      <c r="B220" s="1415"/>
      <c r="C220" s="1415"/>
      <c r="D220" s="1416"/>
      <c r="E220" s="1416"/>
      <c r="F220" s="1416"/>
      <c r="G220" s="1416"/>
      <c r="H220" s="1416"/>
      <c r="I220" s="1416"/>
      <c r="J220" s="1416"/>
      <c r="K220" s="1416"/>
      <c r="L220" s="1416"/>
      <c r="M220" s="1416"/>
      <c r="N220" s="1416"/>
      <c r="O220" s="1416"/>
      <c r="P220" s="1416"/>
      <c r="Q220" s="1416"/>
      <c r="R220" s="1416"/>
      <c r="S220" s="1416"/>
      <c r="T220" s="1416"/>
      <c r="U220" s="1416"/>
      <c r="V220" s="1416"/>
      <c r="W220" s="1416"/>
      <c r="X220" s="1416"/>
      <c r="Y220" s="1416"/>
      <c r="Z220" s="1416"/>
      <c r="AA220" s="1416"/>
      <c r="AB220" s="1416"/>
      <c r="AC220" s="1416"/>
      <c r="AD220" s="1416"/>
      <c r="AE220" s="1416"/>
      <c r="AF220" s="1416"/>
      <c r="AG220" s="1416"/>
      <c r="AH220" s="1416"/>
      <c r="AI220" s="1416"/>
      <c r="AJ220" s="1416"/>
      <c r="AK220" s="1416"/>
      <c r="AL220" s="1416"/>
      <c r="AM220" s="1416"/>
      <c r="AN220" s="1416"/>
      <c r="AO220" s="1416"/>
      <c r="AP220" s="1416"/>
      <c r="AQ220" s="1416"/>
      <c r="AR220" s="1416"/>
      <c r="AS220" s="1416"/>
      <c r="AT220" s="1416"/>
      <c r="AU220" s="1416"/>
      <c r="AV220" s="1416"/>
      <c r="AW220" s="1416"/>
      <c r="AX220" s="1416"/>
      <c r="AY220" s="1416"/>
      <c r="AZ220" s="1416"/>
      <c r="BA220" s="1416"/>
      <c r="BB220" s="1416"/>
      <c r="BC220" s="1416"/>
      <c r="BD220" s="1416"/>
      <c r="BE220" s="1416"/>
      <c r="BF220" s="1416"/>
      <c r="BG220" s="1416"/>
      <c r="BH220" s="1416"/>
      <c r="BI220" s="1416"/>
      <c r="BJ220" s="1416"/>
      <c r="BK220" s="1416"/>
      <c r="BL220" s="1416"/>
      <c r="BM220" s="1416"/>
      <c r="BN220" s="1416"/>
      <c r="BO220" s="1416"/>
      <c r="BP220" s="1416"/>
      <c r="BQ220" s="1416"/>
      <c r="BR220" s="1416"/>
      <c r="BS220" s="1416"/>
      <c r="BT220" s="1416"/>
      <c r="BU220" s="1416"/>
      <c r="BV220" s="1416"/>
      <c r="BW220" s="1416"/>
      <c r="BX220" s="1416"/>
      <c r="BY220" s="1416"/>
      <c r="BZ220" s="1416"/>
      <c r="CA220" s="672"/>
      <c r="CB220" s="709"/>
      <c r="CC220" s="709"/>
      <c r="CD220" s="709"/>
      <c r="CE220" s="709"/>
      <c r="CF220" s="709"/>
      <c r="CG220" s="709"/>
      <c r="CH220" s="709"/>
      <c r="CI220" s="709"/>
    </row>
    <row r="221" spans="1:87">
      <c r="A221" s="1417" t="s">
        <v>88</v>
      </c>
      <c r="B221" s="1417"/>
      <c r="C221" s="1417"/>
      <c r="D221" s="1417"/>
      <c r="E221" s="1417"/>
      <c r="F221" s="1417"/>
      <c r="G221" s="1417"/>
      <c r="H221" s="1417"/>
      <c r="I221" s="1417"/>
      <c r="J221" s="1417"/>
      <c r="K221" s="1417"/>
      <c r="L221" s="1417"/>
      <c r="M221" s="1417"/>
      <c r="N221" s="1417"/>
      <c r="O221" s="1417"/>
      <c r="P221" s="1417"/>
      <c r="Q221" s="1417"/>
      <c r="R221" s="1417"/>
      <c r="S221" s="1417"/>
      <c r="T221" s="1417"/>
      <c r="U221" s="1417"/>
      <c r="V221" s="1417"/>
      <c r="W221" s="1417"/>
      <c r="X221" s="1417"/>
      <c r="Y221" s="1417"/>
      <c r="Z221" s="1417"/>
      <c r="AA221" s="1417"/>
      <c r="AB221" s="1417"/>
      <c r="AC221" s="1417"/>
      <c r="AD221" s="1417"/>
      <c r="AE221" s="1417"/>
      <c r="AF221" s="1417"/>
      <c r="AG221" s="1417"/>
      <c r="AH221" s="1417"/>
      <c r="AI221" s="1417"/>
      <c r="AJ221" s="1417"/>
      <c r="AK221" s="1417"/>
      <c r="AL221" s="1417"/>
      <c r="AM221" s="1417"/>
      <c r="AN221" s="1417"/>
      <c r="AO221" s="1417"/>
      <c r="AP221" s="1417"/>
      <c r="AQ221" s="1417"/>
      <c r="AR221" s="1417"/>
      <c r="AS221" s="1417"/>
      <c r="AT221" s="1417"/>
      <c r="AU221" s="1417"/>
      <c r="AV221" s="1417"/>
      <c r="AW221" s="1417"/>
      <c r="AX221" s="1417"/>
      <c r="AY221" s="1417"/>
      <c r="AZ221" s="1417"/>
      <c r="BA221" s="1417"/>
      <c r="BB221" s="1417"/>
      <c r="BC221" s="1417"/>
      <c r="BD221" s="1417"/>
      <c r="BE221" s="1417"/>
      <c r="BF221" s="1417"/>
      <c r="BG221" s="1417"/>
      <c r="BH221" s="1417"/>
      <c r="BI221" s="1417"/>
      <c r="BJ221" s="1417"/>
      <c r="BK221" s="1417"/>
      <c r="BL221" s="1417"/>
      <c r="BM221" s="1417"/>
      <c r="BN221" s="1417"/>
      <c r="BO221" s="1417"/>
      <c r="BP221" s="1417"/>
      <c r="BQ221" s="1417"/>
      <c r="BR221" s="1417"/>
      <c r="BS221" s="1417"/>
      <c r="BT221" s="1417"/>
      <c r="BU221" s="1417"/>
      <c r="BV221" s="1417"/>
      <c r="BW221" s="1417"/>
      <c r="BX221" s="1417"/>
      <c r="BY221" s="1417"/>
      <c r="BZ221" s="1417"/>
      <c r="CA221" s="652"/>
      <c r="CB221" s="657"/>
      <c r="CC221" s="657"/>
      <c r="CD221" s="657"/>
      <c r="CE221" s="657"/>
      <c r="CF221" s="657"/>
      <c r="CG221" s="657"/>
      <c r="CH221" s="657"/>
      <c r="CI221" s="657"/>
    </row>
    <row r="222" spans="1:87">
      <c r="A222" s="1404" t="s">
        <v>87</v>
      </c>
      <c r="B222" s="1404"/>
      <c r="C222" s="1404"/>
      <c r="D222" s="1404"/>
      <c r="E222" s="1404"/>
      <c r="F222" s="1404"/>
      <c r="G222" s="1404"/>
      <c r="H222" s="1404"/>
      <c r="I222" s="1404"/>
      <c r="J222" s="1404"/>
      <c r="K222" s="1404"/>
      <c r="L222" s="1404"/>
      <c r="M222" s="1404"/>
      <c r="N222" s="1404"/>
      <c r="O222" s="1404"/>
      <c r="P222" s="1404"/>
      <c r="Q222" s="1404"/>
      <c r="R222" s="1404"/>
      <c r="S222" s="1404"/>
      <c r="T222" s="1404"/>
      <c r="U222" s="1404"/>
      <c r="V222" s="1404"/>
      <c r="W222" s="1404"/>
      <c r="X222" s="1404"/>
      <c r="Y222" s="1404"/>
      <c r="Z222" s="1404"/>
      <c r="AA222" s="1404"/>
      <c r="AB222" s="1404"/>
      <c r="AC222" s="1404"/>
      <c r="AD222" s="1404"/>
      <c r="AE222" s="1404"/>
      <c r="AF222" s="1404"/>
      <c r="AG222" s="1404"/>
      <c r="AH222" s="1404"/>
      <c r="AI222" s="1404"/>
      <c r="AJ222" s="1404"/>
      <c r="AK222" s="1404"/>
      <c r="AL222" s="1404"/>
      <c r="AM222" s="1404"/>
      <c r="AN222" s="1404"/>
      <c r="AO222" s="1404"/>
      <c r="AP222" s="1404"/>
      <c r="AQ222" s="1404"/>
      <c r="AR222" s="1404"/>
      <c r="AS222" s="1404"/>
      <c r="AT222" s="1404"/>
      <c r="AU222" s="1404"/>
      <c r="AV222" s="1404"/>
      <c r="AW222" s="1404"/>
      <c r="AX222" s="1404"/>
      <c r="AY222" s="1404"/>
      <c r="AZ222" s="1404"/>
      <c r="BA222" s="1404"/>
      <c r="BB222" s="1404"/>
      <c r="BC222" s="1404"/>
      <c r="BD222" s="1404"/>
      <c r="BE222" s="1404"/>
      <c r="BF222" s="1404"/>
      <c r="BG222" s="1404"/>
      <c r="BH222" s="1404"/>
      <c r="BI222" s="1404"/>
      <c r="BJ222" s="1404"/>
      <c r="BK222" s="1404"/>
      <c r="BL222" s="1404"/>
      <c r="BM222" s="1404"/>
      <c r="BN222" s="1404"/>
      <c r="BO222" s="1404"/>
      <c r="BP222" s="1404"/>
      <c r="BQ222" s="1404"/>
      <c r="BR222" s="1404"/>
      <c r="BS222" s="1404"/>
      <c r="BT222" s="1404"/>
      <c r="BU222" s="1404"/>
      <c r="BV222" s="1404"/>
      <c r="BW222" s="1404"/>
      <c r="BX222" s="1404"/>
      <c r="BY222" s="1404"/>
      <c r="BZ222" s="1404"/>
      <c r="CA222" s="652"/>
      <c r="CB222" s="657"/>
      <c r="CC222" s="657"/>
      <c r="CD222" s="657"/>
      <c r="CE222" s="657"/>
      <c r="CF222" s="657"/>
      <c r="CG222" s="657"/>
      <c r="CH222" s="657"/>
      <c r="CI222" s="657"/>
    </row>
    <row r="223" spans="1:87">
      <c r="A223" s="1404" t="s">
        <v>86</v>
      </c>
      <c r="B223" s="1404"/>
      <c r="C223" s="1404"/>
      <c r="D223" s="1404"/>
      <c r="E223" s="1404"/>
      <c r="F223" s="1404"/>
      <c r="G223" s="1404"/>
      <c r="H223" s="1404"/>
      <c r="I223" s="1404"/>
      <c r="J223" s="1404"/>
      <c r="K223" s="1404"/>
      <c r="L223" s="1404"/>
      <c r="M223" s="1404"/>
      <c r="N223" s="1404"/>
      <c r="O223" s="1404"/>
      <c r="P223" s="1404"/>
      <c r="Q223" s="1404"/>
      <c r="R223" s="1404"/>
      <c r="S223" s="1404"/>
      <c r="T223" s="1404"/>
      <c r="U223" s="1404"/>
      <c r="V223" s="1404"/>
      <c r="W223" s="1404"/>
      <c r="X223" s="1404"/>
      <c r="Y223" s="1404"/>
      <c r="Z223" s="1404"/>
      <c r="AA223" s="1404"/>
      <c r="AB223" s="1404"/>
      <c r="AC223" s="1404"/>
      <c r="AD223" s="1404"/>
      <c r="AE223" s="1404"/>
      <c r="AF223" s="1404"/>
      <c r="AG223" s="1404"/>
      <c r="AH223" s="1404"/>
      <c r="AI223" s="1404"/>
      <c r="AJ223" s="1404"/>
      <c r="AK223" s="1404"/>
      <c r="AL223" s="1404"/>
      <c r="AM223" s="1404"/>
      <c r="AN223" s="1404"/>
      <c r="AO223" s="1404"/>
      <c r="AP223" s="1404"/>
      <c r="AQ223" s="1404"/>
      <c r="AR223" s="1404"/>
      <c r="AS223" s="1404"/>
      <c r="AT223" s="1404"/>
      <c r="AU223" s="1404"/>
      <c r="AV223" s="1404"/>
      <c r="AW223" s="1404"/>
      <c r="AX223" s="1404"/>
      <c r="AY223" s="1404"/>
      <c r="AZ223" s="1404"/>
      <c r="BA223" s="1404"/>
      <c r="BB223" s="1404"/>
      <c r="BC223" s="1404"/>
      <c r="BD223" s="1404"/>
      <c r="BE223" s="1404"/>
      <c r="BF223" s="1404"/>
      <c r="BG223" s="1404"/>
      <c r="BH223" s="1404"/>
      <c r="BI223" s="1404"/>
      <c r="BJ223" s="1404"/>
      <c r="BK223" s="1404"/>
      <c r="BL223" s="1404"/>
      <c r="BM223" s="1404"/>
      <c r="BN223" s="1404"/>
      <c r="BO223" s="1404"/>
      <c r="BP223" s="1404"/>
      <c r="BQ223" s="1404"/>
      <c r="BR223" s="1404"/>
      <c r="BS223" s="1404"/>
      <c r="BT223" s="1404"/>
      <c r="BU223" s="1404"/>
      <c r="BV223" s="1404"/>
      <c r="BW223" s="1404"/>
      <c r="BX223" s="1404"/>
      <c r="BY223" s="1404"/>
      <c r="BZ223" s="1404"/>
      <c r="CA223" s="652"/>
      <c r="CB223" s="657"/>
      <c r="CC223" s="657"/>
      <c r="CD223" s="657"/>
      <c r="CE223" s="657"/>
      <c r="CF223" s="657"/>
      <c r="CG223" s="657"/>
      <c r="CH223" s="657"/>
      <c r="CI223" s="657"/>
    </row>
  </sheetData>
  <sheetProtection formatCells="0" formatColumns="0" formatRows="0" selectLockedCells="1"/>
  <mergeCells count="607">
    <mergeCell ref="A165:C169"/>
    <mergeCell ref="D165:BZ169"/>
    <mergeCell ref="A170:BZ170"/>
    <mergeCell ref="A171:BZ171"/>
    <mergeCell ref="A172:BZ172"/>
    <mergeCell ref="AA132:AB147"/>
    <mergeCell ref="AO164:AR164"/>
    <mergeCell ref="AS164:AV164"/>
    <mergeCell ref="AW164:AZ164"/>
    <mergeCell ref="BA164:BD164"/>
    <mergeCell ref="BE164:BH164"/>
    <mergeCell ref="BI164:BL164"/>
    <mergeCell ref="BM164:BP164"/>
    <mergeCell ref="BQ164:BT164"/>
    <mergeCell ref="BU164:BX164"/>
    <mergeCell ref="G164:H164"/>
    <mergeCell ref="I164:L164"/>
    <mergeCell ref="M164:P164"/>
    <mergeCell ref="Q164:T164"/>
    <mergeCell ref="U164:X164"/>
    <mergeCell ref="Y164:AB164"/>
    <mergeCell ref="AC164:AF164"/>
    <mergeCell ref="AG164:AJ164"/>
    <mergeCell ref="AK164:AN164"/>
    <mergeCell ref="A148:C150"/>
    <mergeCell ref="D148:F155"/>
    <mergeCell ref="R148:T163"/>
    <mergeCell ref="A151:C153"/>
    <mergeCell ref="A154:C156"/>
    <mergeCell ref="D156:F163"/>
    <mergeCell ref="A157:C159"/>
    <mergeCell ref="A160:C160"/>
    <mergeCell ref="A161:C162"/>
    <mergeCell ref="A163:C163"/>
    <mergeCell ref="K148:N163"/>
    <mergeCell ref="O148:Q163"/>
    <mergeCell ref="U148:V163"/>
    <mergeCell ref="W148:X163"/>
    <mergeCell ref="Y148:AJ155"/>
    <mergeCell ref="BQ131:BT131"/>
    <mergeCell ref="BU131:BX131"/>
    <mergeCell ref="BY131:BZ131"/>
    <mergeCell ref="A132:C134"/>
    <mergeCell ref="D132:F139"/>
    <mergeCell ref="G132:V147"/>
    <mergeCell ref="BK132:BN147"/>
    <mergeCell ref="A135:C137"/>
    <mergeCell ref="A138:C140"/>
    <mergeCell ref="D140:F147"/>
    <mergeCell ref="A141:C143"/>
    <mergeCell ref="A144:C144"/>
    <mergeCell ref="A145:C146"/>
    <mergeCell ref="A147:C147"/>
    <mergeCell ref="BO132:BR147"/>
    <mergeCell ref="BS132:BT147"/>
    <mergeCell ref="BU132:BZ147"/>
    <mergeCell ref="AU132:BH147"/>
    <mergeCell ref="BI132:BJ147"/>
    <mergeCell ref="AO132:AT147"/>
    <mergeCell ref="AK132:AN147"/>
    <mergeCell ref="O129:T129"/>
    <mergeCell ref="AH129:AN129"/>
    <mergeCell ref="BC129:BJ129"/>
    <mergeCell ref="A130:C131"/>
    <mergeCell ref="D130:F131"/>
    <mergeCell ref="AI130:AX130"/>
    <mergeCell ref="AY130:BT130"/>
    <mergeCell ref="BU130:BZ130"/>
    <mergeCell ref="G131:H131"/>
    <mergeCell ref="I131:L131"/>
    <mergeCell ref="M131:P131"/>
    <mergeCell ref="Q131:T131"/>
    <mergeCell ref="U131:X131"/>
    <mergeCell ref="Y131:AB131"/>
    <mergeCell ref="AC131:AF131"/>
    <mergeCell ref="AG131:AJ131"/>
    <mergeCell ref="AK131:AN131"/>
    <mergeCell ref="AO131:AR131"/>
    <mergeCell ref="AS131:AV131"/>
    <mergeCell ref="AW131:AZ131"/>
    <mergeCell ref="BA131:BD131"/>
    <mergeCell ref="BE131:BH131"/>
    <mergeCell ref="BI131:BL131"/>
    <mergeCell ref="BM131:BP131"/>
    <mergeCell ref="M128:P128"/>
    <mergeCell ref="Q128:S128"/>
    <mergeCell ref="T128:W128"/>
    <mergeCell ref="AF128:AI128"/>
    <mergeCell ref="AJ128:AL128"/>
    <mergeCell ref="AM128:AP128"/>
    <mergeCell ref="BA128:BD128"/>
    <mergeCell ref="BE128:BH128"/>
    <mergeCell ref="BI128:BL128"/>
    <mergeCell ref="BQ125:BR125"/>
    <mergeCell ref="BS125:BT125"/>
    <mergeCell ref="BU125:BV125"/>
    <mergeCell ref="BW125:BX125"/>
    <mergeCell ref="BY125:BZ125"/>
    <mergeCell ref="BQ126:BR126"/>
    <mergeCell ref="BS126:BV126"/>
    <mergeCell ref="BW126:BX126"/>
    <mergeCell ref="BY126:BZ126"/>
    <mergeCell ref="AO125:AP126"/>
    <mergeCell ref="AQ125:AR126"/>
    <mergeCell ref="AS125:AT126"/>
    <mergeCell ref="AU125:AV126"/>
    <mergeCell ref="AW125:AX126"/>
    <mergeCell ref="AY125:AZ126"/>
    <mergeCell ref="BA125:BB126"/>
    <mergeCell ref="BC125:BD126"/>
    <mergeCell ref="BE125:BF126"/>
    <mergeCell ref="AW74:AX75"/>
    <mergeCell ref="AY74:AZ75"/>
    <mergeCell ref="BA74:BB75"/>
    <mergeCell ref="BC74:BD75"/>
    <mergeCell ref="BE74:BF75"/>
    <mergeCell ref="BG74:BH75"/>
    <mergeCell ref="BI74:BJ75"/>
    <mergeCell ref="BW123:BX123"/>
    <mergeCell ref="BY123:BZ123"/>
    <mergeCell ref="BQ74:BR74"/>
    <mergeCell ref="BS74:BT74"/>
    <mergeCell ref="BU74:BV74"/>
    <mergeCell ref="BW74:BX74"/>
    <mergeCell ref="BY74:BZ74"/>
    <mergeCell ref="BQ75:BR75"/>
    <mergeCell ref="BS75:BV75"/>
    <mergeCell ref="BW75:BX75"/>
    <mergeCell ref="BY75:BZ75"/>
    <mergeCell ref="BQ80:BT80"/>
    <mergeCell ref="BU80:BX80"/>
    <mergeCell ref="BY80:BZ80"/>
    <mergeCell ref="BQ113:BT113"/>
    <mergeCell ref="BU113:BX113"/>
    <mergeCell ref="A9:C10"/>
    <mergeCell ref="D11:F14"/>
    <mergeCell ref="G11:V18"/>
    <mergeCell ref="BK11:BN18"/>
    <mergeCell ref="D9:F10"/>
    <mergeCell ref="G10:H10"/>
    <mergeCell ref="I10:L10"/>
    <mergeCell ref="A122:BZ122"/>
    <mergeCell ref="BY45:BZ45"/>
    <mergeCell ref="AY44:BT44"/>
    <mergeCell ref="A71:BZ71"/>
    <mergeCell ref="BW72:BX72"/>
    <mergeCell ref="BY72:BZ72"/>
    <mergeCell ref="A74:G75"/>
    <mergeCell ref="H74:W75"/>
    <mergeCell ref="X74:AD75"/>
    <mergeCell ref="AE74:AH75"/>
    <mergeCell ref="AI74:AJ75"/>
    <mergeCell ref="AK74:AL75"/>
    <mergeCell ref="AM74:AN75"/>
    <mergeCell ref="AO74:AP75"/>
    <mergeCell ref="AQ74:AR75"/>
    <mergeCell ref="AS74:AT75"/>
    <mergeCell ref="AU74:AV75"/>
    <mergeCell ref="A44:C45"/>
    <mergeCell ref="D44:F45"/>
    <mergeCell ref="AI44:AX44"/>
    <mergeCell ref="AC45:AF45"/>
    <mergeCell ref="AG45:AJ45"/>
    <mergeCell ref="AK45:AN45"/>
    <mergeCell ref="AO45:AR45"/>
    <mergeCell ref="AS45:AV45"/>
    <mergeCell ref="A33:BZ33"/>
    <mergeCell ref="X39:AD40"/>
    <mergeCell ref="A36:BZ36"/>
    <mergeCell ref="BW40:BX40"/>
    <mergeCell ref="BS40:BV40"/>
    <mergeCell ref="BW39:BX39"/>
    <mergeCell ref="BY39:BZ39"/>
    <mergeCell ref="BQ40:BR40"/>
    <mergeCell ref="AE39:AH40"/>
    <mergeCell ref="AM39:AN40"/>
    <mergeCell ref="AO39:AP40"/>
    <mergeCell ref="AQ39:AR40"/>
    <mergeCell ref="AS39:AT40"/>
    <mergeCell ref="BQ39:BR39"/>
    <mergeCell ref="AU39:AV40"/>
    <mergeCell ref="AW39:AX40"/>
    <mergeCell ref="BW2:BX2"/>
    <mergeCell ref="BY2:BZ2"/>
    <mergeCell ref="AU4:AV5"/>
    <mergeCell ref="AW4:AX5"/>
    <mergeCell ref="AY4:AZ5"/>
    <mergeCell ref="BA4:BB5"/>
    <mergeCell ref="BC4:BD5"/>
    <mergeCell ref="BE4:BF5"/>
    <mergeCell ref="BG4:BH5"/>
    <mergeCell ref="BI4:BJ5"/>
    <mergeCell ref="BY5:BZ5"/>
    <mergeCell ref="BM4:BN5"/>
    <mergeCell ref="BU4:BV4"/>
    <mergeCell ref="BS5:BV5"/>
    <mergeCell ref="BY4:BZ4"/>
    <mergeCell ref="BK4:BL5"/>
    <mergeCell ref="D28:BZ32"/>
    <mergeCell ref="D23:F26"/>
    <mergeCell ref="BU9:BZ9"/>
    <mergeCell ref="BQ5:BR5"/>
    <mergeCell ref="BW4:BX4"/>
    <mergeCell ref="Q10:T10"/>
    <mergeCell ref="U10:X10"/>
    <mergeCell ref="BU10:BX10"/>
    <mergeCell ref="BQ10:BT10"/>
    <mergeCell ref="AI9:AX9"/>
    <mergeCell ref="AJ7:AL7"/>
    <mergeCell ref="A4:G5"/>
    <mergeCell ref="H4:W5"/>
    <mergeCell ref="X4:AD5"/>
    <mergeCell ref="AI4:AJ5"/>
    <mergeCell ref="AK4:AL5"/>
    <mergeCell ref="AM4:AN5"/>
    <mergeCell ref="AO4:AP5"/>
    <mergeCell ref="AQ4:AR5"/>
    <mergeCell ref="AS4:AT5"/>
    <mergeCell ref="AK27:AN27"/>
    <mergeCell ref="AO27:AR27"/>
    <mergeCell ref="AS27:AV27"/>
    <mergeCell ref="AW27:AZ27"/>
    <mergeCell ref="M10:P10"/>
    <mergeCell ref="D15:F18"/>
    <mergeCell ref="BM10:BP10"/>
    <mergeCell ref="BY10:BZ10"/>
    <mergeCell ref="BW5:BX5"/>
    <mergeCell ref="AE4:AH5"/>
    <mergeCell ref="Q7:S7"/>
    <mergeCell ref="M7:P7"/>
    <mergeCell ref="T7:W7"/>
    <mergeCell ref="AH8:AN8"/>
    <mergeCell ref="BO11:BR18"/>
    <mergeCell ref="BE7:BH7"/>
    <mergeCell ref="Y10:AB10"/>
    <mergeCell ref="O8:T8"/>
    <mergeCell ref="AY9:BT9"/>
    <mergeCell ref="BO4:BP5"/>
    <mergeCell ref="BQ4:BR4"/>
    <mergeCell ref="BS4:BT4"/>
    <mergeCell ref="BC8:BJ8"/>
    <mergeCell ref="A19:C20"/>
    <mergeCell ref="D19:F22"/>
    <mergeCell ref="BG11:BJ18"/>
    <mergeCell ref="A11:C12"/>
    <mergeCell ref="A13:C14"/>
    <mergeCell ref="A15:C16"/>
    <mergeCell ref="A17:C18"/>
    <mergeCell ref="A21:C22"/>
    <mergeCell ref="A23:C24"/>
    <mergeCell ref="A25:C26"/>
    <mergeCell ref="I27:L27"/>
    <mergeCell ref="M27:P27"/>
    <mergeCell ref="BS39:BT39"/>
    <mergeCell ref="BU39:BV39"/>
    <mergeCell ref="G27:H27"/>
    <mergeCell ref="Q27:T27"/>
    <mergeCell ref="U27:X27"/>
    <mergeCell ref="Y27:AB27"/>
    <mergeCell ref="AC27:AF27"/>
    <mergeCell ref="AG27:AJ27"/>
    <mergeCell ref="BC39:BD40"/>
    <mergeCell ref="AI39:AJ40"/>
    <mergeCell ref="AK39:AL40"/>
    <mergeCell ref="BE39:BF40"/>
    <mergeCell ref="BG39:BH40"/>
    <mergeCell ref="A35:BZ35"/>
    <mergeCell ref="A28:C32"/>
    <mergeCell ref="A34:BZ34"/>
    <mergeCell ref="BA27:BD27"/>
    <mergeCell ref="BW37:BX37"/>
    <mergeCell ref="BY37:BZ37"/>
    <mergeCell ref="A39:G40"/>
    <mergeCell ref="H39:W40"/>
    <mergeCell ref="AY39:AZ40"/>
    <mergeCell ref="BI39:BJ40"/>
    <mergeCell ref="BK39:BL40"/>
    <mergeCell ref="BY40:BZ40"/>
    <mergeCell ref="BA39:BB40"/>
    <mergeCell ref="BM39:BN40"/>
    <mergeCell ref="BO39:BP40"/>
    <mergeCell ref="AH43:AN43"/>
    <mergeCell ref="G45:H45"/>
    <mergeCell ref="I45:L45"/>
    <mergeCell ref="M45:P45"/>
    <mergeCell ref="Q45:T45"/>
    <mergeCell ref="U45:X45"/>
    <mergeCell ref="Y45:AB45"/>
    <mergeCell ref="BU45:BX45"/>
    <mergeCell ref="M42:P42"/>
    <mergeCell ref="Q42:S42"/>
    <mergeCell ref="T42:W42"/>
    <mergeCell ref="AF42:AI42"/>
    <mergeCell ref="AJ42:AL42"/>
    <mergeCell ref="AM42:AP42"/>
    <mergeCell ref="BC43:BJ43"/>
    <mergeCell ref="BU44:BZ44"/>
    <mergeCell ref="AW45:AZ45"/>
    <mergeCell ref="BI45:BL45"/>
    <mergeCell ref="BM45:BP45"/>
    <mergeCell ref="BA42:BD42"/>
    <mergeCell ref="BE42:BH42"/>
    <mergeCell ref="BI42:BL42"/>
    <mergeCell ref="BM176:BN177"/>
    <mergeCell ref="BO176:BP177"/>
    <mergeCell ref="BK74:BL75"/>
    <mergeCell ref="BM74:BN75"/>
    <mergeCell ref="BO74:BP75"/>
    <mergeCell ref="BI113:BL113"/>
    <mergeCell ref="BM113:BP113"/>
    <mergeCell ref="BG46:BJ53"/>
    <mergeCell ref="BK46:BN53"/>
    <mergeCell ref="BG125:BH126"/>
    <mergeCell ref="BI125:BJ126"/>
    <mergeCell ref="BK125:BL126"/>
    <mergeCell ref="BM125:BN126"/>
    <mergeCell ref="BO125:BP126"/>
    <mergeCell ref="BQ45:BT45"/>
    <mergeCell ref="A1:BZ1"/>
    <mergeCell ref="O19:Q26"/>
    <mergeCell ref="BU27:BX27"/>
    <mergeCell ref="AF7:AI7"/>
    <mergeCell ref="AM7:AP7"/>
    <mergeCell ref="BA7:BD7"/>
    <mergeCell ref="BI7:BL7"/>
    <mergeCell ref="AC10:AF10"/>
    <mergeCell ref="AG10:AJ10"/>
    <mergeCell ref="AK10:AN10"/>
    <mergeCell ref="AO10:AR10"/>
    <mergeCell ref="AS10:AV10"/>
    <mergeCell ref="AW10:AZ10"/>
    <mergeCell ref="BA10:BD10"/>
    <mergeCell ref="BE10:BH10"/>
    <mergeCell ref="BI10:BL10"/>
    <mergeCell ref="BE27:BH27"/>
    <mergeCell ref="BM27:BP27"/>
    <mergeCell ref="BQ27:BT27"/>
    <mergeCell ref="BI27:BL27"/>
    <mergeCell ref="O43:T43"/>
    <mergeCell ref="BA45:BD45"/>
    <mergeCell ref="BE45:BH45"/>
    <mergeCell ref="AU176:AV177"/>
    <mergeCell ref="AW176:AX177"/>
    <mergeCell ref="AY176:AZ177"/>
    <mergeCell ref="BA176:BB177"/>
    <mergeCell ref="BC176:BD177"/>
    <mergeCell ref="BE176:BF177"/>
    <mergeCell ref="BG176:BH177"/>
    <mergeCell ref="BI176:BJ177"/>
    <mergeCell ref="BK176:BL177"/>
    <mergeCell ref="BQ176:BR176"/>
    <mergeCell ref="BS176:BT176"/>
    <mergeCell ref="BU176:BV176"/>
    <mergeCell ref="BW176:BX176"/>
    <mergeCell ref="BY176:BZ176"/>
    <mergeCell ref="BQ177:BR177"/>
    <mergeCell ref="BS177:BV177"/>
    <mergeCell ref="BW177:BX177"/>
    <mergeCell ref="BY177:BZ177"/>
    <mergeCell ref="M179:P179"/>
    <mergeCell ref="Q179:S179"/>
    <mergeCell ref="T179:W179"/>
    <mergeCell ref="AF179:AI179"/>
    <mergeCell ref="AJ179:AL179"/>
    <mergeCell ref="AM179:AP179"/>
    <mergeCell ref="BA179:BD179"/>
    <mergeCell ref="BE179:BH179"/>
    <mergeCell ref="BI179:BL179"/>
    <mergeCell ref="O180:T180"/>
    <mergeCell ref="AH180:AN180"/>
    <mergeCell ref="BC180:BJ180"/>
    <mergeCell ref="A181:C182"/>
    <mergeCell ref="D181:F182"/>
    <mergeCell ref="AI181:AX181"/>
    <mergeCell ref="AY181:BT181"/>
    <mergeCell ref="BU181:BZ181"/>
    <mergeCell ref="G182:H182"/>
    <mergeCell ref="I182:L182"/>
    <mergeCell ref="M182:P182"/>
    <mergeCell ref="Q182:T182"/>
    <mergeCell ref="U182:X182"/>
    <mergeCell ref="Y182:AB182"/>
    <mergeCell ref="AC182:AF182"/>
    <mergeCell ref="AG182:AJ182"/>
    <mergeCell ref="AK182:AN182"/>
    <mergeCell ref="AO182:AR182"/>
    <mergeCell ref="AS182:AV182"/>
    <mergeCell ref="AW182:AZ182"/>
    <mergeCell ref="BA182:BD182"/>
    <mergeCell ref="BE182:BH182"/>
    <mergeCell ref="BI182:BL182"/>
    <mergeCell ref="BM182:BP182"/>
    <mergeCell ref="BQ182:BT182"/>
    <mergeCell ref="BU182:BX182"/>
    <mergeCell ref="BY182:BZ182"/>
    <mergeCell ref="A183:C185"/>
    <mergeCell ref="D183:F190"/>
    <mergeCell ref="G183:V198"/>
    <mergeCell ref="BG183:BJ198"/>
    <mergeCell ref="BK183:BN198"/>
    <mergeCell ref="A186:C188"/>
    <mergeCell ref="A189:C191"/>
    <mergeCell ref="D191:F198"/>
    <mergeCell ref="A192:C194"/>
    <mergeCell ref="A195:C195"/>
    <mergeCell ref="A196:C197"/>
    <mergeCell ref="A198:C198"/>
    <mergeCell ref="AC183:AR198"/>
    <mergeCell ref="BA183:BB198"/>
    <mergeCell ref="I215:L215"/>
    <mergeCell ref="M215:P215"/>
    <mergeCell ref="Q215:T215"/>
    <mergeCell ref="U215:X215"/>
    <mergeCell ref="Y215:AB215"/>
    <mergeCell ref="AC215:AF215"/>
    <mergeCell ref="AG215:AJ215"/>
    <mergeCell ref="AK215:AN215"/>
    <mergeCell ref="A199:C201"/>
    <mergeCell ref="D199:F206"/>
    <mergeCell ref="R199:T214"/>
    <mergeCell ref="A202:C204"/>
    <mergeCell ref="A205:C207"/>
    <mergeCell ref="D207:F214"/>
    <mergeCell ref="A208:C210"/>
    <mergeCell ref="A211:C211"/>
    <mergeCell ref="A212:C213"/>
    <mergeCell ref="A214:C214"/>
    <mergeCell ref="Y199:AJ206"/>
    <mergeCell ref="A216:C220"/>
    <mergeCell ref="D216:BZ220"/>
    <mergeCell ref="A221:BZ221"/>
    <mergeCell ref="A222:BZ222"/>
    <mergeCell ref="A223:BZ223"/>
    <mergeCell ref="AA183:AB198"/>
    <mergeCell ref="BC183:BF198"/>
    <mergeCell ref="BO183:BR198"/>
    <mergeCell ref="BS183:BT198"/>
    <mergeCell ref="BU183:BZ198"/>
    <mergeCell ref="O199:Q214"/>
    <mergeCell ref="K199:N214"/>
    <mergeCell ref="U199:V214"/>
    <mergeCell ref="W199:X214"/>
    <mergeCell ref="AO215:AR215"/>
    <mergeCell ref="AS215:AV215"/>
    <mergeCell ref="AW215:AZ215"/>
    <mergeCell ref="BA215:BD215"/>
    <mergeCell ref="BE215:BH215"/>
    <mergeCell ref="BI215:BL215"/>
    <mergeCell ref="BM215:BP215"/>
    <mergeCell ref="BQ215:BT215"/>
    <mergeCell ref="BU215:BX215"/>
    <mergeCell ref="G215:H215"/>
    <mergeCell ref="M77:P77"/>
    <mergeCell ref="Q77:S77"/>
    <mergeCell ref="T77:W77"/>
    <mergeCell ref="AF77:AI77"/>
    <mergeCell ref="AJ77:AL77"/>
    <mergeCell ref="AM77:AP77"/>
    <mergeCell ref="BA77:BD77"/>
    <mergeCell ref="BE77:BH77"/>
    <mergeCell ref="BI77:BL77"/>
    <mergeCell ref="O78:T78"/>
    <mergeCell ref="AH78:AN78"/>
    <mergeCell ref="BC78:BJ78"/>
    <mergeCell ref="A79:C80"/>
    <mergeCell ref="D79:F80"/>
    <mergeCell ref="AI79:AX79"/>
    <mergeCell ref="AY79:BT79"/>
    <mergeCell ref="BU79:BZ79"/>
    <mergeCell ref="G80:H80"/>
    <mergeCell ref="I80:L80"/>
    <mergeCell ref="M80:P80"/>
    <mergeCell ref="Q80:T80"/>
    <mergeCell ref="U80:X80"/>
    <mergeCell ref="Y80:AB80"/>
    <mergeCell ref="AC80:AF80"/>
    <mergeCell ref="AG80:AJ80"/>
    <mergeCell ref="AK80:AN80"/>
    <mergeCell ref="AO80:AR80"/>
    <mergeCell ref="AS80:AV80"/>
    <mergeCell ref="AW80:AZ80"/>
    <mergeCell ref="BA80:BD80"/>
    <mergeCell ref="BE80:BH80"/>
    <mergeCell ref="BI80:BL80"/>
    <mergeCell ref="BM80:BP80"/>
    <mergeCell ref="A81:C83"/>
    <mergeCell ref="D81:F88"/>
    <mergeCell ref="G81:V96"/>
    <mergeCell ref="BG81:BJ96"/>
    <mergeCell ref="BK81:BN96"/>
    <mergeCell ref="A84:C86"/>
    <mergeCell ref="A87:C89"/>
    <mergeCell ref="D89:F96"/>
    <mergeCell ref="A90:C92"/>
    <mergeCell ref="A93:C93"/>
    <mergeCell ref="A94:C95"/>
    <mergeCell ref="A96:C96"/>
    <mergeCell ref="BA81:BB96"/>
    <mergeCell ref="AC81:AP88"/>
    <mergeCell ref="AC89:AH96"/>
    <mergeCell ref="AI89:AL96"/>
    <mergeCell ref="AM89:AP96"/>
    <mergeCell ref="AC113:AF113"/>
    <mergeCell ref="AG113:AJ113"/>
    <mergeCell ref="AK113:AN113"/>
    <mergeCell ref="AM176:AN177"/>
    <mergeCell ref="AO176:AP177"/>
    <mergeCell ref="A97:C99"/>
    <mergeCell ref="D97:F104"/>
    <mergeCell ref="R97:T112"/>
    <mergeCell ref="A100:C102"/>
    <mergeCell ref="A103:C105"/>
    <mergeCell ref="D105:F112"/>
    <mergeCell ref="A106:C108"/>
    <mergeCell ref="A109:C109"/>
    <mergeCell ref="A110:C111"/>
    <mergeCell ref="A112:C112"/>
    <mergeCell ref="K97:L112"/>
    <mergeCell ref="M97:N112"/>
    <mergeCell ref="A125:G126"/>
    <mergeCell ref="H125:W126"/>
    <mergeCell ref="X125:AD126"/>
    <mergeCell ref="AE125:AH126"/>
    <mergeCell ref="AI125:AJ126"/>
    <mergeCell ref="AK125:AL126"/>
    <mergeCell ref="AM125:AN126"/>
    <mergeCell ref="Q113:T113"/>
    <mergeCell ref="AG72:BV73"/>
    <mergeCell ref="A114:C118"/>
    <mergeCell ref="D114:BZ118"/>
    <mergeCell ref="A119:BZ119"/>
    <mergeCell ref="A120:BZ120"/>
    <mergeCell ref="A121:BZ121"/>
    <mergeCell ref="AA81:AB96"/>
    <mergeCell ref="BC81:BF96"/>
    <mergeCell ref="BO81:BR96"/>
    <mergeCell ref="BS81:BT96"/>
    <mergeCell ref="BU81:BZ96"/>
    <mergeCell ref="O97:Q112"/>
    <mergeCell ref="U97:V112"/>
    <mergeCell ref="W97:X112"/>
    <mergeCell ref="AO113:AR113"/>
    <mergeCell ref="AS113:AV113"/>
    <mergeCell ref="AW113:AZ113"/>
    <mergeCell ref="BE113:BH113"/>
    <mergeCell ref="BA113:BD113"/>
    <mergeCell ref="G113:H113"/>
    <mergeCell ref="I113:L113"/>
    <mergeCell ref="U113:X113"/>
    <mergeCell ref="Y113:AB113"/>
    <mergeCell ref="A52:C53"/>
    <mergeCell ref="AC132:AJ147"/>
    <mergeCell ref="AS183:AT198"/>
    <mergeCell ref="AQ81:AR96"/>
    <mergeCell ref="AU183:AZ190"/>
    <mergeCell ref="AU191:AZ198"/>
    <mergeCell ref="AS81:AZ96"/>
    <mergeCell ref="Y97:AJ104"/>
    <mergeCell ref="A173:BZ173"/>
    <mergeCell ref="BW174:BX174"/>
    <mergeCell ref="BY174:BZ174"/>
    <mergeCell ref="A176:G177"/>
    <mergeCell ref="H176:W177"/>
    <mergeCell ref="X176:AD177"/>
    <mergeCell ref="AE176:AH177"/>
    <mergeCell ref="AI176:AJ177"/>
    <mergeCell ref="AK176:AL177"/>
    <mergeCell ref="A58:C59"/>
    <mergeCell ref="D58:F61"/>
    <mergeCell ref="A60:C61"/>
    <mergeCell ref="G62:H62"/>
    <mergeCell ref="AQ176:AR177"/>
    <mergeCell ref="AS176:AT177"/>
    <mergeCell ref="M113:P113"/>
    <mergeCell ref="A46:C47"/>
    <mergeCell ref="D46:F49"/>
    <mergeCell ref="G46:V53"/>
    <mergeCell ref="A70:BZ70"/>
    <mergeCell ref="BC46:BF53"/>
    <mergeCell ref="R54:T61"/>
    <mergeCell ref="BE62:BH62"/>
    <mergeCell ref="BI62:BL62"/>
    <mergeCell ref="BM62:BP62"/>
    <mergeCell ref="BQ62:BT62"/>
    <mergeCell ref="BU62:BX62"/>
    <mergeCell ref="A63:C67"/>
    <mergeCell ref="D63:BZ67"/>
    <mergeCell ref="A68:BZ68"/>
    <mergeCell ref="A69:BZ69"/>
    <mergeCell ref="U62:X62"/>
    <mergeCell ref="Y62:AB62"/>
    <mergeCell ref="AC62:AF62"/>
    <mergeCell ref="AG62:AJ62"/>
    <mergeCell ref="AK62:AN62"/>
    <mergeCell ref="AO62:AR62"/>
    <mergeCell ref="A48:C49"/>
    <mergeCell ref="A50:C51"/>
    <mergeCell ref="D50:F53"/>
    <mergeCell ref="AS62:AV62"/>
    <mergeCell ref="AW62:AZ62"/>
    <mergeCell ref="BA62:BD62"/>
    <mergeCell ref="A54:C55"/>
    <mergeCell ref="D54:F57"/>
    <mergeCell ref="A56:C57"/>
    <mergeCell ref="I62:L62"/>
    <mergeCell ref="M62:P62"/>
    <mergeCell ref="Q62:T62"/>
  </mergeCells>
  <phoneticPr fontId="8"/>
  <conditionalFormatting sqref="H4 AE4 AO4 AU4 BA4 BE4 BK4 AK4">
    <cfRule type="cellIs" dxfId="526" priority="38" stopIfTrue="1" operator="equal">
      <formula>""</formula>
    </cfRule>
  </conditionalFormatting>
  <conditionalFormatting sqref="BS4:BT4 BW4">
    <cfRule type="cellIs" dxfId="525" priority="37" stopIfTrue="1" operator="equal">
      <formula>""</formula>
    </cfRule>
  </conditionalFormatting>
  <conditionalFormatting sqref="BW5:BX5">
    <cfRule type="containsBlanks" dxfId="524" priority="39">
      <formula>LEN(TRIM(BW5))=0</formula>
    </cfRule>
  </conditionalFormatting>
  <conditionalFormatting sqref="A138:C140 A145:C146 A154:C156 A148:C150 A161:C162">
    <cfRule type="cellIs" dxfId="523" priority="30" stopIfTrue="1" operator="equal">
      <formula>""</formula>
    </cfRule>
  </conditionalFormatting>
  <conditionalFormatting sqref="A132:C134">
    <cfRule type="cellIs" dxfId="522" priority="26" stopIfTrue="1" operator="equal">
      <formula>""</formula>
    </cfRule>
  </conditionalFormatting>
  <conditionalFormatting sqref="A189:C191 A196:C197 A205:C207 A199:C201 A212:C213">
    <cfRule type="cellIs" dxfId="521" priority="25" stopIfTrue="1" operator="equal">
      <formula>""</formula>
    </cfRule>
  </conditionalFormatting>
  <conditionalFormatting sqref="A183:C185">
    <cfRule type="cellIs" dxfId="520" priority="21" stopIfTrue="1" operator="equal">
      <formula>""</formula>
    </cfRule>
  </conditionalFormatting>
  <conditionalFormatting sqref="A87:C89 A94:C95 A103:C105 A97:C99 A110:C111">
    <cfRule type="cellIs" dxfId="519" priority="20" stopIfTrue="1" operator="equal">
      <formula>""</formula>
    </cfRule>
  </conditionalFormatting>
  <conditionalFormatting sqref="AE74 AO74 AU74 BA74 BE74 BK74 AK74">
    <cfRule type="cellIs" dxfId="518" priority="15" stopIfTrue="1" operator="equal">
      <formula>""</formula>
    </cfRule>
  </conditionalFormatting>
  <conditionalFormatting sqref="A81:C83">
    <cfRule type="cellIs" dxfId="517" priority="16" stopIfTrue="1" operator="equal">
      <formula>""</formula>
    </cfRule>
  </conditionalFormatting>
  <conditionalFormatting sqref="H74">
    <cfRule type="cellIs" dxfId="516" priority="12" stopIfTrue="1" operator="equal">
      <formula>""</formula>
    </cfRule>
  </conditionalFormatting>
  <conditionalFormatting sqref="BS74:BT74 BW74">
    <cfRule type="cellIs" dxfId="515" priority="14" stopIfTrue="1" operator="equal">
      <formula>""</formula>
    </cfRule>
  </conditionalFormatting>
  <conditionalFormatting sqref="BW75:BX75">
    <cfRule type="containsBlanks" dxfId="514" priority="41">
      <formula>LEN(TRIM(BW75))=0</formula>
    </cfRule>
  </conditionalFormatting>
  <conditionalFormatting sqref="AE125 AO125 AU125 BA125 BE125 BK125 AK125">
    <cfRule type="cellIs" dxfId="513" priority="11" stopIfTrue="1" operator="equal">
      <formula>""</formula>
    </cfRule>
  </conditionalFormatting>
  <conditionalFormatting sqref="H125">
    <cfRule type="cellIs" dxfId="512" priority="8" stopIfTrue="1" operator="equal">
      <formula>""</formula>
    </cfRule>
  </conditionalFormatting>
  <conditionalFormatting sqref="BS125:BT125 BW125">
    <cfRule type="cellIs" dxfId="511" priority="10" stopIfTrue="1" operator="equal">
      <formula>""</formula>
    </cfRule>
  </conditionalFormatting>
  <conditionalFormatting sqref="BW126:BX126">
    <cfRule type="containsBlanks" dxfId="510" priority="42">
      <formula>LEN(TRIM(BW126))=0</formula>
    </cfRule>
  </conditionalFormatting>
  <conditionalFormatting sqref="AE176 AO176 AU176 BA176 BE176 BK176 AK176">
    <cfRule type="cellIs" dxfId="509" priority="7" stopIfTrue="1" operator="equal">
      <formula>""</formula>
    </cfRule>
  </conditionalFormatting>
  <conditionalFormatting sqref="BS176:BT176 BW176">
    <cfRule type="cellIs" dxfId="508" priority="6" stopIfTrue="1" operator="equal">
      <formula>""</formula>
    </cfRule>
  </conditionalFormatting>
  <conditionalFormatting sqref="BW177:BX177">
    <cfRule type="containsBlanks" dxfId="507" priority="43">
      <formula>LEN(TRIM(BW177))=0</formula>
    </cfRule>
  </conditionalFormatting>
  <conditionalFormatting sqref="H176">
    <cfRule type="cellIs" dxfId="506" priority="4" stopIfTrue="1" operator="equal">
      <formula>""</formula>
    </cfRule>
  </conditionalFormatting>
  <conditionalFormatting sqref="H39 AE39 AO39 AU39 BA39 BE39 BK39 AK39">
    <cfRule type="cellIs" dxfId="505" priority="2" stopIfTrue="1" operator="equal">
      <formula>""</formula>
    </cfRule>
  </conditionalFormatting>
  <conditionalFormatting sqref="BS39:BT39 BW39">
    <cfRule type="cellIs" dxfId="504" priority="1" stopIfTrue="1" operator="equal">
      <formula>""</formula>
    </cfRule>
  </conditionalFormatting>
  <conditionalFormatting sqref="BW40:BX40">
    <cfRule type="containsBlanks" dxfId="503" priority="3">
      <formula>LEN(TRIM(BW40))=0</formula>
    </cfRule>
  </conditionalFormatting>
  <printOptions horizontalCentered="1" verticalCentered="1"/>
  <pageMargins left="0.39370078740157483" right="0.39370078740157483" top="0.39370078740157483" bottom="0.39370078740157483" header="0" footer="0"/>
  <pageSetup paperSize="9" scale="97" orientation="landscape" r:id="rId1"/>
  <headerFooter>
    <oddFooter>&amp;R&amp;D &amp;T</oddFooter>
  </headerFooter>
  <rowBreaks count="5" manualBreakCount="5">
    <brk id="35" max="77" man="1"/>
    <brk id="70" max="77" man="1"/>
    <brk id="121" max="16383" man="1"/>
    <brk id="172" max="77" man="1"/>
    <brk id="70" max="7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29A58-1BB7-4B92-8552-1CEEC32EE3D5}">
  <sheetPr>
    <tabColor rgb="FFFF0000"/>
  </sheetPr>
  <dimension ref="A1:CI255"/>
  <sheetViews>
    <sheetView showZeros="0" view="pageBreakPreview" topLeftCell="A214" zoomScaleNormal="100" zoomScaleSheetLayoutView="100" workbookViewId="0">
      <selection activeCell="M211" sqref="M211:W211"/>
    </sheetView>
  </sheetViews>
  <sheetFormatPr defaultColWidth="1.5" defaultRowHeight="13.5"/>
  <cols>
    <col min="1" max="78" width="1.875" style="653" customWidth="1"/>
    <col min="79" max="82" width="1.625" style="653" customWidth="1"/>
    <col min="83" max="16384" width="1.5" style="653"/>
  </cols>
  <sheetData>
    <row r="1" spans="1:87" s="252" customFormat="1" ht="23.25">
      <c r="A1" s="1510" t="s">
        <v>3012</v>
      </c>
      <c r="B1" s="1510"/>
      <c r="C1" s="1510"/>
      <c r="D1" s="1510"/>
      <c r="E1" s="1510"/>
      <c r="F1" s="1510"/>
      <c r="G1" s="1510"/>
      <c r="H1" s="1510"/>
      <c r="I1" s="1510"/>
      <c r="J1" s="1510"/>
      <c r="K1" s="1510"/>
      <c r="L1" s="1510"/>
      <c r="M1" s="1510"/>
      <c r="N1" s="1510"/>
      <c r="O1" s="1510"/>
      <c r="P1" s="1510"/>
      <c r="Q1" s="1510"/>
      <c r="R1" s="1510"/>
      <c r="S1" s="1510"/>
      <c r="T1" s="1510"/>
      <c r="U1" s="1510"/>
      <c r="V1" s="1510"/>
      <c r="W1" s="1510"/>
      <c r="X1" s="1510"/>
      <c r="Y1" s="1510"/>
      <c r="Z1" s="1510"/>
      <c r="AA1" s="1510"/>
      <c r="AB1" s="1510"/>
      <c r="AC1" s="1510"/>
      <c r="AD1" s="1510"/>
      <c r="AE1" s="1510"/>
      <c r="AF1" s="1510"/>
      <c r="AG1" s="1510"/>
      <c r="AH1" s="1510"/>
      <c r="AI1" s="1510"/>
      <c r="AJ1" s="1510"/>
      <c r="AK1" s="1510"/>
      <c r="AL1" s="1510"/>
      <c r="AM1" s="1510"/>
      <c r="AN1" s="1510"/>
      <c r="AO1" s="1510"/>
      <c r="AP1" s="1510"/>
      <c r="AQ1" s="1510"/>
      <c r="AR1" s="1510"/>
      <c r="AS1" s="1510"/>
      <c r="AT1" s="1510"/>
      <c r="AU1" s="1510"/>
      <c r="AV1" s="1510"/>
      <c r="AW1" s="1510"/>
      <c r="AX1" s="1510"/>
      <c r="AY1" s="1510"/>
      <c r="AZ1" s="1510"/>
      <c r="BA1" s="1510"/>
      <c r="BB1" s="1510"/>
      <c r="BC1" s="1510"/>
      <c r="BD1" s="1510"/>
      <c r="BE1" s="1510"/>
      <c r="BF1" s="1510"/>
      <c r="BG1" s="1510"/>
      <c r="BH1" s="1510"/>
      <c r="BI1" s="1510"/>
      <c r="BJ1" s="1510"/>
      <c r="BK1" s="1510"/>
      <c r="BL1" s="1510"/>
      <c r="BM1" s="1510"/>
      <c r="BN1" s="1510"/>
      <c r="BO1" s="1510"/>
      <c r="BP1" s="1510"/>
      <c r="BQ1" s="1510"/>
      <c r="BR1" s="1510"/>
      <c r="BS1" s="1510"/>
      <c r="BT1" s="1510"/>
      <c r="BU1" s="1510"/>
      <c r="BV1" s="1510"/>
      <c r="BW1" s="1510"/>
      <c r="BX1" s="1510"/>
      <c r="BY1" s="1510"/>
      <c r="BZ1" s="1510"/>
      <c r="CA1" s="643"/>
      <c r="CB1" s="644"/>
      <c r="CC1" s="644"/>
      <c r="CD1" s="644"/>
      <c r="CE1" s="644"/>
      <c r="CF1" s="644"/>
      <c r="CG1" s="644"/>
      <c r="CH1" s="644"/>
      <c r="CI1" s="644"/>
    </row>
    <row r="2" spans="1:87" s="252" customFormat="1" ht="9.9499999999999993" customHeight="1">
      <c r="A2" s="238"/>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38"/>
      <c r="AV2" s="238"/>
      <c r="AW2" s="285"/>
      <c r="AX2" s="294"/>
      <c r="AY2" s="294"/>
      <c r="AZ2" s="294"/>
      <c r="BA2" s="294"/>
      <c r="BB2" s="294"/>
      <c r="BC2" s="294"/>
      <c r="BD2" s="294"/>
      <c r="BE2" s="294"/>
      <c r="BF2" s="294"/>
      <c r="BG2" s="294"/>
      <c r="BH2" s="294"/>
      <c r="BI2" s="294"/>
      <c r="BJ2" s="294"/>
      <c r="BK2" s="294"/>
      <c r="BL2" s="294"/>
      <c r="BM2" s="294"/>
      <c r="BN2" s="294"/>
      <c r="BO2" s="294"/>
      <c r="BP2" s="294"/>
      <c r="BQ2" s="294"/>
      <c r="BR2" s="294"/>
      <c r="BS2" s="294"/>
      <c r="BT2" s="294"/>
      <c r="BU2" s="294"/>
      <c r="BV2" s="294"/>
      <c r="BW2" s="1525" t="s">
        <v>85</v>
      </c>
      <c r="BX2" s="1525"/>
      <c r="BY2" s="1517">
        <v>1</v>
      </c>
      <c r="BZ2" s="1517"/>
      <c r="CA2" s="294"/>
    </row>
    <row r="3" spans="1:87" s="252" customFormat="1" ht="9.9499999999999993" customHeight="1">
      <c r="A3" s="238"/>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38"/>
      <c r="AV3" s="238"/>
      <c r="AW3" s="285"/>
      <c r="AX3" s="294"/>
      <c r="AY3" s="294"/>
      <c r="AZ3" s="294"/>
      <c r="BA3" s="294"/>
      <c r="BB3" s="294"/>
      <c r="BC3" s="294"/>
      <c r="BD3" s="294"/>
      <c r="BE3" s="294"/>
      <c r="BF3" s="294"/>
      <c r="BG3" s="294"/>
      <c r="BH3" s="294"/>
      <c r="BI3" s="294"/>
      <c r="BJ3" s="294"/>
      <c r="BK3" s="294"/>
      <c r="BL3" s="294"/>
      <c r="BM3" s="294"/>
      <c r="BN3" s="294"/>
      <c r="BO3" s="294"/>
      <c r="BP3" s="294"/>
      <c r="BQ3" s="294"/>
      <c r="BR3" s="294"/>
      <c r="BS3" s="294"/>
      <c r="BT3" s="294"/>
      <c r="BU3" s="294"/>
      <c r="BV3" s="294"/>
      <c r="BW3" s="294"/>
      <c r="BX3" s="294"/>
      <c r="BY3" s="294"/>
      <c r="BZ3" s="294"/>
      <c r="CA3" s="294"/>
    </row>
    <row r="4" spans="1:87" s="252" customFormat="1" ht="12" customHeight="1">
      <c r="A4" s="1526" t="s">
        <v>84</v>
      </c>
      <c r="B4" s="1526"/>
      <c r="C4" s="1526"/>
      <c r="D4" s="1526"/>
      <c r="E4" s="1526"/>
      <c r="F4" s="1526"/>
      <c r="G4" s="1526"/>
      <c r="H4" s="1527" t="str">
        <f>CONCATENATE('01 使用承認申請書'!D4)</f>
        <v/>
      </c>
      <c r="I4" s="1527"/>
      <c r="J4" s="1527"/>
      <c r="K4" s="1527"/>
      <c r="L4" s="1527"/>
      <c r="M4" s="1527"/>
      <c r="N4" s="1527"/>
      <c r="O4" s="1527"/>
      <c r="P4" s="1527"/>
      <c r="Q4" s="1527"/>
      <c r="R4" s="1527"/>
      <c r="S4" s="1527"/>
      <c r="T4" s="1527"/>
      <c r="U4" s="1527"/>
      <c r="V4" s="1527"/>
      <c r="W4" s="1527"/>
      <c r="X4" s="1526" t="s">
        <v>82</v>
      </c>
      <c r="Y4" s="1526"/>
      <c r="Z4" s="1526"/>
      <c r="AA4" s="1526"/>
      <c r="AB4" s="1526"/>
      <c r="AC4" s="1526"/>
      <c r="AD4" s="1526"/>
      <c r="AE4" s="1518" t="str">
        <f>CONCATENATE('01 使用承認申請書'!B12)</f>
        <v/>
      </c>
      <c r="AF4" s="1518"/>
      <c r="AG4" s="1518"/>
      <c r="AH4" s="1518"/>
      <c r="AI4" s="1516" t="s">
        <v>16</v>
      </c>
      <c r="AJ4" s="1516"/>
      <c r="AK4" s="1518" t="str">
        <f>CONCATENATE('01 使用承認申請書'!C14)</f>
        <v/>
      </c>
      <c r="AL4" s="1518"/>
      <c r="AM4" s="1516" t="s">
        <v>15</v>
      </c>
      <c r="AN4" s="1516"/>
      <c r="AO4" s="1518" t="str">
        <f>CONCATENATE('01 使用承認申請書'!F14)</f>
        <v/>
      </c>
      <c r="AP4" s="1518"/>
      <c r="AQ4" s="1516" t="s">
        <v>14</v>
      </c>
      <c r="AR4" s="1516"/>
      <c r="AS4" s="1516" t="s">
        <v>38</v>
      </c>
      <c r="AT4" s="1516"/>
      <c r="AU4" s="1518" t="str">
        <f>CONCATENATE('01 使用承認申請書'!J14)</f>
        <v/>
      </c>
      <c r="AV4" s="1518"/>
      <c r="AW4" s="1516" t="s">
        <v>37</v>
      </c>
      <c r="AX4" s="1516"/>
      <c r="AY4" s="1516" t="s">
        <v>35</v>
      </c>
      <c r="AZ4" s="1516"/>
      <c r="BA4" s="1518" t="str">
        <f>CONCATENATE('01 使用承認申請書'!C16)</f>
        <v/>
      </c>
      <c r="BB4" s="1518"/>
      <c r="BC4" s="1516" t="s">
        <v>15</v>
      </c>
      <c r="BD4" s="1516"/>
      <c r="BE4" s="1518" t="str">
        <f>CONCATENATE('01 使用承認申請書'!F16)</f>
        <v/>
      </c>
      <c r="BF4" s="1518"/>
      <c r="BG4" s="1516" t="s">
        <v>14</v>
      </c>
      <c r="BH4" s="1516"/>
      <c r="BI4" s="1516" t="s">
        <v>38</v>
      </c>
      <c r="BJ4" s="1516"/>
      <c r="BK4" s="1518" t="str">
        <f>CONCATENATE('01 使用承認申請書'!J16)</f>
        <v/>
      </c>
      <c r="BL4" s="1518"/>
      <c r="BM4" s="1516" t="s">
        <v>37</v>
      </c>
      <c r="BN4" s="1516"/>
      <c r="BO4" s="1516"/>
      <c r="BP4" s="1520"/>
      <c r="BQ4" s="1516"/>
      <c r="BR4" s="1516"/>
      <c r="BS4" s="1524" t="str">
        <f>CONCATENATE('01 使用承認申請書'!L13)</f>
        <v/>
      </c>
      <c r="BT4" s="1524"/>
      <c r="BU4" s="1516" t="s">
        <v>46</v>
      </c>
      <c r="BV4" s="1516"/>
      <c r="BW4" s="1524" t="str">
        <f>CONCATENATE('01 使用承認申請書'!Q13)</f>
        <v/>
      </c>
      <c r="BX4" s="1524"/>
      <c r="BY4" s="1516" t="s">
        <v>14</v>
      </c>
      <c r="BZ4" s="1516"/>
      <c r="CA4" s="294"/>
    </row>
    <row r="5" spans="1:87" s="252" customFormat="1" ht="12" customHeight="1">
      <c r="A5" s="1162"/>
      <c r="B5" s="1162"/>
      <c r="C5" s="1162"/>
      <c r="D5" s="1162"/>
      <c r="E5" s="1162"/>
      <c r="F5" s="1162"/>
      <c r="G5" s="1162"/>
      <c r="H5" s="1528"/>
      <c r="I5" s="1528"/>
      <c r="J5" s="1528"/>
      <c r="K5" s="1528"/>
      <c r="L5" s="1528"/>
      <c r="M5" s="1528"/>
      <c r="N5" s="1528"/>
      <c r="O5" s="1528"/>
      <c r="P5" s="1528"/>
      <c r="Q5" s="1528"/>
      <c r="R5" s="1528"/>
      <c r="S5" s="1528"/>
      <c r="T5" s="1528"/>
      <c r="U5" s="1528"/>
      <c r="V5" s="1528"/>
      <c r="W5" s="1528"/>
      <c r="X5" s="1162"/>
      <c r="Y5" s="1162"/>
      <c r="Z5" s="1162"/>
      <c r="AA5" s="1162"/>
      <c r="AB5" s="1162"/>
      <c r="AC5" s="1162"/>
      <c r="AD5" s="1162"/>
      <c r="AE5" s="1519"/>
      <c r="AF5" s="1519"/>
      <c r="AG5" s="1519"/>
      <c r="AH5" s="1519"/>
      <c r="AI5" s="1517"/>
      <c r="AJ5" s="1517"/>
      <c r="AK5" s="1519"/>
      <c r="AL5" s="1519"/>
      <c r="AM5" s="1517"/>
      <c r="AN5" s="1517"/>
      <c r="AO5" s="1519"/>
      <c r="AP5" s="1519"/>
      <c r="AQ5" s="1517"/>
      <c r="AR5" s="1517"/>
      <c r="AS5" s="1517"/>
      <c r="AT5" s="1517"/>
      <c r="AU5" s="1519"/>
      <c r="AV5" s="1519"/>
      <c r="AW5" s="1517"/>
      <c r="AX5" s="1517"/>
      <c r="AY5" s="1517"/>
      <c r="AZ5" s="1517"/>
      <c r="BA5" s="1519"/>
      <c r="BB5" s="1519"/>
      <c r="BC5" s="1517"/>
      <c r="BD5" s="1517"/>
      <c r="BE5" s="1519"/>
      <c r="BF5" s="1519"/>
      <c r="BG5" s="1517"/>
      <c r="BH5" s="1517"/>
      <c r="BI5" s="1517"/>
      <c r="BJ5" s="1517"/>
      <c r="BK5" s="1519"/>
      <c r="BL5" s="1519"/>
      <c r="BM5" s="1517"/>
      <c r="BN5" s="1517"/>
      <c r="BO5" s="1291"/>
      <c r="BP5" s="1291"/>
      <c r="BQ5" s="1517"/>
      <c r="BR5" s="1517"/>
      <c r="BS5" s="1517" t="s">
        <v>47</v>
      </c>
      <c r="BT5" s="1517"/>
      <c r="BU5" s="1517"/>
      <c r="BV5" s="1517"/>
      <c r="BW5" s="1529" t="str">
        <f>CONCATENATE('01 使用承認申請書'!V13)</f>
        <v/>
      </c>
      <c r="BX5" s="1529"/>
      <c r="BY5" s="1517" t="s">
        <v>14</v>
      </c>
      <c r="BZ5" s="1517"/>
      <c r="CA5" s="294"/>
    </row>
    <row r="6" spans="1:87" s="252" customFormat="1" ht="12" customHeight="1">
      <c r="A6" s="744"/>
      <c r="B6" s="744"/>
      <c r="C6" s="744"/>
      <c r="D6" s="744"/>
      <c r="E6" s="744"/>
      <c r="F6" s="744"/>
      <c r="G6" s="744"/>
      <c r="H6" s="745"/>
      <c r="I6" s="745"/>
      <c r="J6" s="745"/>
      <c r="K6" s="745"/>
      <c r="L6" s="745"/>
      <c r="M6" s="745"/>
      <c r="N6" s="745"/>
      <c r="O6" s="745"/>
      <c r="P6" s="745"/>
      <c r="Q6" s="745"/>
      <c r="R6" s="745"/>
      <c r="S6" s="745"/>
      <c r="T6" s="745"/>
      <c r="U6" s="745"/>
      <c r="V6" s="745"/>
      <c r="W6" s="745"/>
      <c r="X6" s="744"/>
      <c r="Y6" s="744"/>
      <c r="Z6" s="744"/>
      <c r="AA6" s="744"/>
      <c r="AB6" s="744"/>
      <c r="AC6" s="744"/>
      <c r="AD6" s="744"/>
      <c r="AE6" s="741"/>
      <c r="AF6" s="741"/>
      <c r="AG6" s="742"/>
      <c r="AH6" s="648"/>
      <c r="AI6" s="746"/>
      <c r="AJ6" s="741"/>
      <c r="AK6" s="742"/>
      <c r="AL6" s="742"/>
      <c r="AM6" s="741"/>
      <c r="AN6" s="741"/>
      <c r="AO6" s="742"/>
      <c r="AP6" s="742"/>
      <c r="AQ6" s="741"/>
      <c r="AR6" s="741"/>
      <c r="AS6" s="741"/>
      <c r="AT6" s="741"/>
      <c r="AU6" s="742"/>
      <c r="AV6" s="742"/>
      <c r="AW6" s="741"/>
      <c r="AX6" s="741"/>
      <c r="AY6" s="741"/>
      <c r="AZ6" s="741"/>
      <c r="BA6" s="742"/>
      <c r="BB6" s="742"/>
      <c r="BC6" s="741"/>
      <c r="BD6" s="741"/>
      <c r="BE6" s="742"/>
      <c r="BF6" s="742"/>
      <c r="BG6" s="741"/>
      <c r="BH6" s="741"/>
      <c r="BI6" s="741"/>
      <c r="BJ6" s="741"/>
      <c r="BK6" s="742"/>
      <c r="BL6" s="742"/>
      <c r="BM6" s="741"/>
      <c r="BN6" s="741"/>
      <c r="BO6" s="743"/>
      <c r="BP6" s="743"/>
      <c r="BQ6" s="741"/>
      <c r="BR6" s="741"/>
      <c r="BS6" s="741"/>
      <c r="BT6" s="741"/>
      <c r="BU6" s="741"/>
      <c r="BV6" s="741"/>
      <c r="BW6" s="649"/>
      <c r="BX6" s="649"/>
      <c r="BY6" s="741"/>
      <c r="BZ6" s="741"/>
      <c r="CA6" s="294"/>
    </row>
    <row r="7" spans="1:87" ht="10.5" customHeight="1">
      <c r="A7" s="650"/>
      <c r="B7" s="650"/>
      <c r="C7" s="650"/>
      <c r="D7" s="650"/>
      <c r="E7" s="650"/>
      <c r="F7" s="650"/>
      <c r="G7" s="651"/>
      <c r="H7" s="650"/>
      <c r="I7" s="650"/>
      <c r="J7" s="650"/>
      <c r="K7" s="650"/>
      <c r="L7" s="650"/>
      <c r="M7" s="1505">
        <v>0.28125</v>
      </c>
      <c r="N7" s="1506"/>
      <c r="O7" s="1506"/>
      <c r="P7" s="1506"/>
      <c r="Q7" s="1507" t="s">
        <v>1901</v>
      </c>
      <c r="R7" s="1507"/>
      <c r="S7" s="1507"/>
      <c r="T7" s="1505">
        <v>0.36458333333333331</v>
      </c>
      <c r="U7" s="1506"/>
      <c r="V7" s="1506"/>
      <c r="W7" s="1506"/>
      <c r="X7" s="650"/>
      <c r="Y7" s="650"/>
      <c r="Z7" s="650"/>
      <c r="AA7" s="652"/>
      <c r="AB7" s="652"/>
      <c r="AC7" s="652"/>
      <c r="AD7" s="652"/>
      <c r="AE7" s="652"/>
      <c r="AF7" s="1505">
        <v>0.47916666666666669</v>
      </c>
      <c r="AG7" s="1506"/>
      <c r="AH7" s="1506"/>
      <c r="AI7" s="1506"/>
      <c r="AJ7" s="1507" t="s">
        <v>1901</v>
      </c>
      <c r="AK7" s="1507"/>
      <c r="AL7" s="1507"/>
      <c r="AM7" s="1505">
        <v>6.25E-2</v>
      </c>
      <c r="AN7" s="1506"/>
      <c r="AO7" s="1506"/>
      <c r="AP7" s="1506"/>
      <c r="AQ7" s="652"/>
      <c r="AR7" s="652"/>
      <c r="AS7" s="652"/>
      <c r="AT7" s="652"/>
      <c r="AU7" s="652"/>
      <c r="AV7" s="652"/>
      <c r="AW7" s="652"/>
      <c r="AX7" s="652"/>
      <c r="AY7" s="652"/>
      <c r="AZ7" s="652"/>
      <c r="BA7" s="1505">
        <v>0.20833333333333334</v>
      </c>
      <c r="BB7" s="1506"/>
      <c r="BC7" s="1506"/>
      <c r="BD7" s="1506"/>
      <c r="BE7" s="1507" t="s">
        <v>1901</v>
      </c>
      <c r="BF7" s="1507"/>
      <c r="BG7" s="1507"/>
      <c r="BH7" s="1507"/>
      <c r="BI7" s="1505">
        <v>0.29166666666666669</v>
      </c>
      <c r="BJ7" s="1506"/>
      <c r="BK7" s="1506"/>
      <c r="BL7" s="1506"/>
      <c r="BM7" s="652"/>
      <c r="BN7" s="652"/>
      <c r="BO7" s="652"/>
      <c r="BP7" s="652"/>
      <c r="BQ7" s="652"/>
      <c r="BR7" s="652"/>
      <c r="BS7" s="652"/>
      <c r="BT7" s="652"/>
      <c r="BU7" s="652"/>
      <c r="BV7" s="652"/>
      <c r="BW7" s="652"/>
      <c r="BX7" s="652"/>
      <c r="BY7" s="652"/>
      <c r="BZ7" s="652"/>
      <c r="CA7" s="652"/>
    </row>
    <row r="8" spans="1:87" ht="10.5" customHeight="1">
      <c r="A8" s="650"/>
      <c r="B8" s="650"/>
      <c r="C8" s="650"/>
      <c r="D8" s="650"/>
      <c r="E8" s="650"/>
      <c r="F8" s="650"/>
      <c r="G8" s="651"/>
      <c r="H8" s="650"/>
      <c r="I8" s="650"/>
      <c r="J8" s="650"/>
      <c r="K8" s="650"/>
      <c r="L8" s="650"/>
      <c r="M8" s="650"/>
      <c r="N8" s="650"/>
      <c r="O8" s="1491" t="s">
        <v>1837</v>
      </c>
      <c r="P8" s="1492"/>
      <c r="Q8" s="1492"/>
      <c r="R8" s="1492"/>
      <c r="S8" s="1492"/>
      <c r="T8" s="1493"/>
      <c r="U8" s="651"/>
      <c r="V8" s="651"/>
      <c r="W8" s="651"/>
      <c r="X8" s="651"/>
      <c r="Y8" s="651"/>
      <c r="Z8" s="651"/>
      <c r="AA8" s="654"/>
      <c r="AB8" s="654"/>
      <c r="AC8" s="654"/>
      <c r="AD8" s="654"/>
      <c r="AE8" s="654"/>
      <c r="AF8" s="654"/>
      <c r="AG8" s="654"/>
      <c r="AH8" s="1491" t="s">
        <v>1837</v>
      </c>
      <c r="AI8" s="1494"/>
      <c r="AJ8" s="1494"/>
      <c r="AK8" s="1494"/>
      <c r="AL8" s="1494"/>
      <c r="AM8" s="1494"/>
      <c r="AN8" s="1495"/>
      <c r="AO8" s="654"/>
      <c r="AP8" s="654"/>
      <c r="AQ8" s="654"/>
      <c r="AR8" s="654"/>
      <c r="AS8" s="654"/>
      <c r="AT8" s="654"/>
      <c r="AU8" s="654"/>
      <c r="AV8" s="654"/>
      <c r="AW8" s="654"/>
      <c r="AX8" s="654"/>
      <c r="AY8" s="654"/>
      <c r="AZ8" s="654"/>
      <c r="BA8" s="654"/>
      <c r="BB8" s="654"/>
      <c r="BC8" s="1496" t="s">
        <v>1837</v>
      </c>
      <c r="BD8" s="1494"/>
      <c r="BE8" s="1494"/>
      <c r="BF8" s="1494"/>
      <c r="BG8" s="1494"/>
      <c r="BH8" s="1494"/>
      <c r="BI8" s="1494"/>
      <c r="BJ8" s="1495"/>
      <c r="BK8" s="654"/>
      <c r="BL8" s="654"/>
      <c r="BM8" s="654"/>
      <c r="BN8" s="654"/>
      <c r="BO8" s="654"/>
      <c r="BP8" s="654"/>
      <c r="BQ8" s="654"/>
      <c r="BR8" s="654"/>
      <c r="BS8" s="654"/>
      <c r="BT8" s="654"/>
      <c r="BU8" s="654"/>
      <c r="BV8" s="654"/>
      <c r="BW8" s="654"/>
      <c r="BX8" s="654"/>
      <c r="BY8" s="654"/>
      <c r="BZ8" s="654"/>
      <c r="CA8" s="652"/>
    </row>
    <row r="9" spans="1:87" ht="10.5" customHeight="1">
      <c r="A9" s="1497" t="s">
        <v>80</v>
      </c>
      <c r="B9" s="1497"/>
      <c r="C9" s="1497"/>
      <c r="D9" s="1497" t="s">
        <v>79</v>
      </c>
      <c r="E9" s="1497"/>
      <c r="F9" s="1497"/>
      <c r="G9" s="651"/>
      <c r="H9" s="650"/>
      <c r="I9" s="650"/>
      <c r="J9" s="650"/>
      <c r="K9" s="650"/>
      <c r="L9" s="650"/>
      <c r="M9" s="650"/>
      <c r="N9" s="650"/>
      <c r="O9" s="651"/>
      <c r="P9" s="651"/>
      <c r="Q9" s="651"/>
      <c r="R9" s="651"/>
      <c r="S9" s="651"/>
      <c r="T9" s="651"/>
      <c r="U9" s="651"/>
      <c r="V9" s="651"/>
      <c r="W9" s="651"/>
      <c r="X9" s="651"/>
      <c r="Y9" s="651"/>
      <c r="Z9" s="651"/>
      <c r="AA9" s="654"/>
      <c r="AB9" s="654"/>
      <c r="AC9" s="654"/>
      <c r="AD9" s="654"/>
      <c r="AE9" s="654"/>
      <c r="AF9" s="654"/>
      <c r="AG9" s="654"/>
      <c r="AH9" s="655"/>
      <c r="AI9" s="1533" t="s">
        <v>1404</v>
      </c>
      <c r="AJ9" s="1533"/>
      <c r="AK9" s="1533"/>
      <c r="AL9" s="1533"/>
      <c r="AM9" s="1533"/>
      <c r="AN9" s="1533"/>
      <c r="AO9" s="1533"/>
      <c r="AP9" s="1533"/>
      <c r="AQ9" s="1533"/>
      <c r="AR9" s="1533"/>
      <c r="AS9" s="1533"/>
      <c r="AT9" s="1533"/>
      <c r="AU9" s="1533"/>
      <c r="AV9" s="1533"/>
      <c r="AW9" s="1533"/>
      <c r="AX9" s="1533"/>
      <c r="AY9" s="1530" t="s">
        <v>1405</v>
      </c>
      <c r="AZ9" s="1531"/>
      <c r="BA9" s="1531"/>
      <c r="BB9" s="1531"/>
      <c r="BC9" s="1531"/>
      <c r="BD9" s="1531"/>
      <c r="BE9" s="1531"/>
      <c r="BF9" s="1531"/>
      <c r="BG9" s="1531"/>
      <c r="BH9" s="1531"/>
      <c r="BI9" s="1531"/>
      <c r="BJ9" s="1531"/>
      <c r="BK9" s="1531"/>
      <c r="BL9" s="1531"/>
      <c r="BM9" s="1531"/>
      <c r="BN9" s="1531"/>
      <c r="BO9" s="1531"/>
      <c r="BP9" s="1531"/>
      <c r="BQ9" s="1531"/>
      <c r="BR9" s="1531"/>
      <c r="BS9" s="1531"/>
      <c r="BT9" s="1532"/>
      <c r="BU9" s="1521" t="s">
        <v>76</v>
      </c>
      <c r="BV9" s="1522"/>
      <c r="BW9" s="1522"/>
      <c r="BX9" s="1522"/>
      <c r="BY9" s="1522"/>
      <c r="BZ9" s="1523"/>
      <c r="CA9" s="652"/>
    </row>
    <row r="10" spans="1:87" ht="10.5" customHeight="1">
      <c r="A10" s="1497"/>
      <c r="B10" s="1497"/>
      <c r="C10" s="1497"/>
      <c r="D10" s="1497"/>
      <c r="E10" s="1497"/>
      <c r="F10" s="1497"/>
      <c r="G10" s="1461"/>
      <c r="H10" s="1461"/>
      <c r="I10" s="1391">
        <v>0.25</v>
      </c>
      <c r="J10" s="1391"/>
      <c r="K10" s="1391"/>
      <c r="L10" s="1391"/>
      <c r="M10" s="1391">
        <v>0.29166666666666669</v>
      </c>
      <c r="N10" s="1391"/>
      <c r="O10" s="1391"/>
      <c r="P10" s="1391"/>
      <c r="Q10" s="1391">
        <v>0.33333333333333331</v>
      </c>
      <c r="R10" s="1391"/>
      <c r="S10" s="1391"/>
      <c r="T10" s="1391"/>
      <c r="U10" s="1391">
        <v>0.375</v>
      </c>
      <c r="V10" s="1391"/>
      <c r="W10" s="1391"/>
      <c r="X10" s="1391"/>
      <c r="Y10" s="1391">
        <v>0.41666666666666669</v>
      </c>
      <c r="Z10" s="1418"/>
      <c r="AA10" s="1391"/>
      <c r="AB10" s="1391"/>
      <c r="AC10" s="1391">
        <v>0.45833333333333331</v>
      </c>
      <c r="AD10" s="1391"/>
      <c r="AE10" s="1391"/>
      <c r="AF10" s="1391"/>
      <c r="AG10" s="1385">
        <v>0.5</v>
      </c>
      <c r="AH10" s="1385"/>
      <c r="AI10" s="1385"/>
      <c r="AJ10" s="1385"/>
      <c r="AK10" s="1385">
        <v>4.1666666666666664E-2</v>
      </c>
      <c r="AL10" s="1385"/>
      <c r="AM10" s="1385"/>
      <c r="AN10" s="1385"/>
      <c r="AO10" s="1385">
        <v>8.3333333333333329E-2</v>
      </c>
      <c r="AP10" s="1385"/>
      <c r="AQ10" s="1385"/>
      <c r="AR10" s="1385"/>
      <c r="AS10" s="1385">
        <v>0.125</v>
      </c>
      <c r="AT10" s="1385"/>
      <c r="AU10" s="1385"/>
      <c r="AV10" s="1385"/>
      <c r="AW10" s="1385">
        <v>0.16666666666666666</v>
      </c>
      <c r="AX10" s="1385"/>
      <c r="AY10" s="1385"/>
      <c r="AZ10" s="1385"/>
      <c r="BA10" s="1385">
        <v>0.20833333333333334</v>
      </c>
      <c r="BB10" s="1385"/>
      <c r="BC10" s="1385"/>
      <c r="BD10" s="1385"/>
      <c r="BE10" s="1385">
        <v>0.25</v>
      </c>
      <c r="BF10" s="1385"/>
      <c r="BG10" s="1385"/>
      <c r="BH10" s="1385"/>
      <c r="BI10" s="1385">
        <v>0.29166666666666669</v>
      </c>
      <c r="BJ10" s="1385"/>
      <c r="BK10" s="1385"/>
      <c r="BL10" s="1385"/>
      <c r="BM10" s="1385">
        <v>0.33333333333333331</v>
      </c>
      <c r="BN10" s="1385"/>
      <c r="BO10" s="1385"/>
      <c r="BP10" s="1385"/>
      <c r="BQ10" s="1385">
        <v>0.375</v>
      </c>
      <c r="BR10" s="1385"/>
      <c r="BS10" s="1385"/>
      <c r="BT10" s="1385"/>
      <c r="BU10" s="1385">
        <v>0.41666666666666669</v>
      </c>
      <c r="BV10" s="1414"/>
      <c r="BW10" s="1414"/>
      <c r="BX10" s="1414"/>
      <c r="BY10" s="1385"/>
      <c r="BZ10" s="1385"/>
      <c r="CA10" s="656"/>
      <c r="CB10" s="657"/>
      <c r="CC10" s="657"/>
      <c r="CD10" s="657"/>
      <c r="CE10" s="657"/>
      <c r="CF10" s="657"/>
      <c r="CG10" s="657"/>
      <c r="CH10" s="657"/>
      <c r="CI10" s="657"/>
    </row>
    <row r="11" spans="1:87" ht="9.9499999999999993" customHeight="1">
      <c r="A11" s="1482" t="str">
        <f>AK4</f>
        <v/>
      </c>
      <c r="B11" s="1482"/>
      <c r="C11" s="1482"/>
      <c r="D11" s="1390" t="s">
        <v>78</v>
      </c>
      <c r="E11" s="1390"/>
      <c r="F11" s="1390"/>
      <c r="G11" s="1395" t="s">
        <v>3026</v>
      </c>
      <c r="H11" s="1396"/>
      <c r="I11" s="1396"/>
      <c r="J11" s="1396"/>
      <c r="K11" s="1396"/>
      <c r="L11" s="1396"/>
      <c r="M11" s="1396"/>
      <c r="N11" s="1396"/>
      <c r="O11" s="1396"/>
      <c r="P11" s="1396"/>
      <c r="Q11" s="1396"/>
      <c r="R11" s="1396"/>
      <c r="S11" s="1396"/>
      <c r="T11" s="1396"/>
      <c r="U11" s="1396"/>
      <c r="V11" s="1397"/>
      <c r="W11" s="658"/>
      <c r="X11" s="658"/>
      <c r="Y11" s="658"/>
      <c r="Z11" s="658"/>
      <c r="AA11" s="734"/>
      <c r="AB11" s="735"/>
      <c r="AC11" s="735"/>
      <c r="AD11" s="735"/>
      <c r="AE11" s="661"/>
      <c r="AF11" s="662"/>
      <c r="AG11" s="663"/>
      <c r="AH11" s="664"/>
      <c r="AI11" s="663"/>
      <c r="AJ11" s="663"/>
      <c r="AK11" s="663"/>
      <c r="AL11" s="664"/>
      <c r="AM11" s="663"/>
      <c r="AN11" s="663"/>
      <c r="AO11" s="663"/>
      <c r="AP11" s="663"/>
      <c r="AQ11" s="665"/>
      <c r="AR11" s="663"/>
      <c r="AS11" s="736"/>
      <c r="AT11" s="736"/>
      <c r="AU11" s="661"/>
      <c r="AV11" s="663"/>
      <c r="AW11" s="663"/>
      <c r="AX11" s="663"/>
      <c r="AY11" s="665"/>
      <c r="AZ11" s="663"/>
      <c r="BA11" s="663"/>
      <c r="BB11" s="663"/>
      <c r="BC11" s="665"/>
      <c r="BD11" s="663"/>
      <c r="BE11" s="663"/>
      <c r="BF11" s="663"/>
      <c r="BG11" s="1437" t="s">
        <v>3036</v>
      </c>
      <c r="BH11" s="1513"/>
      <c r="BI11" s="1513"/>
      <c r="BJ11" s="1438"/>
      <c r="BK11" s="1437" t="s">
        <v>3016</v>
      </c>
      <c r="BL11" s="1513"/>
      <c r="BM11" s="1513"/>
      <c r="BN11" s="1438"/>
      <c r="BO11" s="1405" t="s">
        <v>3014</v>
      </c>
      <c r="BP11" s="1406"/>
      <c r="BQ11" s="1406"/>
      <c r="BR11" s="1407"/>
      <c r="BS11" s="665"/>
      <c r="BT11" s="663"/>
      <c r="BU11" s="736"/>
      <c r="BV11" s="736"/>
      <c r="BW11" s="736"/>
      <c r="BX11" s="736"/>
      <c r="BY11" s="736"/>
      <c r="BZ11" s="737"/>
      <c r="CA11" s="668"/>
      <c r="CB11" s="657"/>
      <c r="CC11" s="657"/>
      <c r="CD11" s="657"/>
      <c r="CE11" s="657"/>
      <c r="CF11" s="657"/>
      <c r="CG11" s="657"/>
      <c r="CH11" s="657"/>
      <c r="CI11" s="657"/>
    </row>
    <row r="12" spans="1:87" ht="9.9499999999999993" customHeight="1">
      <c r="A12" s="1482"/>
      <c r="B12" s="1482"/>
      <c r="C12" s="1482"/>
      <c r="D12" s="1390"/>
      <c r="E12" s="1390"/>
      <c r="F12" s="1390"/>
      <c r="G12" s="1398"/>
      <c r="H12" s="1399"/>
      <c r="I12" s="1399"/>
      <c r="J12" s="1399"/>
      <c r="K12" s="1399"/>
      <c r="L12" s="1399"/>
      <c r="M12" s="1399"/>
      <c r="N12" s="1399"/>
      <c r="O12" s="1399"/>
      <c r="P12" s="1399"/>
      <c r="Q12" s="1399"/>
      <c r="R12" s="1399"/>
      <c r="S12" s="1399"/>
      <c r="T12" s="1399"/>
      <c r="U12" s="1399"/>
      <c r="V12" s="1400"/>
      <c r="W12" s="669"/>
      <c r="X12" s="669"/>
      <c r="Y12" s="669"/>
      <c r="Z12" s="669"/>
      <c r="AA12" s="736"/>
      <c r="AB12" s="736"/>
      <c r="AC12" s="736"/>
      <c r="AD12" s="670"/>
      <c r="AE12" s="663"/>
      <c r="AF12" s="663"/>
      <c r="AG12" s="663"/>
      <c r="AH12" s="671"/>
      <c r="AI12" s="663"/>
      <c r="AJ12" s="663"/>
      <c r="AK12" s="663"/>
      <c r="AL12" s="671"/>
      <c r="AM12" s="663"/>
      <c r="AN12" s="663"/>
      <c r="AO12" s="663"/>
      <c r="AP12" s="671"/>
      <c r="AQ12" s="663"/>
      <c r="AR12" s="663"/>
      <c r="AS12" s="736"/>
      <c r="AT12" s="670"/>
      <c r="AU12" s="663"/>
      <c r="AV12" s="663"/>
      <c r="AW12" s="663"/>
      <c r="AX12" s="671"/>
      <c r="AY12" s="663"/>
      <c r="AZ12" s="663"/>
      <c r="BA12" s="663"/>
      <c r="BB12" s="671"/>
      <c r="BC12" s="663"/>
      <c r="BD12" s="663"/>
      <c r="BE12" s="663"/>
      <c r="BF12" s="663"/>
      <c r="BG12" s="1439"/>
      <c r="BH12" s="1514"/>
      <c r="BI12" s="1514"/>
      <c r="BJ12" s="1440"/>
      <c r="BK12" s="1439"/>
      <c r="BL12" s="1514"/>
      <c r="BM12" s="1514"/>
      <c r="BN12" s="1440"/>
      <c r="BO12" s="1408"/>
      <c r="BP12" s="1409"/>
      <c r="BQ12" s="1409"/>
      <c r="BR12" s="1410"/>
      <c r="BS12" s="663"/>
      <c r="BT12" s="663"/>
      <c r="BU12" s="736"/>
      <c r="BV12" s="670"/>
      <c r="BW12" s="736"/>
      <c r="BX12" s="736"/>
      <c r="BY12" s="736"/>
      <c r="BZ12" s="737"/>
      <c r="CA12" s="668"/>
      <c r="CB12" s="657"/>
      <c r="CC12" s="657"/>
      <c r="CD12" s="657"/>
      <c r="CE12" s="657"/>
      <c r="CF12" s="657"/>
      <c r="CG12" s="657"/>
      <c r="CH12" s="657"/>
      <c r="CI12" s="657"/>
    </row>
    <row r="13" spans="1:87" ht="9.9499999999999993" customHeight="1">
      <c r="A13" s="1483"/>
      <c r="B13" s="1483"/>
      <c r="C13" s="1483"/>
      <c r="D13" s="1390"/>
      <c r="E13" s="1390"/>
      <c r="F13" s="1390"/>
      <c r="G13" s="1398"/>
      <c r="H13" s="1399"/>
      <c r="I13" s="1399"/>
      <c r="J13" s="1399"/>
      <c r="K13" s="1399"/>
      <c r="L13" s="1399"/>
      <c r="M13" s="1399"/>
      <c r="N13" s="1399"/>
      <c r="O13" s="1399"/>
      <c r="P13" s="1399"/>
      <c r="Q13" s="1399"/>
      <c r="R13" s="1399"/>
      <c r="S13" s="1399"/>
      <c r="T13" s="1399"/>
      <c r="U13" s="1399"/>
      <c r="V13" s="1400"/>
      <c r="W13" s="669"/>
      <c r="X13" s="669"/>
      <c r="Y13" s="669"/>
      <c r="Z13" s="669"/>
      <c r="AA13" s="736"/>
      <c r="AB13" s="736"/>
      <c r="AC13" s="736"/>
      <c r="AD13" s="670"/>
      <c r="AE13" s="663"/>
      <c r="AF13" s="663"/>
      <c r="AG13" s="663"/>
      <c r="AH13" s="671"/>
      <c r="AI13" s="663"/>
      <c r="AJ13" s="663"/>
      <c r="AK13" s="663"/>
      <c r="AL13" s="671"/>
      <c r="AM13" s="663"/>
      <c r="AN13" s="663"/>
      <c r="AO13" s="663"/>
      <c r="AP13" s="671"/>
      <c r="AQ13" s="663"/>
      <c r="AR13" s="663"/>
      <c r="AS13" s="736"/>
      <c r="AT13" s="670"/>
      <c r="AU13" s="663"/>
      <c r="AV13" s="663"/>
      <c r="AW13" s="663"/>
      <c r="AX13" s="671"/>
      <c r="AY13" s="663"/>
      <c r="AZ13" s="663"/>
      <c r="BA13" s="663"/>
      <c r="BB13" s="671"/>
      <c r="BC13" s="663"/>
      <c r="BD13" s="663"/>
      <c r="BE13" s="663"/>
      <c r="BF13" s="663"/>
      <c r="BG13" s="1439"/>
      <c r="BH13" s="1514"/>
      <c r="BI13" s="1514"/>
      <c r="BJ13" s="1440"/>
      <c r="BK13" s="1439"/>
      <c r="BL13" s="1514"/>
      <c r="BM13" s="1514"/>
      <c r="BN13" s="1440"/>
      <c r="BO13" s="1408"/>
      <c r="BP13" s="1409"/>
      <c r="BQ13" s="1409"/>
      <c r="BR13" s="1410"/>
      <c r="BS13" s="663"/>
      <c r="BT13" s="663"/>
      <c r="BU13" s="736"/>
      <c r="BV13" s="670"/>
      <c r="BW13" s="736"/>
      <c r="BX13" s="736"/>
      <c r="BY13" s="736"/>
      <c r="BZ13" s="737"/>
      <c r="CA13" s="672"/>
      <c r="CB13" s="657"/>
      <c r="CC13" s="657"/>
      <c r="CD13" s="657"/>
      <c r="CE13" s="657"/>
      <c r="CF13" s="657"/>
      <c r="CG13" s="657"/>
      <c r="CH13" s="657"/>
      <c r="CI13" s="657"/>
    </row>
    <row r="14" spans="1:87" ht="9.9499999999999993" customHeight="1">
      <c r="A14" s="1389" t="s">
        <v>15</v>
      </c>
      <c r="B14" s="1389"/>
      <c r="C14" s="1389"/>
      <c r="D14" s="1390"/>
      <c r="E14" s="1390"/>
      <c r="F14" s="1390"/>
      <c r="G14" s="1398"/>
      <c r="H14" s="1399"/>
      <c r="I14" s="1399"/>
      <c r="J14" s="1399"/>
      <c r="K14" s="1399"/>
      <c r="L14" s="1399"/>
      <c r="M14" s="1399"/>
      <c r="N14" s="1399"/>
      <c r="O14" s="1399"/>
      <c r="P14" s="1399"/>
      <c r="Q14" s="1399"/>
      <c r="R14" s="1399"/>
      <c r="S14" s="1399"/>
      <c r="T14" s="1399"/>
      <c r="U14" s="1399"/>
      <c r="V14" s="1400"/>
      <c r="W14" s="669"/>
      <c r="X14" s="669"/>
      <c r="Y14" s="669"/>
      <c r="Z14" s="669"/>
      <c r="AA14" s="736"/>
      <c r="AB14" s="736"/>
      <c r="AC14" s="736"/>
      <c r="AD14" s="670"/>
      <c r="AE14" s="663"/>
      <c r="AF14" s="663"/>
      <c r="AG14" s="663"/>
      <c r="AH14" s="671"/>
      <c r="AI14" s="663"/>
      <c r="AJ14" s="663"/>
      <c r="AK14" s="663"/>
      <c r="AL14" s="671"/>
      <c r="AM14" s="663"/>
      <c r="AN14" s="663"/>
      <c r="AO14" s="663"/>
      <c r="AP14" s="671"/>
      <c r="AQ14" s="663"/>
      <c r="AR14" s="663"/>
      <c r="AS14" s="736"/>
      <c r="AT14" s="670"/>
      <c r="AU14" s="663"/>
      <c r="AV14" s="663"/>
      <c r="AW14" s="663"/>
      <c r="AX14" s="671"/>
      <c r="AY14" s="663"/>
      <c r="AZ14" s="663"/>
      <c r="BA14" s="663"/>
      <c r="BB14" s="671"/>
      <c r="BC14" s="663"/>
      <c r="BD14" s="663"/>
      <c r="BE14" s="663"/>
      <c r="BF14" s="663"/>
      <c r="BG14" s="1439"/>
      <c r="BH14" s="1514"/>
      <c r="BI14" s="1514"/>
      <c r="BJ14" s="1440"/>
      <c r="BK14" s="1439"/>
      <c r="BL14" s="1514"/>
      <c r="BM14" s="1514"/>
      <c r="BN14" s="1440"/>
      <c r="BO14" s="1408"/>
      <c r="BP14" s="1409"/>
      <c r="BQ14" s="1409"/>
      <c r="BR14" s="1410"/>
      <c r="BS14" s="663"/>
      <c r="BT14" s="663"/>
      <c r="BU14" s="736"/>
      <c r="BV14" s="670"/>
      <c r="BW14" s="736"/>
      <c r="BX14" s="736"/>
      <c r="BY14" s="736"/>
      <c r="BZ14" s="737"/>
      <c r="CA14" s="672"/>
      <c r="CB14" s="657"/>
      <c r="CC14" s="657"/>
      <c r="CD14" s="657"/>
      <c r="CE14" s="657"/>
      <c r="CF14" s="657"/>
      <c r="CG14" s="657"/>
      <c r="CH14" s="657"/>
      <c r="CI14" s="657"/>
    </row>
    <row r="15" spans="1:87" ht="9.9499999999999993" customHeight="1">
      <c r="A15" s="1390"/>
      <c r="B15" s="1390"/>
      <c r="C15" s="1390"/>
      <c r="D15" s="1390"/>
      <c r="E15" s="1390"/>
      <c r="F15" s="1390"/>
      <c r="G15" s="1398"/>
      <c r="H15" s="1399"/>
      <c r="I15" s="1399"/>
      <c r="J15" s="1399"/>
      <c r="K15" s="1399"/>
      <c r="L15" s="1399"/>
      <c r="M15" s="1399"/>
      <c r="N15" s="1399"/>
      <c r="O15" s="1399"/>
      <c r="P15" s="1399"/>
      <c r="Q15" s="1399"/>
      <c r="R15" s="1399"/>
      <c r="S15" s="1399"/>
      <c r="T15" s="1399"/>
      <c r="U15" s="1399"/>
      <c r="V15" s="1400"/>
      <c r="W15" s="669"/>
      <c r="X15" s="669"/>
      <c r="Y15" s="669"/>
      <c r="Z15" s="669"/>
      <c r="AA15" s="736"/>
      <c r="AB15" s="736"/>
      <c r="AC15" s="736"/>
      <c r="AD15" s="670"/>
      <c r="AE15" s="663"/>
      <c r="AF15" s="663"/>
      <c r="AG15" s="663"/>
      <c r="AH15" s="671"/>
      <c r="AI15" s="663"/>
      <c r="AJ15" s="663"/>
      <c r="AK15" s="663"/>
      <c r="AL15" s="671"/>
      <c r="AM15" s="663"/>
      <c r="AN15" s="663"/>
      <c r="AO15" s="663"/>
      <c r="AP15" s="671"/>
      <c r="AQ15" s="663"/>
      <c r="AR15" s="663"/>
      <c r="AS15" s="736"/>
      <c r="AT15" s="670"/>
      <c r="AU15" s="663"/>
      <c r="AV15" s="663"/>
      <c r="AW15" s="663"/>
      <c r="AX15" s="671"/>
      <c r="AY15" s="663"/>
      <c r="AZ15" s="663"/>
      <c r="BA15" s="663"/>
      <c r="BB15" s="671"/>
      <c r="BC15" s="663"/>
      <c r="BD15" s="663"/>
      <c r="BE15" s="663"/>
      <c r="BF15" s="663"/>
      <c r="BG15" s="1439"/>
      <c r="BH15" s="1514"/>
      <c r="BI15" s="1514"/>
      <c r="BJ15" s="1440"/>
      <c r="BK15" s="1439"/>
      <c r="BL15" s="1514"/>
      <c r="BM15" s="1514"/>
      <c r="BN15" s="1440"/>
      <c r="BO15" s="1408"/>
      <c r="BP15" s="1409"/>
      <c r="BQ15" s="1409"/>
      <c r="BR15" s="1410"/>
      <c r="BS15" s="663"/>
      <c r="BT15" s="663"/>
      <c r="BU15" s="736"/>
      <c r="BV15" s="670"/>
      <c r="BW15" s="736"/>
      <c r="BX15" s="736"/>
      <c r="BY15" s="736"/>
      <c r="BZ15" s="737"/>
      <c r="CA15" s="668"/>
      <c r="CB15" s="657"/>
      <c r="CC15" s="657"/>
      <c r="CD15" s="657"/>
      <c r="CE15" s="657"/>
      <c r="CF15" s="657"/>
      <c r="CG15" s="657"/>
      <c r="CH15" s="657"/>
      <c r="CI15" s="657"/>
    </row>
    <row r="16" spans="1:87" ht="9.9499999999999993" customHeight="1">
      <c r="A16" s="1484"/>
      <c r="B16" s="1484"/>
      <c r="C16" s="1484"/>
      <c r="D16" s="1390"/>
      <c r="E16" s="1390"/>
      <c r="F16" s="1390"/>
      <c r="G16" s="1398"/>
      <c r="H16" s="1399"/>
      <c r="I16" s="1399"/>
      <c r="J16" s="1399"/>
      <c r="K16" s="1399"/>
      <c r="L16" s="1399"/>
      <c r="M16" s="1399"/>
      <c r="N16" s="1399"/>
      <c r="O16" s="1399"/>
      <c r="P16" s="1399"/>
      <c r="Q16" s="1399"/>
      <c r="R16" s="1399"/>
      <c r="S16" s="1399"/>
      <c r="T16" s="1399"/>
      <c r="U16" s="1399"/>
      <c r="V16" s="1400"/>
      <c r="W16" s="669"/>
      <c r="X16" s="669"/>
      <c r="Y16" s="669"/>
      <c r="Z16" s="669"/>
      <c r="AA16" s="736"/>
      <c r="AB16" s="736"/>
      <c r="AC16" s="736"/>
      <c r="AD16" s="670"/>
      <c r="AE16" s="663"/>
      <c r="AF16" s="663"/>
      <c r="AG16" s="663"/>
      <c r="AH16" s="671"/>
      <c r="AI16" s="663"/>
      <c r="AJ16" s="663"/>
      <c r="AK16" s="663"/>
      <c r="AL16" s="671"/>
      <c r="AM16" s="663"/>
      <c r="AN16" s="663"/>
      <c r="AO16" s="663"/>
      <c r="AP16" s="671"/>
      <c r="AQ16" s="663"/>
      <c r="AR16" s="663"/>
      <c r="AS16" s="736"/>
      <c r="AT16" s="670"/>
      <c r="AU16" s="663"/>
      <c r="AV16" s="663"/>
      <c r="AW16" s="663"/>
      <c r="AX16" s="671"/>
      <c r="AY16" s="663"/>
      <c r="AZ16" s="663"/>
      <c r="BA16" s="663"/>
      <c r="BB16" s="671"/>
      <c r="BC16" s="663"/>
      <c r="BD16" s="663"/>
      <c r="BE16" s="663"/>
      <c r="BF16" s="663"/>
      <c r="BG16" s="1439"/>
      <c r="BH16" s="1514"/>
      <c r="BI16" s="1514"/>
      <c r="BJ16" s="1440"/>
      <c r="BK16" s="1439"/>
      <c r="BL16" s="1514"/>
      <c r="BM16" s="1514"/>
      <c r="BN16" s="1440"/>
      <c r="BO16" s="1408"/>
      <c r="BP16" s="1409"/>
      <c r="BQ16" s="1409"/>
      <c r="BR16" s="1410"/>
      <c r="BS16" s="663"/>
      <c r="BT16" s="663"/>
      <c r="BU16" s="736"/>
      <c r="BV16" s="670"/>
      <c r="BW16" s="736"/>
      <c r="BX16" s="736"/>
      <c r="BY16" s="736"/>
      <c r="BZ16" s="737"/>
      <c r="CA16" s="668"/>
      <c r="CB16" s="657"/>
      <c r="CC16" s="657"/>
      <c r="CD16" s="657"/>
      <c r="CE16" s="657"/>
      <c r="CF16" s="657"/>
      <c r="CG16" s="657"/>
      <c r="CH16" s="657"/>
      <c r="CI16" s="657"/>
    </row>
    <row r="17" spans="1:87" ht="9.9499999999999993" customHeight="1">
      <c r="A17" s="1485" t="str">
        <f>AO4</f>
        <v/>
      </c>
      <c r="B17" s="1485"/>
      <c r="C17" s="1485"/>
      <c r="D17" s="1390"/>
      <c r="E17" s="1390"/>
      <c r="F17" s="1390"/>
      <c r="G17" s="1398"/>
      <c r="H17" s="1399"/>
      <c r="I17" s="1399"/>
      <c r="J17" s="1399"/>
      <c r="K17" s="1399"/>
      <c r="L17" s="1399"/>
      <c r="M17" s="1399"/>
      <c r="N17" s="1399"/>
      <c r="O17" s="1399"/>
      <c r="P17" s="1399"/>
      <c r="Q17" s="1399"/>
      <c r="R17" s="1399"/>
      <c r="S17" s="1399"/>
      <c r="T17" s="1399"/>
      <c r="U17" s="1399"/>
      <c r="V17" s="1400"/>
      <c r="W17" s="669"/>
      <c r="X17" s="669"/>
      <c r="Y17" s="669"/>
      <c r="Z17" s="669"/>
      <c r="AA17" s="736"/>
      <c r="AB17" s="736"/>
      <c r="AC17" s="736"/>
      <c r="AD17" s="670"/>
      <c r="AE17" s="663"/>
      <c r="AF17" s="663"/>
      <c r="AG17" s="663"/>
      <c r="AH17" s="671"/>
      <c r="AI17" s="663"/>
      <c r="AJ17" s="663"/>
      <c r="AK17" s="663"/>
      <c r="AL17" s="671"/>
      <c r="AM17" s="663"/>
      <c r="AN17" s="663"/>
      <c r="AO17" s="663"/>
      <c r="AP17" s="671"/>
      <c r="AQ17" s="663"/>
      <c r="AR17" s="663"/>
      <c r="AS17" s="736"/>
      <c r="AT17" s="670"/>
      <c r="AU17" s="663"/>
      <c r="AV17" s="663"/>
      <c r="AW17" s="663"/>
      <c r="AX17" s="671"/>
      <c r="AY17" s="663"/>
      <c r="AZ17" s="663"/>
      <c r="BA17" s="663"/>
      <c r="BB17" s="671"/>
      <c r="BC17" s="663"/>
      <c r="BD17" s="663"/>
      <c r="BE17" s="663"/>
      <c r="BF17" s="663"/>
      <c r="BG17" s="1439"/>
      <c r="BH17" s="1514"/>
      <c r="BI17" s="1514"/>
      <c r="BJ17" s="1440"/>
      <c r="BK17" s="1439"/>
      <c r="BL17" s="1514"/>
      <c r="BM17" s="1514"/>
      <c r="BN17" s="1440"/>
      <c r="BO17" s="1408"/>
      <c r="BP17" s="1409"/>
      <c r="BQ17" s="1409"/>
      <c r="BR17" s="1410"/>
      <c r="BS17" s="663"/>
      <c r="BT17" s="663"/>
      <c r="BU17" s="736"/>
      <c r="BV17" s="670"/>
      <c r="BW17" s="736"/>
      <c r="BX17" s="736"/>
      <c r="BY17" s="736"/>
      <c r="BZ17" s="737"/>
      <c r="CA17" s="668"/>
      <c r="CB17" s="657"/>
      <c r="CC17" s="657"/>
      <c r="CD17" s="657"/>
      <c r="CE17" s="657"/>
      <c r="CF17" s="657"/>
      <c r="CG17" s="657"/>
      <c r="CH17" s="657"/>
      <c r="CI17" s="657"/>
    </row>
    <row r="18" spans="1:87" ht="9.9499999999999993" customHeight="1">
      <c r="A18" s="1482"/>
      <c r="B18" s="1482"/>
      <c r="C18" s="1482"/>
      <c r="D18" s="1390"/>
      <c r="E18" s="1390"/>
      <c r="F18" s="1390"/>
      <c r="G18" s="1398"/>
      <c r="H18" s="1399"/>
      <c r="I18" s="1399"/>
      <c r="J18" s="1399"/>
      <c r="K18" s="1399"/>
      <c r="L18" s="1399"/>
      <c r="M18" s="1399"/>
      <c r="N18" s="1399"/>
      <c r="O18" s="1399"/>
      <c r="P18" s="1399"/>
      <c r="Q18" s="1399"/>
      <c r="R18" s="1399"/>
      <c r="S18" s="1399"/>
      <c r="T18" s="1399"/>
      <c r="U18" s="1399"/>
      <c r="V18" s="1400"/>
      <c r="W18" s="673"/>
      <c r="X18" s="673"/>
      <c r="Y18" s="673"/>
      <c r="Z18" s="673"/>
      <c r="AA18" s="739"/>
      <c r="AB18" s="739"/>
      <c r="AC18" s="739"/>
      <c r="AD18" s="675"/>
      <c r="AE18" s="676"/>
      <c r="AF18" s="676"/>
      <c r="AG18" s="676"/>
      <c r="AH18" s="677"/>
      <c r="AI18" s="676"/>
      <c r="AJ18" s="676"/>
      <c r="AK18" s="676"/>
      <c r="AL18" s="677"/>
      <c r="AM18" s="676"/>
      <c r="AN18" s="676"/>
      <c r="AO18" s="676"/>
      <c r="AP18" s="677"/>
      <c r="AQ18" s="676"/>
      <c r="AR18" s="676"/>
      <c r="AS18" s="739"/>
      <c r="AT18" s="675"/>
      <c r="AU18" s="676"/>
      <c r="AV18" s="676"/>
      <c r="AW18" s="676"/>
      <c r="AX18" s="677"/>
      <c r="AY18" s="676"/>
      <c r="AZ18" s="676"/>
      <c r="BA18" s="676"/>
      <c r="BB18" s="677"/>
      <c r="BC18" s="676"/>
      <c r="BD18" s="676"/>
      <c r="BE18" s="676"/>
      <c r="BF18" s="676"/>
      <c r="BG18" s="1439"/>
      <c r="BH18" s="1514"/>
      <c r="BI18" s="1514"/>
      <c r="BJ18" s="1440"/>
      <c r="BK18" s="1439"/>
      <c r="BL18" s="1514"/>
      <c r="BM18" s="1514"/>
      <c r="BN18" s="1440"/>
      <c r="BO18" s="1408"/>
      <c r="BP18" s="1409"/>
      <c r="BQ18" s="1409"/>
      <c r="BR18" s="1410"/>
      <c r="BS18" s="676"/>
      <c r="BT18" s="676"/>
      <c r="BU18" s="739"/>
      <c r="BV18" s="675"/>
      <c r="BW18" s="739"/>
      <c r="BX18" s="739"/>
      <c r="BY18" s="739"/>
      <c r="BZ18" s="740"/>
      <c r="CA18" s="679"/>
      <c r="CB18" s="657"/>
      <c r="CC18" s="657"/>
      <c r="CD18" s="657"/>
      <c r="CE18" s="657"/>
      <c r="CF18" s="657"/>
      <c r="CG18" s="657"/>
      <c r="CH18" s="657"/>
      <c r="CI18" s="657"/>
    </row>
    <row r="19" spans="1:87" ht="9.9499999999999993" customHeight="1">
      <c r="A19" s="1483"/>
      <c r="B19" s="1483"/>
      <c r="C19" s="1483"/>
      <c r="D19" s="1390" t="s">
        <v>77</v>
      </c>
      <c r="E19" s="1390"/>
      <c r="F19" s="1390"/>
      <c r="G19" s="1398"/>
      <c r="H19" s="1399"/>
      <c r="I19" s="1399"/>
      <c r="J19" s="1399"/>
      <c r="K19" s="1399"/>
      <c r="L19" s="1399"/>
      <c r="M19" s="1399"/>
      <c r="N19" s="1399"/>
      <c r="O19" s="1399"/>
      <c r="P19" s="1399"/>
      <c r="Q19" s="1399"/>
      <c r="R19" s="1399"/>
      <c r="S19" s="1399"/>
      <c r="T19" s="1399"/>
      <c r="U19" s="1399"/>
      <c r="V19" s="1400"/>
      <c r="W19" s="669"/>
      <c r="X19" s="669"/>
      <c r="Y19" s="669"/>
      <c r="Z19" s="669"/>
      <c r="AA19" s="680"/>
      <c r="AB19" s="680"/>
      <c r="AC19" s="680"/>
      <c r="AD19" s="681"/>
      <c r="AE19" s="682"/>
      <c r="AF19" s="662"/>
      <c r="AG19" s="662"/>
      <c r="AH19" s="683"/>
      <c r="AI19" s="662"/>
      <c r="AJ19" s="662"/>
      <c r="AK19" s="662"/>
      <c r="AL19" s="683"/>
      <c r="AM19" s="662"/>
      <c r="AN19" s="662"/>
      <c r="AO19" s="662"/>
      <c r="AP19" s="683"/>
      <c r="AQ19" s="662"/>
      <c r="AR19" s="662"/>
      <c r="AS19" s="680"/>
      <c r="AT19" s="681"/>
      <c r="AU19" s="680"/>
      <c r="AV19" s="680"/>
      <c r="AW19" s="680"/>
      <c r="AX19" s="681"/>
      <c r="AY19" s="680"/>
      <c r="AZ19" s="680"/>
      <c r="BA19" s="680"/>
      <c r="BB19" s="681"/>
      <c r="BC19" s="662"/>
      <c r="BD19" s="662"/>
      <c r="BE19" s="680"/>
      <c r="BF19" s="680"/>
      <c r="BG19" s="1439"/>
      <c r="BH19" s="1514"/>
      <c r="BI19" s="1514"/>
      <c r="BJ19" s="1440"/>
      <c r="BK19" s="1439"/>
      <c r="BL19" s="1514"/>
      <c r="BM19" s="1514"/>
      <c r="BN19" s="1440"/>
      <c r="BO19" s="1408"/>
      <c r="BP19" s="1409"/>
      <c r="BQ19" s="1409"/>
      <c r="BR19" s="1410"/>
      <c r="BS19" s="662"/>
      <c r="BT19" s="662"/>
      <c r="BU19" s="680"/>
      <c r="BV19" s="681"/>
      <c r="BW19" s="680"/>
      <c r="BX19" s="680"/>
      <c r="BY19" s="680"/>
      <c r="BZ19" s="684"/>
      <c r="CA19" s="668"/>
      <c r="CB19" s="657"/>
      <c r="CC19" s="657"/>
      <c r="CD19" s="657"/>
      <c r="CE19" s="657"/>
      <c r="CF19" s="657"/>
      <c r="CG19" s="657"/>
      <c r="CH19" s="657"/>
      <c r="CI19" s="657"/>
    </row>
    <row r="20" spans="1:87" ht="9.9499999999999993" customHeight="1">
      <c r="A20" s="1468" t="s">
        <v>14</v>
      </c>
      <c r="B20" s="1468"/>
      <c r="C20" s="1468"/>
      <c r="D20" s="1390"/>
      <c r="E20" s="1390"/>
      <c r="F20" s="1390"/>
      <c r="G20" s="1398"/>
      <c r="H20" s="1399"/>
      <c r="I20" s="1399"/>
      <c r="J20" s="1399"/>
      <c r="K20" s="1399"/>
      <c r="L20" s="1399"/>
      <c r="M20" s="1399"/>
      <c r="N20" s="1399"/>
      <c r="O20" s="1399"/>
      <c r="P20" s="1399"/>
      <c r="Q20" s="1399"/>
      <c r="R20" s="1399"/>
      <c r="S20" s="1399"/>
      <c r="T20" s="1399"/>
      <c r="U20" s="1399"/>
      <c r="V20" s="1400"/>
      <c r="W20" s="669"/>
      <c r="X20" s="669"/>
      <c r="Y20" s="669"/>
      <c r="Z20" s="669"/>
      <c r="AA20" s="685"/>
      <c r="AB20" s="685"/>
      <c r="AC20" s="685"/>
      <c r="AD20" s="686"/>
      <c r="AE20" s="663"/>
      <c r="AF20" s="663"/>
      <c r="AG20" s="663"/>
      <c r="AH20" s="671"/>
      <c r="AI20" s="663"/>
      <c r="AJ20" s="663"/>
      <c r="AK20" s="663"/>
      <c r="AL20" s="671"/>
      <c r="AM20" s="663"/>
      <c r="AN20" s="663"/>
      <c r="AO20" s="663"/>
      <c r="AP20" s="671"/>
      <c r="AQ20" s="663"/>
      <c r="AR20" s="663"/>
      <c r="AS20" s="685"/>
      <c r="AT20" s="686"/>
      <c r="AU20" s="685"/>
      <c r="AV20" s="685"/>
      <c r="AW20" s="685"/>
      <c r="AX20" s="686"/>
      <c r="AY20" s="685"/>
      <c r="AZ20" s="685"/>
      <c r="BA20" s="685"/>
      <c r="BB20" s="686"/>
      <c r="BC20" s="663"/>
      <c r="BD20" s="663"/>
      <c r="BE20" s="685"/>
      <c r="BF20" s="685"/>
      <c r="BG20" s="1439"/>
      <c r="BH20" s="1514"/>
      <c r="BI20" s="1514"/>
      <c r="BJ20" s="1440"/>
      <c r="BK20" s="1439"/>
      <c r="BL20" s="1514"/>
      <c r="BM20" s="1514"/>
      <c r="BN20" s="1440"/>
      <c r="BO20" s="1408"/>
      <c r="BP20" s="1409"/>
      <c r="BQ20" s="1409"/>
      <c r="BR20" s="1410"/>
      <c r="BS20" s="663"/>
      <c r="BT20" s="663"/>
      <c r="BU20" s="685"/>
      <c r="BV20" s="686"/>
      <c r="BW20" s="736"/>
      <c r="BX20" s="736"/>
      <c r="BY20" s="736"/>
      <c r="BZ20" s="737"/>
      <c r="CA20" s="668"/>
      <c r="CB20" s="657"/>
      <c r="CC20" s="657"/>
      <c r="CD20" s="657"/>
      <c r="CE20" s="657"/>
      <c r="CF20" s="657"/>
      <c r="CG20" s="657"/>
      <c r="CH20" s="657"/>
      <c r="CI20" s="657"/>
    </row>
    <row r="21" spans="1:87" ht="9.9499999999999993" customHeight="1">
      <c r="A21" s="1415"/>
      <c r="B21" s="1415"/>
      <c r="C21" s="1415"/>
      <c r="D21" s="1390"/>
      <c r="E21" s="1390"/>
      <c r="F21" s="1390"/>
      <c r="G21" s="1398"/>
      <c r="H21" s="1399"/>
      <c r="I21" s="1399"/>
      <c r="J21" s="1399"/>
      <c r="K21" s="1399"/>
      <c r="L21" s="1399"/>
      <c r="M21" s="1399"/>
      <c r="N21" s="1399"/>
      <c r="O21" s="1399"/>
      <c r="P21" s="1399"/>
      <c r="Q21" s="1399"/>
      <c r="R21" s="1399"/>
      <c r="S21" s="1399"/>
      <c r="T21" s="1399"/>
      <c r="U21" s="1399"/>
      <c r="V21" s="1400"/>
      <c r="W21" s="669"/>
      <c r="X21" s="669"/>
      <c r="Y21" s="669"/>
      <c r="Z21" s="669"/>
      <c r="AA21" s="685"/>
      <c r="AB21" s="685"/>
      <c r="AC21" s="685"/>
      <c r="AD21" s="686"/>
      <c r="AE21" s="663"/>
      <c r="AF21" s="663"/>
      <c r="AG21" s="663"/>
      <c r="AH21" s="671"/>
      <c r="AI21" s="663"/>
      <c r="AJ21" s="663"/>
      <c r="AK21" s="663"/>
      <c r="AL21" s="671"/>
      <c r="AM21" s="663"/>
      <c r="AN21" s="663"/>
      <c r="AO21" s="663"/>
      <c r="AP21" s="671"/>
      <c r="AQ21" s="663"/>
      <c r="AR21" s="663"/>
      <c r="AS21" s="685"/>
      <c r="AT21" s="686"/>
      <c r="AU21" s="685"/>
      <c r="AV21" s="685"/>
      <c r="AW21" s="685"/>
      <c r="AX21" s="686"/>
      <c r="AY21" s="685"/>
      <c r="AZ21" s="685"/>
      <c r="BA21" s="685"/>
      <c r="BB21" s="686"/>
      <c r="BC21" s="663"/>
      <c r="BD21" s="663"/>
      <c r="BE21" s="685"/>
      <c r="BF21" s="685"/>
      <c r="BG21" s="1439"/>
      <c r="BH21" s="1514"/>
      <c r="BI21" s="1514"/>
      <c r="BJ21" s="1440"/>
      <c r="BK21" s="1439"/>
      <c r="BL21" s="1514"/>
      <c r="BM21" s="1514"/>
      <c r="BN21" s="1440"/>
      <c r="BO21" s="1408"/>
      <c r="BP21" s="1409"/>
      <c r="BQ21" s="1409"/>
      <c r="BR21" s="1410"/>
      <c r="BS21" s="663"/>
      <c r="BT21" s="663"/>
      <c r="BU21" s="685"/>
      <c r="BV21" s="686"/>
      <c r="BW21" s="736"/>
      <c r="BX21" s="736"/>
      <c r="BY21" s="736"/>
      <c r="BZ21" s="737"/>
      <c r="CA21" s="672"/>
      <c r="CB21" s="657"/>
      <c r="CC21" s="657"/>
      <c r="CD21" s="657"/>
      <c r="CE21" s="657"/>
      <c r="CF21" s="657"/>
      <c r="CG21" s="657"/>
      <c r="CH21" s="657"/>
      <c r="CI21" s="657"/>
    </row>
    <row r="22" spans="1:87" ht="9.9499999999999993" customHeight="1">
      <c r="A22" s="1469"/>
      <c r="B22" s="1469"/>
      <c r="C22" s="1469"/>
      <c r="D22" s="1390"/>
      <c r="E22" s="1390"/>
      <c r="F22" s="1390"/>
      <c r="G22" s="1398"/>
      <c r="H22" s="1399"/>
      <c r="I22" s="1399"/>
      <c r="J22" s="1399"/>
      <c r="K22" s="1399"/>
      <c r="L22" s="1399"/>
      <c r="M22" s="1399"/>
      <c r="N22" s="1399"/>
      <c r="O22" s="1399"/>
      <c r="P22" s="1399"/>
      <c r="Q22" s="1399"/>
      <c r="R22" s="1399"/>
      <c r="S22" s="1399"/>
      <c r="T22" s="1399"/>
      <c r="U22" s="1399"/>
      <c r="V22" s="1400"/>
      <c r="W22" s="669"/>
      <c r="X22" s="669"/>
      <c r="Y22" s="669"/>
      <c r="Z22" s="669"/>
      <c r="AA22" s="688"/>
      <c r="AB22" s="688"/>
      <c r="AC22" s="688"/>
      <c r="AD22" s="687"/>
      <c r="AE22" s="663"/>
      <c r="AF22" s="663"/>
      <c r="AG22" s="663"/>
      <c r="AH22" s="671"/>
      <c r="AI22" s="663"/>
      <c r="AJ22" s="663"/>
      <c r="AK22" s="663"/>
      <c r="AL22" s="671"/>
      <c r="AM22" s="663"/>
      <c r="AN22" s="663"/>
      <c r="AO22" s="663"/>
      <c r="AP22" s="671"/>
      <c r="AQ22" s="663"/>
      <c r="AR22" s="663"/>
      <c r="AS22" s="688"/>
      <c r="AT22" s="687"/>
      <c r="AU22" s="688"/>
      <c r="AV22" s="688"/>
      <c r="AW22" s="688"/>
      <c r="AX22" s="687"/>
      <c r="AY22" s="688"/>
      <c r="AZ22" s="688"/>
      <c r="BA22" s="688"/>
      <c r="BB22" s="687"/>
      <c r="BC22" s="663"/>
      <c r="BD22" s="663"/>
      <c r="BE22" s="688"/>
      <c r="BF22" s="688"/>
      <c r="BG22" s="1439"/>
      <c r="BH22" s="1514"/>
      <c r="BI22" s="1514"/>
      <c r="BJ22" s="1440"/>
      <c r="BK22" s="1439"/>
      <c r="BL22" s="1514"/>
      <c r="BM22" s="1514"/>
      <c r="BN22" s="1440"/>
      <c r="BO22" s="1408"/>
      <c r="BP22" s="1409"/>
      <c r="BQ22" s="1409"/>
      <c r="BR22" s="1410"/>
      <c r="BS22" s="663"/>
      <c r="BT22" s="663"/>
      <c r="BU22" s="688"/>
      <c r="BV22" s="687"/>
      <c r="BW22" s="736"/>
      <c r="BX22" s="736"/>
      <c r="BY22" s="736"/>
      <c r="BZ22" s="737"/>
      <c r="CA22" s="672"/>
      <c r="CB22" s="657"/>
      <c r="CC22" s="657"/>
      <c r="CD22" s="657"/>
      <c r="CE22" s="657"/>
      <c r="CF22" s="657"/>
      <c r="CG22" s="657"/>
      <c r="CH22" s="657"/>
      <c r="CI22" s="657"/>
    </row>
    <row r="23" spans="1:87" ht="9.9499999999999993" customHeight="1">
      <c r="A23" s="1473" t="s">
        <v>38</v>
      </c>
      <c r="B23" s="1473"/>
      <c r="C23" s="1473"/>
      <c r="D23" s="1390"/>
      <c r="E23" s="1390"/>
      <c r="F23" s="1390"/>
      <c r="G23" s="1398"/>
      <c r="H23" s="1399"/>
      <c r="I23" s="1399"/>
      <c r="J23" s="1399"/>
      <c r="K23" s="1399"/>
      <c r="L23" s="1399"/>
      <c r="M23" s="1399"/>
      <c r="N23" s="1399"/>
      <c r="O23" s="1399"/>
      <c r="P23" s="1399"/>
      <c r="Q23" s="1399"/>
      <c r="R23" s="1399"/>
      <c r="S23" s="1399"/>
      <c r="T23" s="1399"/>
      <c r="U23" s="1399"/>
      <c r="V23" s="1400"/>
      <c r="W23" s="669"/>
      <c r="X23" s="669"/>
      <c r="Y23" s="669"/>
      <c r="Z23" s="669"/>
      <c r="AA23" s="685"/>
      <c r="AB23" s="685"/>
      <c r="AC23" s="685"/>
      <c r="AD23" s="686"/>
      <c r="AE23" s="663"/>
      <c r="AF23" s="663"/>
      <c r="AG23" s="663"/>
      <c r="AH23" s="671"/>
      <c r="AI23" s="663"/>
      <c r="AJ23" s="663"/>
      <c r="AK23" s="663"/>
      <c r="AL23" s="671"/>
      <c r="AM23" s="663"/>
      <c r="AN23" s="663"/>
      <c r="AO23" s="663"/>
      <c r="AP23" s="671"/>
      <c r="AQ23" s="663"/>
      <c r="AR23" s="663"/>
      <c r="AS23" s="685"/>
      <c r="AT23" s="686"/>
      <c r="AU23" s="685"/>
      <c r="AV23" s="685"/>
      <c r="AW23" s="685"/>
      <c r="AX23" s="686"/>
      <c r="AY23" s="685"/>
      <c r="AZ23" s="685"/>
      <c r="BA23" s="685"/>
      <c r="BB23" s="686"/>
      <c r="BC23" s="663"/>
      <c r="BD23" s="663"/>
      <c r="BE23" s="685"/>
      <c r="BF23" s="685"/>
      <c r="BG23" s="1439"/>
      <c r="BH23" s="1514"/>
      <c r="BI23" s="1514"/>
      <c r="BJ23" s="1440"/>
      <c r="BK23" s="1439"/>
      <c r="BL23" s="1514"/>
      <c r="BM23" s="1514"/>
      <c r="BN23" s="1440"/>
      <c r="BO23" s="1408"/>
      <c r="BP23" s="1409"/>
      <c r="BQ23" s="1409"/>
      <c r="BR23" s="1410"/>
      <c r="BS23" s="663"/>
      <c r="BT23" s="663"/>
      <c r="BU23" s="685"/>
      <c r="BV23" s="686"/>
      <c r="BW23" s="736"/>
      <c r="BX23" s="736"/>
      <c r="BY23" s="736"/>
      <c r="BZ23" s="737"/>
      <c r="CA23" s="668"/>
      <c r="CB23" s="657"/>
      <c r="CC23" s="657"/>
      <c r="CD23" s="657"/>
      <c r="CE23" s="657"/>
      <c r="CF23" s="657"/>
      <c r="CG23" s="657"/>
      <c r="CH23" s="657"/>
      <c r="CI23" s="657"/>
    </row>
    <row r="24" spans="1:87" ht="9.9499999999999993" customHeight="1">
      <c r="A24" s="1474" t="str">
        <f>AU4</f>
        <v/>
      </c>
      <c r="B24" s="1474"/>
      <c r="C24" s="1474"/>
      <c r="D24" s="1390"/>
      <c r="E24" s="1390"/>
      <c r="F24" s="1390"/>
      <c r="G24" s="1398"/>
      <c r="H24" s="1399"/>
      <c r="I24" s="1399"/>
      <c r="J24" s="1399"/>
      <c r="K24" s="1399"/>
      <c r="L24" s="1399"/>
      <c r="M24" s="1399"/>
      <c r="N24" s="1399"/>
      <c r="O24" s="1399"/>
      <c r="P24" s="1399"/>
      <c r="Q24" s="1399"/>
      <c r="R24" s="1399"/>
      <c r="S24" s="1399"/>
      <c r="T24" s="1399"/>
      <c r="U24" s="1399"/>
      <c r="V24" s="1400"/>
      <c r="W24" s="669"/>
      <c r="X24" s="669"/>
      <c r="Y24" s="669"/>
      <c r="Z24" s="669"/>
      <c r="AA24" s="685"/>
      <c r="AB24" s="685"/>
      <c r="AC24" s="685"/>
      <c r="AD24" s="686"/>
      <c r="AE24" s="663"/>
      <c r="AF24" s="663"/>
      <c r="AG24" s="663"/>
      <c r="AH24" s="671"/>
      <c r="AI24" s="663"/>
      <c r="AJ24" s="663"/>
      <c r="AK24" s="663"/>
      <c r="AL24" s="671"/>
      <c r="AM24" s="663"/>
      <c r="AN24" s="663"/>
      <c r="AO24" s="663"/>
      <c r="AP24" s="671"/>
      <c r="AQ24" s="663"/>
      <c r="AR24" s="663"/>
      <c r="AS24" s="685"/>
      <c r="AT24" s="686"/>
      <c r="AU24" s="685"/>
      <c r="AV24" s="685"/>
      <c r="AW24" s="685"/>
      <c r="AX24" s="686"/>
      <c r="AY24" s="685"/>
      <c r="AZ24" s="685"/>
      <c r="BA24" s="685"/>
      <c r="BB24" s="686"/>
      <c r="BC24" s="663"/>
      <c r="BD24" s="663"/>
      <c r="BE24" s="685"/>
      <c r="BF24" s="685"/>
      <c r="BG24" s="1439"/>
      <c r="BH24" s="1514"/>
      <c r="BI24" s="1514"/>
      <c r="BJ24" s="1440"/>
      <c r="BK24" s="1439"/>
      <c r="BL24" s="1514"/>
      <c r="BM24" s="1514"/>
      <c r="BN24" s="1440"/>
      <c r="BO24" s="1408"/>
      <c r="BP24" s="1409"/>
      <c r="BQ24" s="1409"/>
      <c r="BR24" s="1410"/>
      <c r="BS24" s="663"/>
      <c r="BT24" s="663"/>
      <c r="BU24" s="685"/>
      <c r="BV24" s="686"/>
      <c r="BW24" s="736"/>
      <c r="BX24" s="736"/>
      <c r="BY24" s="736"/>
      <c r="BZ24" s="737"/>
      <c r="CA24" s="668"/>
      <c r="CB24" s="657"/>
      <c r="CC24" s="657"/>
      <c r="CD24" s="657"/>
      <c r="CE24" s="657"/>
      <c r="CF24" s="657"/>
      <c r="CG24" s="657"/>
      <c r="CH24" s="657"/>
      <c r="CI24" s="657"/>
    </row>
    <row r="25" spans="1:87" ht="9.9499999999999993" customHeight="1">
      <c r="A25" s="1475"/>
      <c r="B25" s="1475"/>
      <c r="C25" s="1475"/>
      <c r="D25" s="1390"/>
      <c r="E25" s="1390"/>
      <c r="F25" s="1390"/>
      <c r="G25" s="1398"/>
      <c r="H25" s="1399"/>
      <c r="I25" s="1399"/>
      <c r="J25" s="1399"/>
      <c r="K25" s="1399"/>
      <c r="L25" s="1399"/>
      <c r="M25" s="1399"/>
      <c r="N25" s="1399"/>
      <c r="O25" s="1399"/>
      <c r="P25" s="1399"/>
      <c r="Q25" s="1399"/>
      <c r="R25" s="1399"/>
      <c r="S25" s="1399"/>
      <c r="T25" s="1399"/>
      <c r="U25" s="1399"/>
      <c r="V25" s="1400"/>
      <c r="W25" s="669"/>
      <c r="X25" s="669"/>
      <c r="Y25" s="669"/>
      <c r="Z25" s="669"/>
      <c r="AA25" s="685"/>
      <c r="AB25" s="685"/>
      <c r="AC25" s="685"/>
      <c r="AD25" s="686"/>
      <c r="AE25" s="663"/>
      <c r="AF25" s="663"/>
      <c r="AG25" s="663"/>
      <c r="AH25" s="671"/>
      <c r="AI25" s="663"/>
      <c r="AJ25" s="663"/>
      <c r="AK25" s="663"/>
      <c r="AL25" s="671"/>
      <c r="AM25" s="663"/>
      <c r="AN25" s="663"/>
      <c r="AO25" s="663"/>
      <c r="AP25" s="671"/>
      <c r="AQ25" s="663"/>
      <c r="AR25" s="663"/>
      <c r="AS25" s="685"/>
      <c r="AT25" s="686"/>
      <c r="AU25" s="685"/>
      <c r="AV25" s="685"/>
      <c r="AW25" s="685"/>
      <c r="AX25" s="686"/>
      <c r="AY25" s="685"/>
      <c r="AZ25" s="685"/>
      <c r="BA25" s="685"/>
      <c r="BB25" s="686"/>
      <c r="BC25" s="663"/>
      <c r="BD25" s="663"/>
      <c r="BE25" s="685"/>
      <c r="BF25" s="685"/>
      <c r="BG25" s="1439"/>
      <c r="BH25" s="1514"/>
      <c r="BI25" s="1514"/>
      <c r="BJ25" s="1440"/>
      <c r="BK25" s="1439"/>
      <c r="BL25" s="1514"/>
      <c r="BM25" s="1514"/>
      <c r="BN25" s="1440"/>
      <c r="BO25" s="1408"/>
      <c r="BP25" s="1409"/>
      <c r="BQ25" s="1409"/>
      <c r="BR25" s="1410"/>
      <c r="BS25" s="663"/>
      <c r="BT25" s="663"/>
      <c r="BU25" s="685"/>
      <c r="BV25" s="686"/>
      <c r="BW25" s="736"/>
      <c r="BX25" s="736"/>
      <c r="BY25" s="736"/>
      <c r="BZ25" s="737"/>
      <c r="CA25" s="668"/>
      <c r="CB25" s="657"/>
      <c r="CC25" s="657"/>
      <c r="CD25" s="657"/>
      <c r="CE25" s="657"/>
      <c r="CF25" s="657"/>
      <c r="CG25" s="657"/>
      <c r="CH25" s="657"/>
      <c r="CI25" s="657"/>
    </row>
    <row r="26" spans="1:87" ht="9.9499999999999993" customHeight="1">
      <c r="A26" s="1486" t="s">
        <v>37</v>
      </c>
      <c r="B26" s="1487"/>
      <c r="C26" s="1488"/>
      <c r="D26" s="1390"/>
      <c r="E26" s="1390"/>
      <c r="F26" s="1390"/>
      <c r="G26" s="1401"/>
      <c r="H26" s="1402"/>
      <c r="I26" s="1402"/>
      <c r="J26" s="1402"/>
      <c r="K26" s="1402"/>
      <c r="L26" s="1402"/>
      <c r="M26" s="1402"/>
      <c r="N26" s="1402"/>
      <c r="O26" s="1402"/>
      <c r="P26" s="1402"/>
      <c r="Q26" s="1402"/>
      <c r="R26" s="1402"/>
      <c r="S26" s="1402"/>
      <c r="T26" s="1402"/>
      <c r="U26" s="1402"/>
      <c r="V26" s="1403"/>
      <c r="W26" s="673"/>
      <c r="X26" s="673"/>
      <c r="Y26" s="673"/>
      <c r="Z26" s="673"/>
      <c r="AA26" s="689"/>
      <c r="AB26" s="689"/>
      <c r="AC26" s="689"/>
      <c r="AD26" s="690"/>
      <c r="AE26" s="676"/>
      <c r="AF26" s="676"/>
      <c r="AG26" s="676"/>
      <c r="AH26" s="677"/>
      <c r="AI26" s="676"/>
      <c r="AJ26" s="676"/>
      <c r="AK26" s="676"/>
      <c r="AL26" s="677"/>
      <c r="AM26" s="676"/>
      <c r="AN26" s="676"/>
      <c r="AO26" s="676"/>
      <c r="AP26" s="677"/>
      <c r="AQ26" s="676"/>
      <c r="AR26" s="676"/>
      <c r="AS26" s="689"/>
      <c r="AT26" s="690"/>
      <c r="AU26" s="689"/>
      <c r="AV26" s="689"/>
      <c r="AW26" s="689"/>
      <c r="AX26" s="690"/>
      <c r="AY26" s="689"/>
      <c r="AZ26" s="689"/>
      <c r="BA26" s="689"/>
      <c r="BB26" s="690"/>
      <c r="BC26" s="676"/>
      <c r="BD26" s="676"/>
      <c r="BE26" s="689"/>
      <c r="BF26" s="689"/>
      <c r="BG26" s="1441"/>
      <c r="BH26" s="1515"/>
      <c r="BI26" s="1515"/>
      <c r="BJ26" s="1442"/>
      <c r="BK26" s="1441"/>
      <c r="BL26" s="1515"/>
      <c r="BM26" s="1515"/>
      <c r="BN26" s="1442"/>
      <c r="BO26" s="1411"/>
      <c r="BP26" s="1412"/>
      <c r="BQ26" s="1412"/>
      <c r="BR26" s="1413"/>
      <c r="BS26" s="676"/>
      <c r="BT26" s="676"/>
      <c r="BU26" s="689"/>
      <c r="BV26" s="690"/>
      <c r="BW26" s="689"/>
      <c r="BX26" s="689"/>
      <c r="BY26" s="689"/>
      <c r="BZ26" s="740"/>
      <c r="CA26" s="679"/>
      <c r="CB26" s="657"/>
      <c r="CC26" s="657"/>
      <c r="CD26" s="657"/>
      <c r="CE26" s="657"/>
      <c r="CF26" s="657"/>
      <c r="CG26" s="657"/>
      <c r="CH26" s="657"/>
      <c r="CI26" s="657"/>
    </row>
    <row r="27" spans="1:87" ht="9.9499999999999993" customHeight="1">
      <c r="A27" s="1386" t="str">
        <f>BA4</f>
        <v/>
      </c>
      <c r="B27" s="1387"/>
      <c r="C27" s="1388"/>
      <c r="D27" s="1389" t="s">
        <v>78</v>
      </c>
      <c r="E27" s="1389"/>
      <c r="F27" s="1389"/>
      <c r="G27" s="691"/>
      <c r="H27" s="692"/>
      <c r="I27" s="692"/>
      <c r="J27" s="687"/>
      <c r="K27" s="693"/>
      <c r="L27" s="736"/>
      <c r="M27" s="736"/>
      <c r="N27" s="736"/>
      <c r="O27" s="1405" t="s">
        <v>3015</v>
      </c>
      <c r="P27" s="1406"/>
      <c r="Q27" s="1407"/>
      <c r="R27" s="671"/>
      <c r="S27" s="663"/>
      <c r="T27" s="663"/>
      <c r="U27" s="685"/>
      <c r="V27" s="671"/>
      <c r="W27" s="663"/>
      <c r="X27" s="685"/>
      <c r="Y27" s="736"/>
      <c r="Z27" s="670"/>
      <c r="AA27" s="694"/>
      <c r="AB27" s="663"/>
      <c r="AC27" s="663"/>
      <c r="AD27" s="671"/>
      <c r="AE27" s="663"/>
      <c r="AF27" s="663"/>
      <c r="AG27" s="663"/>
      <c r="AH27" s="671"/>
      <c r="AI27" s="736"/>
      <c r="AJ27" s="736"/>
      <c r="AK27" s="685"/>
      <c r="AL27" s="686"/>
      <c r="AM27" s="685"/>
      <c r="AN27" s="685"/>
      <c r="AO27" s="685"/>
      <c r="AP27" s="686"/>
      <c r="AQ27" s="685"/>
      <c r="AR27" s="685"/>
      <c r="AS27" s="685"/>
      <c r="AT27" s="686"/>
      <c r="AU27" s="685"/>
      <c r="AV27" s="685"/>
      <c r="AW27" s="685"/>
      <c r="AX27" s="686"/>
      <c r="AY27" s="685"/>
      <c r="AZ27" s="685"/>
      <c r="BA27" s="685"/>
      <c r="BB27" s="686"/>
      <c r="BC27" s="685"/>
      <c r="BD27" s="685"/>
      <c r="BE27" s="685"/>
      <c r="BF27" s="686"/>
      <c r="BG27" s="685"/>
      <c r="BH27" s="685"/>
      <c r="BI27" s="685"/>
      <c r="BJ27" s="686"/>
      <c r="BK27" s="685"/>
      <c r="BL27" s="685"/>
      <c r="BM27" s="685"/>
      <c r="BN27" s="686"/>
      <c r="BO27" s="685"/>
      <c r="BP27" s="685"/>
      <c r="BQ27" s="685"/>
      <c r="BR27" s="686"/>
      <c r="BS27" s="685"/>
      <c r="BT27" s="685"/>
      <c r="BU27" s="685"/>
      <c r="BV27" s="686"/>
      <c r="BW27" s="685"/>
      <c r="BX27" s="685"/>
      <c r="BY27" s="685"/>
      <c r="BZ27" s="737"/>
      <c r="CA27" s="668"/>
      <c r="CB27" s="657"/>
      <c r="CC27" s="657"/>
      <c r="CD27" s="657"/>
      <c r="CE27" s="657"/>
      <c r="CF27" s="657"/>
      <c r="CG27" s="657"/>
      <c r="CH27" s="657"/>
      <c r="CI27" s="657"/>
    </row>
    <row r="28" spans="1:87" ht="9.9499999999999993" customHeight="1">
      <c r="A28" s="1386"/>
      <c r="B28" s="1387"/>
      <c r="C28" s="1388"/>
      <c r="D28" s="1390"/>
      <c r="E28" s="1390"/>
      <c r="F28" s="1390"/>
      <c r="G28" s="691"/>
      <c r="H28" s="692"/>
      <c r="I28" s="692"/>
      <c r="J28" s="687"/>
      <c r="K28" s="736"/>
      <c r="L28" s="736"/>
      <c r="M28" s="736"/>
      <c r="N28" s="736"/>
      <c r="O28" s="1408"/>
      <c r="P28" s="1409"/>
      <c r="Q28" s="1410"/>
      <c r="R28" s="671"/>
      <c r="S28" s="663"/>
      <c r="T28" s="663"/>
      <c r="U28" s="736"/>
      <c r="V28" s="670"/>
      <c r="W28" s="736"/>
      <c r="X28" s="736"/>
      <c r="Y28" s="736"/>
      <c r="Z28" s="670"/>
      <c r="AA28" s="663"/>
      <c r="AB28" s="663"/>
      <c r="AC28" s="663"/>
      <c r="AD28" s="671"/>
      <c r="AE28" s="663"/>
      <c r="AF28" s="663"/>
      <c r="AG28" s="663"/>
      <c r="AH28" s="671"/>
      <c r="AI28" s="736"/>
      <c r="AJ28" s="736"/>
      <c r="AK28" s="685"/>
      <c r="AL28" s="686"/>
      <c r="AM28" s="685"/>
      <c r="AN28" s="685"/>
      <c r="AO28" s="685"/>
      <c r="AP28" s="686"/>
      <c r="AQ28" s="685"/>
      <c r="AR28" s="685"/>
      <c r="AS28" s="685"/>
      <c r="AT28" s="686"/>
      <c r="AU28" s="685"/>
      <c r="AV28" s="685"/>
      <c r="AW28" s="685"/>
      <c r="AX28" s="686"/>
      <c r="AY28" s="685"/>
      <c r="AZ28" s="685"/>
      <c r="BA28" s="685"/>
      <c r="BB28" s="686"/>
      <c r="BC28" s="685"/>
      <c r="BD28" s="685"/>
      <c r="BE28" s="685"/>
      <c r="BF28" s="686"/>
      <c r="BG28" s="685"/>
      <c r="BH28" s="685"/>
      <c r="BI28" s="685"/>
      <c r="BJ28" s="686"/>
      <c r="BK28" s="685"/>
      <c r="BL28" s="685"/>
      <c r="BM28" s="685"/>
      <c r="BN28" s="686"/>
      <c r="BO28" s="685"/>
      <c r="BP28" s="685"/>
      <c r="BQ28" s="685"/>
      <c r="BR28" s="686"/>
      <c r="BS28" s="685"/>
      <c r="BT28" s="685"/>
      <c r="BU28" s="685"/>
      <c r="BV28" s="686"/>
      <c r="BW28" s="736"/>
      <c r="BX28" s="736"/>
      <c r="BY28" s="736"/>
      <c r="BZ28" s="737"/>
      <c r="CA28" s="668"/>
      <c r="CB28" s="657"/>
      <c r="CC28" s="657"/>
      <c r="CD28" s="657"/>
      <c r="CE28" s="657"/>
      <c r="CF28" s="657"/>
      <c r="CG28" s="657"/>
      <c r="CH28" s="657"/>
      <c r="CI28" s="657"/>
    </row>
    <row r="29" spans="1:87" ht="9.9499999999999993" customHeight="1">
      <c r="A29" s="1386"/>
      <c r="B29" s="1387"/>
      <c r="C29" s="1388"/>
      <c r="D29" s="1390"/>
      <c r="E29" s="1390"/>
      <c r="F29" s="1390"/>
      <c r="G29" s="691"/>
      <c r="H29" s="692"/>
      <c r="I29" s="692"/>
      <c r="J29" s="687"/>
      <c r="K29" s="736"/>
      <c r="L29" s="736"/>
      <c r="M29" s="736"/>
      <c r="N29" s="736"/>
      <c r="O29" s="1408"/>
      <c r="P29" s="1409"/>
      <c r="Q29" s="1410"/>
      <c r="R29" s="671"/>
      <c r="S29" s="663"/>
      <c r="T29" s="663"/>
      <c r="U29" s="736"/>
      <c r="V29" s="670"/>
      <c r="W29" s="736"/>
      <c r="X29" s="736"/>
      <c r="Y29" s="736"/>
      <c r="Z29" s="670"/>
      <c r="AA29" s="663"/>
      <c r="AB29" s="663"/>
      <c r="AC29" s="663"/>
      <c r="AD29" s="671"/>
      <c r="AE29" s="663"/>
      <c r="AF29" s="663"/>
      <c r="AG29" s="663"/>
      <c r="AH29" s="671"/>
      <c r="AI29" s="736"/>
      <c r="AJ29" s="736"/>
      <c r="AK29" s="685"/>
      <c r="AL29" s="686"/>
      <c r="AM29" s="685"/>
      <c r="AN29" s="685"/>
      <c r="AO29" s="685"/>
      <c r="AP29" s="686"/>
      <c r="AQ29" s="685"/>
      <c r="AR29" s="685"/>
      <c r="AS29" s="685"/>
      <c r="AT29" s="686"/>
      <c r="AU29" s="685"/>
      <c r="AV29" s="685"/>
      <c r="AW29" s="685"/>
      <c r="AX29" s="686"/>
      <c r="AY29" s="685"/>
      <c r="AZ29" s="685"/>
      <c r="BA29" s="685"/>
      <c r="BB29" s="686"/>
      <c r="BC29" s="685"/>
      <c r="BD29" s="685"/>
      <c r="BE29" s="663"/>
      <c r="BF29" s="687"/>
      <c r="BG29" s="688"/>
      <c r="BH29" s="688"/>
      <c r="BI29" s="688"/>
      <c r="BJ29" s="687"/>
      <c r="BK29" s="688"/>
      <c r="BL29" s="688"/>
      <c r="BM29" s="688"/>
      <c r="BN29" s="687"/>
      <c r="BO29" s="688"/>
      <c r="BP29" s="688"/>
      <c r="BQ29" s="688"/>
      <c r="BR29" s="687"/>
      <c r="BS29" s="688"/>
      <c r="BT29" s="688"/>
      <c r="BU29" s="688"/>
      <c r="BV29" s="687"/>
      <c r="BW29" s="736"/>
      <c r="BX29" s="736"/>
      <c r="BY29" s="736"/>
      <c r="BZ29" s="737"/>
      <c r="CA29" s="672"/>
      <c r="CB29" s="657"/>
      <c r="CC29" s="657"/>
      <c r="CD29" s="657"/>
      <c r="CE29" s="657"/>
      <c r="CF29" s="657"/>
      <c r="CG29" s="657"/>
      <c r="CH29" s="657"/>
      <c r="CI29" s="657"/>
    </row>
    <row r="30" spans="1:87" ht="9.9499999999999993" customHeight="1">
      <c r="A30" s="1468" t="s">
        <v>15</v>
      </c>
      <c r="B30" s="1468"/>
      <c r="C30" s="1468"/>
      <c r="D30" s="1390"/>
      <c r="E30" s="1390"/>
      <c r="F30" s="1390"/>
      <c r="G30" s="691"/>
      <c r="H30" s="692"/>
      <c r="I30" s="692"/>
      <c r="J30" s="687"/>
      <c r="K30" s="736"/>
      <c r="L30" s="736"/>
      <c r="M30" s="736"/>
      <c r="N30" s="736"/>
      <c r="O30" s="1408"/>
      <c r="P30" s="1409"/>
      <c r="Q30" s="1410"/>
      <c r="R30" s="671"/>
      <c r="S30" s="663"/>
      <c r="T30" s="663"/>
      <c r="U30" s="736"/>
      <c r="V30" s="670"/>
      <c r="W30" s="736"/>
      <c r="X30" s="736"/>
      <c r="Y30" s="736"/>
      <c r="Z30" s="670"/>
      <c r="AA30" s="663"/>
      <c r="AB30" s="663"/>
      <c r="AC30" s="663"/>
      <c r="AD30" s="671"/>
      <c r="AE30" s="663"/>
      <c r="AF30" s="663"/>
      <c r="AG30" s="663"/>
      <c r="AH30" s="671"/>
      <c r="AI30" s="736"/>
      <c r="AJ30" s="736"/>
      <c r="AK30" s="688"/>
      <c r="AL30" s="687"/>
      <c r="AM30" s="688"/>
      <c r="AN30" s="688"/>
      <c r="AO30" s="688"/>
      <c r="AP30" s="687"/>
      <c r="AQ30" s="688"/>
      <c r="AR30" s="688"/>
      <c r="AS30" s="688"/>
      <c r="AT30" s="687"/>
      <c r="AU30" s="688"/>
      <c r="AV30" s="688"/>
      <c r="AW30" s="688"/>
      <c r="AX30" s="687"/>
      <c r="AY30" s="688"/>
      <c r="AZ30" s="688"/>
      <c r="BA30" s="688"/>
      <c r="BB30" s="687"/>
      <c r="BC30" s="688"/>
      <c r="BD30" s="688"/>
      <c r="BE30" s="688"/>
      <c r="BF30" s="687"/>
      <c r="BG30" s="688"/>
      <c r="BH30" s="688"/>
      <c r="BI30" s="688"/>
      <c r="BJ30" s="687"/>
      <c r="BK30" s="688"/>
      <c r="BL30" s="688"/>
      <c r="BM30" s="688"/>
      <c r="BN30" s="687"/>
      <c r="BO30" s="688"/>
      <c r="BP30" s="688"/>
      <c r="BQ30" s="688"/>
      <c r="BR30" s="687"/>
      <c r="BS30" s="688"/>
      <c r="BT30" s="688"/>
      <c r="BU30" s="688"/>
      <c r="BV30" s="687"/>
      <c r="BW30" s="736"/>
      <c r="BX30" s="736"/>
      <c r="BY30" s="736"/>
      <c r="BZ30" s="737"/>
      <c r="CA30" s="672"/>
      <c r="CB30" s="657"/>
      <c r="CC30" s="657"/>
      <c r="CD30" s="657"/>
      <c r="CE30" s="657"/>
      <c r="CF30" s="657"/>
      <c r="CG30" s="657"/>
      <c r="CH30" s="657"/>
      <c r="CI30" s="657"/>
    </row>
    <row r="31" spans="1:87" ht="9.9499999999999993" customHeight="1">
      <c r="A31" s="1415"/>
      <c r="B31" s="1415"/>
      <c r="C31" s="1415"/>
      <c r="D31" s="1390"/>
      <c r="E31" s="1390"/>
      <c r="F31" s="1390"/>
      <c r="G31" s="691"/>
      <c r="H31" s="692"/>
      <c r="I31" s="692"/>
      <c r="J31" s="687"/>
      <c r="K31" s="736"/>
      <c r="L31" s="736"/>
      <c r="M31" s="736"/>
      <c r="N31" s="736"/>
      <c r="O31" s="1408"/>
      <c r="P31" s="1409"/>
      <c r="Q31" s="1410"/>
      <c r="R31" s="671"/>
      <c r="S31" s="663"/>
      <c r="T31" s="663"/>
      <c r="U31" s="736"/>
      <c r="V31" s="670"/>
      <c r="W31" s="736"/>
      <c r="X31" s="736"/>
      <c r="Y31" s="736"/>
      <c r="Z31" s="670"/>
      <c r="AA31" s="663"/>
      <c r="AB31" s="663"/>
      <c r="AC31" s="663"/>
      <c r="AD31" s="671"/>
      <c r="AE31" s="663"/>
      <c r="AF31" s="663"/>
      <c r="AG31" s="663"/>
      <c r="AH31" s="671"/>
      <c r="AI31" s="736"/>
      <c r="AJ31" s="736"/>
      <c r="AK31" s="685"/>
      <c r="AL31" s="686"/>
      <c r="AM31" s="685"/>
      <c r="AN31" s="685"/>
      <c r="AO31" s="685"/>
      <c r="AP31" s="686"/>
      <c r="AQ31" s="685"/>
      <c r="AR31" s="685"/>
      <c r="AS31" s="685"/>
      <c r="AT31" s="686"/>
      <c r="AU31" s="685"/>
      <c r="AV31" s="685"/>
      <c r="AW31" s="685"/>
      <c r="AX31" s="686"/>
      <c r="AY31" s="685"/>
      <c r="AZ31" s="685"/>
      <c r="BA31" s="685"/>
      <c r="BB31" s="686"/>
      <c r="BC31" s="685"/>
      <c r="BD31" s="685"/>
      <c r="BE31" s="685"/>
      <c r="BF31" s="686"/>
      <c r="BG31" s="685"/>
      <c r="BH31" s="685"/>
      <c r="BI31" s="685"/>
      <c r="BJ31" s="686"/>
      <c r="BK31" s="685"/>
      <c r="BL31" s="685"/>
      <c r="BM31" s="685"/>
      <c r="BN31" s="686"/>
      <c r="BO31" s="685"/>
      <c r="BP31" s="685"/>
      <c r="BQ31" s="685"/>
      <c r="BR31" s="686"/>
      <c r="BS31" s="685"/>
      <c r="BT31" s="685"/>
      <c r="BU31" s="685"/>
      <c r="BV31" s="686"/>
      <c r="BW31" s="736"/>
      <c r="BX31" s="736"/>
      <c r="BY31" s="736"/>
      <c r="BZ31" s="737"/>
      <c r="CA31" s="668"/>
      <c r="CB31" s="657"/>
      <c r="CC31" s="657"/>
      <c r="CD31" s="657"/>
      <c r="CE31" s="657"/>
      <c r="CF31" s="657"/>
      <c r="CG31" s="657"/>
      <c r="CH31" s="657"/>
      <c r="CI31" s="657"/>
    </row>
    <row r="32" spans="1:87" ht="9.9499999999999993" customHeight="1">
      <c r="A32" s="1469"/>
      <c r="B32" s="1469"/>
      <c r="C32" s="1469"/>
      <c r="D32" s="1390"/>
      <c r="E32" s="1390"/>
      <c r="F32" s="1390"/>
      <c r="G32" s="691"/>
      <c r="H32" s="692"/>
      <c r="I32" s="692"/>
      <c r="J32" s="687"/>
      <c r="K32" s="736"/>
      <c r="L32" s="736"/>
      <c r="M32" s="736"/>
      <c r="N32" s="736"/>
      <c r="O32" s="1408"/>
      <c r="P32" s="1409"/>
      <c r="Q32" s="1410"/>
      <c r="R32" s="671"/>
      <c r="S32" s="663"/>
      <c r="T32" s="663"/>
      <c r="U32" s="736"/>
      <c r="V32" s="670"/>
      <c r="W32" s="736"/>
      <c r="X32" s="736"/>
      <c r="Y32" s="736"/>
      <c r="Z32" s="670"/>
      <c r="AA32" s="663"/>
      <c r="AB32" s="663"/>
      <c r="AC32" s="663"/>
      <c r="AD32" s="671"/>
      <c r="AE32" s="663"/>
      <c r="AF32" s="663"/>
      <c r="AG32" s="663"/>
      <c r="AH32" s="671"/>
      <c r="AI32" s="736"/>
      <c r="AJ32" s="736"/>
      <c r="AK32" s="685"/>
      <c r="AL32" s="686"/>
      <c r="AM32" s="685"/>
      <c r="AN32" s="685"/>
      <c r="AO32" s="685"/>
      <c r="AP32" s="686"/>
      <c r="AQ32" s="685"/>
      <c r="AR32" s="685"/>
      <c r="AS32" s="685"/>
      <c r="AT32" s="686"/>
      <c r="AU32" s="685"/>
      <c r="AV32" s="685"/>
      <c r="AW32" s="685"/>
      <c r="AX32" s="686"/>
      <c r="AY32" s="685"/>
      <c r="AZ32" s="685"/>
      <c r="BA32" s="685"/>
      <c r="BB32" s="686"/>
      <c r="BC32" s="685"/>
      <c r="BD32" s="685"/>
      <c r="BE32" s="685"/>
      <c r="BF32" s="686"/>
      <c r="BG32" s="685"/>
      <c r="BH32" s="685"/>
      <c r="BI32" s="685"/>
      <c r="BJ32" s="686"/>
      <c r="BK32" s="685"/>
      <c r="BL32" s="685"/>
      <c r="BM32" s="685"/>
      <c r="BN32" s="686"/>
      <c r="BO32" s="685"/>
      <c r="BP32" s="685"/>
      <c r="BQ32" s="685"/>
      <c r="BR32" s="686"/>
      <c r="BS32" s="685"/>
      <c r="BT32" s="685"/>
      <c r="BU32" s="685"/>
      <c r="BV32" s="686"/>
      <c r="BW32" s="736"/>
      <c r="BX32" s="736"/>
      <c r="BY32" s="736"/>
      <c r="BZ32" s="737"/>
      <c r="CA32" s="668"/>
      <c r="CB32" s="657"/>
      <c r="CC32" s="657"/>
      <c r="CD32" s="657"/>
      <c r="CE32" s="657"/>
      <c r="CF32" s="657"/>
      <c r="CG32" s="657"/>
      <c r="CH32" s="657"/>
      <c r="CI32" s="657"/>
    </row>
    <row r="33" spans="1:87" ht="9.9499999999999993" customHeight="1" thickBot="1">
      <c r="A33" s="1470" t="str">
        <f>BE4</f>
        <v/>
      </c>
      <c r="B33" s="1471"/>
      <c r="C33" s="1472"/>
      <c r="D33" s="1467"/>
      <c r="E33" s="1467"/>
      <c r="F33" s="1467"/>
      <c r="G33" s="691"/>
      <c r="H33" s="692"/>
      <c r="I33" s="692"/>
      <c r="J33" s="687"/>
      <c r="K33" s="736"/>
      <c r="L33" s="736"/>
      <c r="M33" s="736"/>
      <c r="N33" s="736"/>
      <c r="O33" s="1408"/>
      <c r="P33" s="1409"/>
      <c r="Q33" s="1410"/>
      <c r="R33" s="671"/>
      <c r="S33" s="663"/>
      <c r="T33" s="663"/>
      <c r="U33" s="736"/>
      <c r="V33" s="670"/>
      <c r="W33" s="736"/>
      <c r="X33" s="736"/>
      <c r="Y33" s="736"/>
      <c r="Z33" s="670"/>
      <c r="AA33" s="663"/>
      <c r="AB33" s="663"/>
      <c r="AC33" s="663"/>
      <c r="AD33" s="671"/>
      <c r="AE33" s="663"/>
      <c r="AF33" s="663"/>
      <c r="AG33" s="663"/>
      <c r="AH33" s="671"/>
      <c r="AI33" s="736"/>
      <c r="AJ33" s="736"/>
      <c r="AK33" s="685"/>
      <c r="AL33" s="686"/>
      <c r="AM33" s="685"/>
      <c r="AN33" s="685"/>
      <c r="AO33" s="685"/>
      <c r="AP33" s="686"/>
      <c r="AQ33" s="685"/>
      <c r="AR33" s="685"/>
      <c r="AS33" s="685"/>
      <c r="AT33" s="686"/>
      <c r="AU33" s="685"/>
      <c r="AV33" s="685"/>
      <c r="AW33" s="685"/>
      <c r="AX33" s="686"/>
      <c r="AY33" s="685"/>
      <c r="AZ33" s="685"/>
      <c r="BA33" s="685"/>
      <c r="BB33" s="686"/>
      <c r="BC33" s="685"/>
      <c r="BD33" s="685"/>
      <c r="BE33" s="685"/>
      <c r="BF33" s="686"/>
      <c r="BG33" s="685"/>
      <c r="BH33" s="685"/>
      <c r="BI33" s="685"/>
      <c r="BJ33" s="686"/>
      <c r="BK33" s="685"/>
      <c r="BL33" s="685"/>
      <c r="BM33" s="685"/>
      <c r="BN33" s="686"/>
      <c r="BO33" s="685"/>
      <c r="BP33" s="685"/>
      <c r="BQ33" s="685"/>
      <c r="BR33" s="686"/>
      <c r="BS33" s="685"/>
      <c r="BT33" s="685"/>
      <c r="BU33" s="685"/>
      <c r="BV33" s="686"/>
      <c r="BW33" s="736"/>
      <c r="BX33" s="736"/>
      <c r="BY33" s="736"/>
      <c r="BZ33" s="737"/>
      <c r="CA33" s="668"/>
      <c r="CB33" s="657"/>
      <c r="CC33" s="657"/>
      <c r="CD33" s="657"/>
      <c r="CE33" s="657"/>
      <c r="CF33" s="657"/>
      <c r="CG33" s="657"/>
      <c r="CH33" s="657"/>
      <c r="CI33" s="657"/>
    </row>
    <row r="34" spans="1:87" ht="9.9499999999999993" customHeight="1">
      <c r="A34" s="1386"/>
      <c r="B34" s="1387"/>
      <c r="C34" s="1388"/>
      <c r="D34" s="1390"/>
      <c r="E34" s="1390"/>
      <c r="F34" s="1390"/>
      <c r="G34" s="695"/>
      <c r="H34" s="696"/>
      <c r="I34" s="696"/>
      <c r="J34" s="690"/>
      <c r="K34" s="739"/>
      <c r="L34" s="739"/>
      <c r="M34" s="739"/>
      <c r="N34" s="739"/>
      <c r="O34" s="1408"/>
      <c r="P34" s="1409"/>
      <c r="Q34" s="1410"/>
      <c r="R34" s="677"/>
      <c r="S34" s="676"/>
      <c r="T34" s="676"/>
      <c r="U34" s="739"/>
      <c r="V34" s="675"/>
      <c r="W34" s="739"/>
      <c r="X34" s="739"/>
      <c r="Y34" s="739"/>
      <c r="Z34" s="675"/>
      <c r="AA34" s="676"/>
      <c r="AB34" s="676"/>
      <c r="AC34" s="676"/>
      <c r="AD34" s="677"/>
      <c r="AE34" s="676"/>
      <c r="AF34" s="676"/>
      <c r="AG34" s="676"/>
      <c r="AH34" s="677"/>
      <c r="AI34" s="739"/>
      <c r="AJ34" s="739"/>
      <c r="AK34" s="689"/>
      <c r="AL34" s="690"/>
      <c r="AM34" s="689"/>
      <c r="AN34" s="689"/>
      <c r="AO34" s="689"/>
      <c r="AP34" s="690"/>
      <c r="AQ34" s="689"/>
      <c r="AR34" s="689"/>
      <c r="AS34" s="689"/>
      <c r="AT34" s="690"/>
      <c r="AU34" s="689"/>
      <c r="AV34" s="689"/>
      <c r="AW34" s="689"/>
      <c r="AX34" s="690"/>
      <c r="AY34" s="689"/>
      <c r="AZ34" s="689"/>
      <c r="BA34" s="689"/>
      <c r="BB34" s="690"/>
      <c r="BC34" s="689"/>
      <c r="BD34" s="689"/>
      <c r="BE34" s="689"/>
      <c r="BF34" s="690"/>
      <c r="BG34" s="689"/>
      <c r="BH34" s="689"/>
      <c r="BI34" s="689"/>
      <c r="BJ34" s="690"/>
      <c r="BK34" s="689"/>
      <c r="BL34" s="689"/>
      <c r="BM34" s="689"/>
      <c r="BN34" s="690"/>
      <c r="BO34" s="689"/>
      <c r="BP34" s="689"/>
      <c r="BQ34" s="689"/>
      <c r="BR34" s="690"/>
      <c r="BS34" s="689"/>
      <c r="BT34" s="689"/>
      <c r="BU34" s="689"/>
      <c r="BV34" s="690"/>
      <c r="BW34" s="689"/>
      <c r="BX34" s="689"/>
      <c r="BY34" s="689"/>
      <c r="BZ34" s="697"/>
      <c r="CA34" s="679"/>
      <c r="CB34" s="657"/>
      <c r="CC34" s="657"/>
      <c r="CD34" s="657"/>
      <c r="CE34" s="657"/>
      <c r="CF34" s="657"/>
      <c r="CG34" s="657"/>
      <c r="CH34" s="657"/>
      <c r="CI34" s="657"/>
    </row>
    <row r="35" spans="1:87" ht="9.9499999999999993" customHeight="1">
      <c r="A35" s="1386"/>
      <c r="B35" s="1387"/>
      <c r="C35" s="1388"/>
      <c r="D35" s="1390" t="s">
        <v>77</v>
      </c>
      <c r="E35" s="1390"/>
      <c r="F35" s="1390"/>
      <c r="G35" s="698"/>
      <c r="H35" s="699"/>
      <c r="I35" s="699"/>
      <c r="J35" s="700"/>
      <c r="K35" s="701"/>
      <c r="L35" s="701"/>
      <c r="M35" s="680"/>
      <c r="N35" s="680"/>
      <c r="O35" s="1408"/>
      <c r="P35" s="1409"/>
      <c r="Q35" s="1410"/>
      <c r="R35" s="681"/>
      <c r="S35" s="680"/>
      <c r="T35" s="680"/>
      <c r="U35" s="680"/>
      <c r="V35" s="681"/>
      <c r="W35" s="680"/>
      <c r="X35" s="680"/>
      <c r="Y35" s="682"/>
      <c r="Z35" s="683"/>
      <c r="AA35" s="662"/>
      <c r="AB35" s="662"/>
      <c r="AC35" s="662"/>
      <c r="AD35" s="683"/>
      <c r="AE35" s="662"/>
      <c r="AF35" s="662"/>
      <c r="AG35" s="735"/>
      <c r="AH35" s="702"/>
      <c r="AI35" s="735"/>
      <c r="AJ35" s="735"/>
      <c r="AK35" s="680"/>
      <c r="AL35" s="681"/>
      <c r="AM35" s="680"/>
      <c r="AN35" s="680"/>
      <c r="AO35" s="680"/>
      <c r="AP35" s="681"/>
      <c r="AQ35" s="680"/>
      <c r="AR35" s="680"/>
      <c r="AS35" s="680"/>
      <c r="AT35" s="681"/>
      <c r="AU35" s="680"/>
      <c r="AV35" s="680"/>
      <c r="AW35" s="680"/>
      <c r="AX35" s="681"/>
      <c r="AY35" s="680"/>
      <c r="AZ35" s="680"/>
      <c r="BA35" s="680"/>
      <c r="BB35" s="681"/>
      <c r="BC35" s="680"/>
      <c r="BD35" s="680"/>
      <c r="BE35" s="680"/>
      <c r="BF35" s="681"/>
      <c r="BG35" s="680"/>
      <c r="BH35" s="680"/>
      <c r="BI35" s="680"/>
      <c r="BJ35" s="681"/>
      <c r="BK35" s="680"/>
      <c r="BL35" s="680"/>
      <c r="BM35" s="680"/>
      <c r="BN35" s="681"/>
      <c r="BO35" s="680"/>
      <c r="BP35" s="680"/>
      <c r="BQ35" s="680"/>
      <c r="BR35" s="681"/>
      <c r="BS35" s="680"/>
      <c r="BT35" s="680"/>
      <c r="BU35" s="680"/>
      <c r="BV35" s="681"/>
      <c r="BW35" s="680"/>
      <c r="BX35" s="680"/>
      <c r="BY35" s="680"/>
      <c r="BZ35" s="684"/>
      <c r="CA35" s="668"/>
      <c r="CB35" s="657"/>
      <c r="CC35" s="657"/>
      <c r="CD35" s="657"/>
      <c r="CE35" s="657"/>
      <c r="CF35" s="657"/>
      <c r="CG35" s="657"/>
      <c r="CH35" s="657"/>
      <c r="CI35" s="657"/>
    </row>
    <row r="36" spans="1:87" ht="9.9499999999999993" customHeight="1">
      <c r="A36" s="1468" t="s">
        <v>14</v>
      </c>
      <c r="B36" s="1468"/>
      <c r="C36" s="1468"/>
      <c r="D36" s="1390"/>
      <c r="E36" s="1390"/>
      <c r="F36" s="1390"/>
      <c r="G36" s="691"/>
      <c r="H36" s="692"/>
      <c r="I36" s="692"/>
      <c r="J36" s="687"/>
      <c r="K36" s="688"/>
      <c r="L36" s="688"/>
      <c r="M36" s="685"/>
      <c r="N36" s="685"/>
      <c r="O36" s="1408"/>
      <c r="P36" s="1409"/>
      <c r="Q36" s="1410"/>
      <c r="R36" s="686"/>
      <c r="S36" s="685"/>
      <c r="T36" s="685"/>
      <c r="U36" s="685"/>
      <c r="V36" s="686"/>
      <c r="W36" s="685"/>
      <c r="X36" s="685"/>
      <c r="Y36" s="663"/>
      <c r="Z36" s="671"/>
      <c r="AA36" s="663"/>
      <c r="AB36" s="663"/>
      <c r="AC36" s="663"/>
      <c r="AD36" s="671"/>
      <c r="AE36" s="663"/>
      <c r="AF36" s="663"/>
      <c r="AG36" s="736"/>
      <c r="AH36" s="670"/>
      <c r="AI36" s="736"/>
      <c r="AJ36" s="736"/>
      <c r="AK36" s="685"/>
      <c r="AL36" s="686"/>
      <c r="AM36" s="685"/>
      <c r="AN36" s="685"/>
      <c r="AO36" s="685"/>
      <c r="AP36" s="686"/>
      <c r="AQ36" s="685"/>
      <c r="AR36" s="685"/>
      <c r="AS36" s="685"/>
      <c r="AT36" s="686"/>
      <c r="AU36" s="685"/>
      <c r="AV36" s="685"/>
      <c r="AW36" s="685"/>
      <c r="AX36" s="686"/>
      <c r="AY36" s="685"/>
      <c r="AZ36" s="685"/>
      <c r="BA36" s="685"/>
      <c r="BB36" s="686"/>
      <c r="BC36" s="685"/>
      <c r="BD36" s="685"/>
      <c r="BE36" s="685"/>
      <c r="BF36" s="686"/>
      <c r="BG36" s="685"/>
      <c r="BH36" s="685"/>
      <c r="BI36" s="685"/>
      <c r="BJ36" s="686"/>
      <c r="BK36" s="685"/>
      <c r="BL36" s="685"/>
      <c r="BM36" s="685"/>
      <c r="BN36" s="686"/>
      <c r="BO36" s="685"/>
      <c r="BP36" s="685"/>
      <c r="BQ36" s="685"/>
      <c r="BR36" s="686"/>
      <c r="BS36" s="685"/>
      <c r="BT36" s="685"/>
      <c r="BU36" s="685"/>
      <c r="BV36" s="686"/>
      <c r="BW36" s="736"/>
      <c r="BX36" s="736"/>
      <c r="BY36" s="736"/>
      <c r="BZ36" s="737"/>
      <c r="CA36" s="668"/>
      <c r="CB36" s="657"/>
      <c r="CC36" s="657"/>
      <c r="CD36" s="657"/>
      <c r="CE36" s="657"/>
      <c r="CF36" s="657"/>
      <c r="CG36" s="657"/>
      <c r="CH36" s="657"/>
      <c r="CI36" s="657"/>
    </row>
    <row r="37" spans="1:87" ht="9.9499999999999993" customHeight="1">
      <c r="A37" s="1415"/>
      <c r="B37" s="1415"/>
      <c r="C37" s="1415"/>
      <c r="D37" s="1390"/>
      <c r="E37" s="1390"/>
      <c r="F37" s="1390"/>
      <c r="G37" s="691"/>
      <c r="H37" s="692"/>
      <c r="I37" s="692"/>
      <c r="J37" s="687"/>
      <c r="K37" s="688"/>
      <c r="L37" s="688"/>
      <c r="M37" s="685"/>
      <c r="N37" s="685"/>
      <c r="O37" s="1408"/>
      <c r="P37" s="1409"/>
      <c r="Q37" s="1410"/>
      <c r="R37" s="686"/>
      <c r="S37" s="685"/>
      <c r="T37" s="685"/>
      <c r="U37" s="685"/>
      <c r="V37" s="686"/>
      <c r="W37" s="685"/>
      <c r="X37" s="685"/>
      <c r="Y37" s="663"/>
      <c r="Z37" s="671"/>
      <c r="AA37" s="663"/>
      <c r="AB37" s="663"/>
      <c r="AC37" s="663"/>
      <c r="AD37" s="671"/>
      <c r="AE37" s="663"/>
      <c r="AF37" s="663"/>
      <c r="AG37" s="736"/>
      <c r="AH37" s="670"/>
      <c r="AI37" s="736"/>
      <c r="AJ37" s="736"/>
      <c r="AK37" s="685"/>
      <c r="AL37" s="686"/>
      <c r="AM37" s="685"/>
      <c r="AN37" s="685"/>
      <c r="AO37" s="685"/>
      <c r="AP37" s="686"/>
      <c r="AQ37" s="685"/>
      <c r="AR37" s="685"/>
      <c r="AS37" s="685"/>
      <c r="AT37" s="686"/>
      <c r="AU37" s="685"/>
      <c r="AV37" s="685"/>
      <c r="AW37" s="685"/>
      <c r="AX37" s="686"/>
      <c r="AY37" s="685"/>
      <c r="AZ37" s="685"/>
      <c r="BA37" s="685"/>
      <c r="BB37" s="686"/>
      <c r="BC37" s="685"/>
      <c r="BD37" s="685"/>
      <c r="BE37" s="663"/>
      <c r="BF37" s="687"/>
      <c r="BG37" s="688"/>
      <c r="BH37" s="688"/>
      <c r="BI37" s="688"/>
      <c r="BJ37" s="687"/>
      <c r="BK37" s="688"/>
      <c r="BL37" s="688"/>
      <c r="BM37" s="688"/>
      <c r="BN37" s="687"/>
      <c r="BO37" s="688"/>
      <c r="BP37" s="688"/>
      <c r="BQ37" s="688"/>
      <c r="BR37" s="687"/>
      <c r="BS37" s="688"/>
      <c r="BT37" s="688"/>
      <c r="BU37" s="688"/>
      <c r="BV37" s="687"/>
      <c r="BW37" s="736"/>
      <c r="BX37" s="736"/>
      <c r="BY37" s="736"/>
      <c r="BZ37" s="737"/>
      <c r="CA37" s="672"/>
      <c r="CB37" s="657"/>
      <c r="CC37" s="657"/>
      <c r="CD37" s="657"/>
      <c r="CE37" s="657"/>
      <c r="CF37" s="657"/>
      <c r="CG37" s="657"/>
      <c r="CH37" s="657"/>
      <c r="CI37" s="657"/>
    </row>
    <row r="38" spans="1:87" ht="9.9499999999999993" customHeight="1">
      <c r="A38" s="1469"/>
      <c r="B38" s="1469"/>
      <c r="C38" s="1469"/>
      <c r="D38" s="1390"/>
      <c r="E38" s="1390"/>
      <c r="F38" s="1390"/>
      <c r="G38" s="691"/>
      <c r="H38" s="692"/>
      <c r="I38" s="692"/>
      <c r="J38" s="687"/>
      <c r="K38" s="688"/>
      <c r="L38" s="688"/>
      <c r="M38" s="688"/>
      <c r="N38" s="688"/>
      <c r="O38" s="1408"/>
      <c r="P38" s="1409"/>
      <c r="Q38" s="1410"/>
      <c r="R38" s="687"/>
      <c r="S38" s="688"/>
      <c r="T38" s="688"/>
      <c r="U38" s="688"/>
      <c r="V38" s="687"/>
      <c r="W38" s="688"/>
      <c r="X38" s="688"/>
      <c r="Y38" s="663"/>
      <c r="Z38" s="671"/>
      <c r="AA38" s="663"/>
      <c r="AB38" s="663"/>
      <c r="AC38" s="663"/>
      <c r="AD38" s="671"/>
      <c r="AE38" s="663"/>
      <c r="AF38" s="663"/>
      <c r="AG38" s="736"/>
      <c r="AH38" s="670"/>
      <c r="AI38" s="736"/>
      <c r="AJ38" s="736"/>
      <c r="AK38" s="688"/>
      <c r="AL38" s="687"/>
      <c r="AM38" s="688"/>
      <c r="AN38" s="688"/>
      <c r="AO38" s="688"/>
      <c r="AP38" s="687"/>
      <c r="AQ38" s="688"/>
      <c r="AR38" s="688"/>
      <c r="AS38" s="688"/>
      <c r="AT38" s="687"/>
      <c r="AU38" s="688"/>
      <c r="AV38" s="688"/>
      <c r="AW38" s="688"/>
      <c r="AX38" s="687"/>
      <c r="AY38" s="688"/>
      <c r="AZ38" s="688"/>
      <c r="BA38" s="688"/>
      <c r="BB38" s="687"/>
      <c r="BC38" s="688"/>
      <c r="BD38" s="688"/>
      <c r="BE38" s="688"/>
      <c r="BF38" s="687"/>
      <c r="BG38" s="688"/>
      <c r="BH38" s="688"/>
      <c r="BI38" s="688"/>
      <c r="BJ38" s="687"/>
      <c r="BK38" s="688"/>
      <c r="BL38" s="688"/>
      <c r="BM38" s="688"/>
      <c r="BN38" s="687"/>
      <c r="BO38" s="688"/>
      <c r="BP38" s="688"/>
      <c r="BQ38" s="688"/>
      <c r="BR38" s="687"/>
      <c r="BS38" s="688"/>
      <c r="BT38" s="688"/>
      <c r="BU38" s="688"/>
      <c r="BV38" s="687"/>
      <c r="BW38" s="736"/>
      <c r="BX38" s="736"/>
      <c r="BY38" s="736"/>
      <c r="BZ38" s="737"/>
      <c r="CA38" s="672"/>
      <c r="CB38" s="657"/>
      <c r="CC38" s="657"/>
      <c r="CD38" s="657"/>
      <c r="CE38" s="657"/>
      <c r="CF38" s="657"/>
      <c r="CG38" s="657"/>
      <c r="CH38" s="657"/>
      <c r="CI38" s="657"/>
    </row>
    <row r="39" spans="1:87" ht="9.9499999999999993" customHeight="1">
      <c r="A39" s="1473" t="s">
        <v>38</v>
      </c>
      <c r="B39" s="1473"/>
      <c r="C39" s="1473"/>
      <c r="D39" s="1390"/>
      <c r="E39" s="1390"/>
      <c r="F39" s="1390"/>
      <c r="G39" s="691"/>
      <c r="H39" s="692"/>
      <c r="I39" s="692"/>
      <c r="J39" s="687"/>
      <c r="K39" s="688"/>
      <c r="L39" s="688"/>
      <c r="M39" s="685"/>
      <c r="N39" s="685"/>
      <c r="O39" s="1408"/>
      <c r="P39" s="1409"/>
      <c r="Q39" s="1410"/>
      <c r="R39" s="686"/>
      <c r="S39" s="685"/>
      <c r="T39" s="685"/>
      <c r="U39" s="685"/>
      <c r="V39" s="686"/>
      <c r="W39" s="685"/>
      <c r="X39" s="685"/>
      <c r="Y39" s="663"/>
      <c r="Z39" s="671"/>
      <c r="AA39" s="663"/>
      <c r="AB39" s="663"/>
      <c r="AC39" s="663"/>
      <c r="AD39" s="671"/>
      <c r="AE39" s="663"/>
      <c r="AF39" s="663"/>
      <c r="AG39" s="736"/>
      <c r="AH39" s="670"/>
      <c r="AI39" s="736"/>
      <c r="AJ39" s="736"/>
      <c r="AK39" s="685"/>
      <c r="AL39" s="686"/>
      <c r="AM39" s="685"/>
      <c r="AN39" s="685"/>
      <c r="AO39" s="685"/>
      <c r="AP39" s="686"/>
      <c r="AQ39" s="685"/>
      <c r="AR39" s="685"/>
      <c r="AS39" s="685"/>
      <c r="AT39" s="686"/>
      <c r="AU39" s="685"/>
      <c r="AV39" s="685"/>
      <c r="AW39" s="685"/>
      <c r="AX39" s="686"/>
      <c r="AY39" s="685"/>
      <c r="AZ39" s="685"/>
      <c r="BA39" s="685"/>
      <c r="BB39" s="686"/>
      <c r="BC39" s="685"/>
      <c r="BD39" s="685"/>
      <c r="BE39" s="685"/>
      <c r="BF39" s="686"/>
      <c r="BG39" s="685"/>
      <c r="BH39" s="685"/>
      <c r="BI39" s="685"/>
      <c r="BJ39" s="686"/>
      <c r="BK39" s="685"/>
      <c r="BL39" s="685"/>
      <c r="BM39" s="685"/>
      <c r="BN39" s="686"/>
      <c r="BO39" s="685"/>
      <c r="BP39" s="685"/>
      <c r="BQ39" s="685"/>
      <c r="BR39" s="686"/>
      <c r="BS39" s="685"/>
      <c r="BT39" s="685"/>
      <c r="BU39" s="685"/>
      <c r="BV39" s="686"/>
      <c r="BW39" s="736"/>
      <c r="BX39" s="736"/>
      <c r="BY39" s="736"/>
      <c r="BZ39" s="737"/>
      <c r="CA39" s="668"/>
      <c r="CB39" s="657"/>
      <c r="CC39" s="657"/>
      <c r="CD39" s="657"/>
      <c r="CE39" s="657"/>
      <c r="CF39" s="657"/>
      <c r="CG39" s="657"/>
      <c r="CH39" s="657"/>
      <c r="CI39" s="657"/>
    </row>
    <row r="40" spans="1:87" ht="9.9499999999999993" customHeight="1">
      <c r="A40" s="1474" t="str">
        <f>BK4</f>
        <v/>
      </c>
      <c r="B40" s="1474"/>
      <c r="C40" s="1474"/>
      <c r="D40" s="1390"/>
      <c r="E40" s="1390"/>
      <c r="F40" s="1390"/>
      <c r="G40" s="691"/>
      <c r="H40" s="692"/>
      <c r="I40" s="692"/>
      <c r="J40" s="687"/>
      <c r="K40" s="688"/>
      <c r="L40" s="688"/>
      <c r="M40" s="685"/>
      <c r="N40" s="685"/>
      <c r="O40" s="1408"/>
      <c r="P40" s="1409"/>
      <c r="Q40" s="1410"/>
      <c r="R40" s="686"/>
      <c r="S40" s="685"/>
      <c r="T40" s="685"/>
      <c r="U40" s="685"/>
      <c r="V40" s="686"/>
      <c r="W40" s="685"/>
      <c r="X40" s="685"/>
      <c r="Y40" s="663"/>
      <c r="Z40" s="671"/>
      <c r="AA40" s="663"/>
      <c r="AB40" s="663"/>
      <c r="AC40" s="663"/>
      <c r="AD40" s="671"/>
      <c r="AE40" s="663"/>
      <c r="AF40" s="663"/>
      <c r="AG40" s="736"/>
      <c r="AH40" s="670"/>
      <c r="AI40" s="736"/>
      <c r="AJ40" s="736"/>
      <c r="AK40" s="685"/>
      <c r="AL40" s="686"/>
      <c r="AM40" s="685"/>
      <c r="AN40" s="685"/>
      <c r="AO40" s="685"/>
      <c r="AP40" s="686"/>
      <c r="AQ40" s="685"/>
      <c r="AR40" s="685"/>
      <c r="AS40" s="685"/>
      <c r="AT40" s="686"/>
      <c r="AU40" s="685"/>
      <c r="AV40" s="685"/>
      <c r="AW40" s="685"/>
      <c r="AX40" s="686"/>
      <c r="AY40" s="685"/>
      <c r="AZ40" s="685"/>
      <c r="BA40" s="685"/>
      <c r="BB40" s="686"/>
      <c r="BC40" s="685"/>
      <c r="BD40" s="685"/>
      <c r="BE40" s="685"/>
      <c r="BF40" s="686"/>
      <c r="BG40" s="685"/>
      <c r="BH40" s="685"/>
      <c r="BI40" s="685"/>
      <c r="BJ40" s="686"/>
      <c r="BK40" s="685"/>
      <c r="BL40" s="685"/>
      <c r="BM40" s="685"/>
      <c r="BN40" s="686"/>
      <c r="BO40" s="685"/>
      <c r="BP40" s="685"/>
      <c r="BQ40" s="685"/>
      <c r="BR40" s="686"/>
      <c r="BS40" s="685"/>
      <c r="BT40" s="685"/>
      <c r="BU40" s="685"/>
      <c r="BV40" s="686"/>
      <c r="BW40" s="736"/>
      <c r="BX40" s="736"/>
      <c r="BY40" s="736"/>
      <c r="BZ40" s="737"/>
      <c r="CA40" s="668"/>
      <c r="CB40" s="657"/>
      <c r="CC40" s="657"/>
      <c r="CD40" s="657"/>
      <c r="CE40" s="657"/>
      <c r="CF40" s="657"/>
      <c r="CG40" s="657"/>
      <c r="CH40" s="657"/>
      <c r="CI40" s="657"/>
    </row>
    <row r="41" spans="1:87" ht="9.9499999999999993" customHeight="1">
      <c r="A41" s="1475"/>
      <c r="B41" s="1475"/>
      <c r="C41" s="1475"/>
      <c r="D41" s="1390"/>
      <c r="E41" s="1390"/>
      <c r="F41" s="1390"/>
      <c r="G41" s="691"/>
      <c r="H41" s="692"/>
      <c r="I41" s="692"/>
      <c r="J41" s="687"/>
      <c r="K41" s="688"/>
      <c r="L41" s="688"/>
      <c r="M41" s="685"/>
      <c r="N41" s="685"/>
      <c r="O41" s="1408"/>
      <c r="P41" s="1409"/>
      <c r="Q41" s="1410"/>
      <c r="R41" s="686"/>
      <c r="S41" s="685"/>
      <c r="T41" s="685"/>
      <c r="U41" s="685"/>
      <c r="V41" s="686"/>
      <c r="W41" s="685"/>
      <c r="X41" s="685"/>
      <c r="Y41" s="663"/>
      <c r="Z41" s="671"/>
      <c r="AA41" s="663"/>
      <c r="AB41" s="663"/>
      <c r="AC41" s="663"/>
      <c r="AD41" s="671"/>
      <c r="AE41" s="663"/>
      <c r="AF41" s="663"/>
      <c r="AG41" s="736"/>
      <c r="AH41" s="670"/>
      <c r="AI41" s="736"/>
      <c r="AJ41" s="736"/>
      <c r="AK41" s="685"/>
      <c r="AL41" s="686"/>
      <c r="AM41" s="685"/>
      <c r="AN41" s="685"/>
      <c r="AO41" s="685"/>
      <c r="AP41" s="686"/>
      <c r="AQ41" s="685"/>
      <c r="AR41" s="685"/>
      <c r="AS41" s="685"/>
      <c r="AT41" s="686"/>
      <c r="AU41" s="685"/>
      <c r="AV41" s="685"/>
      <c r="AW41" s="685"/>
      <c r="AX41" s="686"/>
      <c r="AY41" s="685"/>
      <c r="AZ41" s="685"/>
      <c r="BA41" s="685"/>
      <c r="BB41" s="686"/>
      <c r="BC41" s="685"/>
      <c r="BD41" s="685"/>
      <c r="BE41" s="685"/>
      <c r="BF41" s="686"/>
      <c r="BG41" s="685"/>
      <c r="BH41" s="685"/>
      <c r="BI41" s="685"/>
      <c r="BJ41" s="686"/>
      <c r="BK41" s="685"/>
      <c r="BL41" s="685"/>
      <c r="BM41" s="685"/>
      <c r="BN41" s="686"/>
      <c r="BO41" s="685"/>
      <c r="BP41" s="685"/>
      <c r="BQ41" s="685"/>
      <c r="BR41" s="686"/>
      <c r="BS41" s="685"/>
      <c r="BT41" s="685"/>
      <c r="BU41" s="685"/>
      <c r="BV41" s="686"/>
      <c r="BW41" s="736"/>
      <c r="BX41" s="736"/>
      <c r="BY41" s="736"/>
      <c r="BZ41" s="737"/>
      <c r="CA41" s="668"/>
      <c r="CB41" s="657"/>
      <c r="CC41" s="657"/>
      <c r="CD41" s="657"/>
      <c r="CE41" s="657"/>
      <c r="CF41" s="657"/>
      <c r="CG41" s="657"/>
      <c r="CH41" s="657"/>
      <c r="CI41" s="657"/>
    </row>
    <row r="42" spans="1:87" ht="9.9499999999999993" customHeight="1">
      <c r="A42" s="1468" t="s">
        <v>37</v>
      </c>
      <c r="B42" s="1468"/>
      <c r="C42" s="1468"/>
      <c r="D42" s="1390"/>
      <c r="E42" s="1390"/>
      <c r="F42" s="1390"/>
      <c r="G42" s="695"/>
      <c r="H42" s="696"/>
      <c r="I42" s="696"/>
      <c r="J42" s="697"/>
      <c r="K42" s="689"/>
      <c r="L42" s="689"/>
      <c r="M42" s="689"/>
      <c r="N42" s="689"/>
      <c r="O42" s="1411"/>
      <c r="P42" s="1412"/>
      <c r="Q42" s="1413"/>
      <c r="R42" s="697"/>
      <c r="S42" s="689"/>
      <c r="T42" s="689"/>
      <c r="U42" s="689"/>
      <c r="V42" s="689"/>
      <c r="W42" s="705"/>
      <c r="X42" s="689"/>
      <c r="Y42" s="676"/>
      <c r="Z42" s="676"/>
      <c r="AA42" s="706"/>
      <c r="AB42" s="676"/>
      <c r="AC42" s="676"/>
      <c r="AD42" s="676"/>
      <c r="AE42" s="706"/>
      <c r="AF42" s="676"/>
      <c r="AG42" s="739"/>
      <c r="AH42" s="740"/>
      <c r="AI42" s="739"/>
      <c r="AJ42" s="739"/>
      <c r="AK42" s="689"/>
      <c r="AL42" s="689"/>
      <c r="AM42" s="705"/>
      <c r="AN42" s="689"/>
      <c r="AO42" s="689"/>
      <c r="AP42" s="689"/>
      <c r="AQ42" s="705"/>
      <c r="AR42" s="689"/>
      <c r="AS42" s="689"/>
      <c r="AT42" s="689"/>
      <c r="AU42" s="705"/>
      <c r="AV42" s="689"/>
      <c r="AW42" s="689"/>
      <c r="AX42" s="689"/>
      <c r="AY42" s="705"/>
      <c r="AZ42" s="689"/>
      <c r="BA42" s="689"/>
      <c r="BB42" s="689"/>
      <c r="BC42" s="705"/>
      <c r="BD42" s="689"/>
      <c r="BE42" s="689"/>
      <c r="BF42" s="689"/>
      <c r="BG42" s="705"/>
      <c r="BH42" s="689"/>
      <c r="BI42" s="689"/>
      <c r="BJ42" s="689"/>
      <c r="BK42" s="705"/>
      <c r="BL42" s="689"/>
      <c r="BM42" s="689"/>
      <c r="BN42" s="689"/>
      <c r="BO42" s="705"/>
      <c r="BP42" s="689"/>
      <c r="BQ42" s="689"/>
      <c r="BR42" s="689"/>
      <c r="BS42" s="705"/>
      <c r="BT42" s="689"/>
      <c r="BU42" s="689"/>
      <c r="BV42" s="689"/>
      <c r="BW42" s="738"/>
      <c r="BX42" s="739"/>
      <c r="BY42" s="739"/>
      <c r="BZ42" s="740"/>
      <c r="CA42" s="679"/>
      <c r="CB42" s="657"/>
      <c r="CC42" s="657"/>
      <c r="CD42" s="657"/>
      <c r="CE42" s="657"/>
      <c r="CF42" s="657"/>
      <c r="CG42" s="657"/>
      <c r="CH42" s="657"/>
      <c r="CI42" s="657"/>
    </row>
    <row r="43" spans="1:87" ht="13.5" customHeight="1">
      <c r="A43" s="708"/>
      <c r="B43" s="708"/>
      <c r="C43" s="708"/>
      <c r="D43" s="708"/>
      <c r="E43" s="708"/>
      <c r="F43" s="708"/>
      <c r="G43" s="1461"/>
      <c r="H43" s="1461"/>
      <c r="I43" s="1391">
        <v>0.25</v>
      </c>
      <c r="J43" s="1391"/>
      <c r="K43" s="1391"/>
      <c r="L43" s="1391"/>
      <c r="M43" s="1391">
        <v>0.29166666666666669</v>
      </c>
      <c r="N43" s="1391"/>
      <c r="O43" s="1391"/>
      <c r="P43" s="1391"/>
      <c r="Q43" s="1391">
        <v>0.33333333333333331</v>
      </c>
      <c r="R43" s="1391"/>
      <c r="S43" s="1391"/>
      <c r="T43" s="1391"/>
      <c r="U43" s="1391">
        <v>0.375</v>
      </c>
      <c r="V43" s="1391"/>
      <c r="W43" s="1391"/>
      <c r="X43" s="1391"/>
      <c r="Y43" s="1391">
        <v>0.41666666666666669</v>
      </c>
      <c r="Z43" s="1418"/>
      <c r="AA43" s="1391"/>
      <c r="AB43" s="1391"/>
      <c r="AC43" s="1391">
        <v>0.45833333333333331</v>
      </c>
      <c r="AD43" s="1391"/>
      <c r="AE43" s="1391"/>
      <c r="AF43" s="1391"/>
      <c r="AG43" s="1385">
        <v>0.5</v>
      </c>
      <c r="AH43" s="1385"/>
      <c r="AI43" s="1385"/>
      <c r="AJ43" s="1385"/>
      <c r="AK43" s="1385">
        <v>4.1666666666666664E-2</v>
      </c>
      <c r="AL43" s="1385"/>
      <c r="AM43" s="1385"/>
      <c r="AN43" s="1385"/>
      <c r="AO43" s="1385">
        <v>8.3333333333333329E-2</v>
      </c>
      <c r="AP43" s="1385"/>
      <c r="AQ43" s="1385"/>
      <c r="AR43" s="1385"/>
      <c r="AS43" s="1385">
        <v>0.125</v>
      </c>
      <c r="AT43" s="1385"/>
      <c r="AU43" s="1385"/>
      <c r="AV43" s="1385"/>
      <c r="AW43" s="1385">
        <v>0.16666666666666666</v>
      </c>
      <c r="AX43" s="1385"/>
      <c r="AY43" s="1385"/>
      <c r="AZ43" s="1385"/>
      <c r="BA43" s="1385">
        <v>0.20833333333333334</v>
      </c>
      <c r="BB43" s="1385"/>
      <c r="BC43" s="1385"/>
      <c r="BD43" s="1385"/>
      <c r="BE43" s="1385">
        <v>0.25</v>
      </c>
      <c r="BF43" s="1385"/>
      <c r="BG43" s="1385"/>
      <c r="BH43" s="1385"/>
      <c r="BI43" s="1385">
        <v>0.29166666666666669</v>
      </c>
      <c r="BJ43" s="1385"/>
      <c r="BK43" s="1385"/>
      <c r="BL43" s="1385"/>
      <c r="BM43" s="1385">
        <v>0.33333333333333331</v>
      </c>
      <c r="BN43" s="1385"/>
      <c r="BO43" s="1385"/>
      <c r="BP43" s="1385"/>
      <c r="BQ43" s="1385">
        <v>0.375</v>
      </c>
      <c r="BR43" s="1385"/>
      <c r="BS43" s="1385"/>
      <c r="BT43" s="1385"/>
      <c r="BU43" s="1385">
        <v>0.41666666666666669</v>
      </c>
      <c r="BV43" s="1414"/>
      <c r="BW43" s="1414"/>
      <c r="BX43" s="1414"/>
      <c r="BY43" s="652"/>
      <c r="BZ43" s="652"/>
      <c r="CA43" s="652"/>
      <c r="CB43" s="657"/>
      <c r="CC43" s="657"/>
      <c r="CD43" s="657"/>
      <c r="CE43" s="657"/>
      <c r="CF43" s="657"/>
      <c r="CG43" s="657"/>
      <c r="CH43" s="657"/>
      <c r="CI43" s="657"/>
    </row>
    <row r="44" spans="1:87" ht="13.5" customHeight="1">
      <c r="A44" s="1415" t="s">
        <v>75</v>
      </c>
      <c r="B44" s="1415"/>
      <c r="C44" s="1415"/>
      <c r="D44" s="1416"/>
      <c r="E44" s="1416"/>
      <c r="F44" s="1416"/>
      <c r="G44" s="1416"/>
      <c r="H44" s="1416"/>
      <c r="I44" s="1416"/>
      <c r="J44" s="1416"/>
      <c r="K44" s="1416"/>
      <c r="L44" s="1416"/>
      <c r="M44" s="1416"/>
      <c r="N44" s="1416"/>
      <c r="O44" s="1416"/>
      <c r="P44" s="1416"/>
      <c r="Q44" s="1416"/>
      <c r="R44" s="1416"/>
      <c r="S44" s="1416"/>
      <c r="T44" s="1416"/>
      <c r="U44" s="1416"/>
      <c r="V44" s="1416"/>
      <c r="W44" s="1416"/>
      <c r="X44" s="1416"/>
      <c r="Y44" s="1416"/>
      <c r="Z44" s="1416"/>
      <c r="AA44" s="1416"/>
      <c r="AB44" s="1416"/>
      <c r="AC44" s="1416"/>
      <c r="AD44" s="1416"/>
      <c r="AE44" s="1416"/>
      <c r="AF44" s="1416"/>
      <c r="AG44" s="1416"/>
      <c r="AH44" s="1416"/>
      <c r="AI44" s="1416"/>
      <c r="AJ44" s="1416"/>
      <c r="AK44" s="1416"/>
      <c r="AL44" s="1416"/>
      <c r="AM44" s="1416"/>
      <c r="AN44" s="1416"/>
      <c r="AO44" s="1416"/>
      <c r="AP44" s="1416"/>
      <c r="AQ44" s="1416"/>
      <c r="AR44" s="1416"/>
      <c r="AS44" s="1416"/>
      <c r="AT44" s="1416"/>
      <c r="AU44" s="1416"/>
      <c r="AV44" s="1416"/>
      <c r="AW44" s="1416"/>
      <c r="AX44" s="1416"/>
      <c r="AY44" s="1416"/>
      <c r="AZ44" s="1416"/>
      <c r="BA44" s="1416"/>
      <c r="BB44" s="1416"/>
      <c r="BC44" s="1416"/>
      <c r="BD44" s="1416"/>
      <c r="BE44" s="1416"/>
      <c r="BF44" s="1416"/>
      <c r="BG44" s="1416"/>
      <c r="BH44" s="1416"/>
      <c r="BI44" s="1416"/>
      <c r="BJ44" s="1416"/>
      <c r="BK44" s="1416"/>
      <c r="BL44" s="1416"/>
      <c r="BM44" s="1416"/>
      <c r="BN44" s="1416"/>
      <c r="BO44" s="1416"/>
      <c r="BP44" s="1416"/>
      <c r="BQ44" s="1416"/>
      <c r="BR44" s="1416"/>
      <c r="BS44" s="1416"/>
      <c r="BT44" s="1416"/>
      <c r="BU44" s="1416"/>
      <c r="BV44" s="1416"/>
      <c r="BW44" s="1416"/>
      <c r="BX44" s="1416"/>
      <c r="BY44" s="1416"/>
      <c r="BZ44" s="1416"/>
      <c r="CA44" s="672"/>
      <c r="CB44" s="709"/>
      <c r="CC44" s="709"/>
      <c r="CD44" s="709"/>
      <c r="CE44" s="709"/>
      <c r="CF44" s="709"/>
      <c r="CG44" s="709"/>
      <c r="CH44" s="709"/>
      <c r="CI44" s="709"/>
    </row>
    <row r="45" spans="1:87">
      <c r="A45" s="1415"/>
      <c r="B45" s="1415"/>
      <c r="C45" s="1415"/>
      <c r="D45" s="1416"/>
      <c r="E45" s="1416"/>
      <c r="F45" s="1416"/>
      <c r="G45" s="1416"/>
      <c r="H45" s="1416"/>
      <c r="I45" s="1416"/>
      <c r="J45" s="1416"/>
      <c r="K45" s="1416"/>
      <c r="L45" s="1416"/>
      <c r="M45" s="1416"/>
      <c r="N45" s="1416"/>
      <c r="O45" s="1416"/>
      <c r="P45" s="1416"/>
      <c r="Q45" s="1416"/>
      <c r="R45" s="1416"/>
      <c r="S45" s="1416"/>
      <c r="T45" s="1416"/>
      <c r="U45" s="1416"/>
      <c r="V45" s="1416"/>
      <c r="W45" s="1416"/>
      <c r="X45" s="1416"/>
      <c r="Y45" s="1416"/>
      <c r="Z45" s="1416"/>
      <c r="AA45" s="1416"/>
      <c r="AB45" s="1416"/>
      <c r="AC45" s="1416"/>
      <c r="AD45" s="1416"/>
      <c r="AE45" s="1416"/>
      <c r="AF45" s="1416"/>
      <c r="AG45" s="1416"/>
      <c r="AH45" s="1416"/>
      <c r="AI45" s="1416"/>
      <c r="AJ45" s="1416"/>
      <c r="AK45" s="1416"/>
      <c r="AL45" s="1416"/>
      <c r="AM45" s="1416"/>
      <c r="AN45" s="1416"/>
      <c r="AO45" s="1416"/>
      <c r="AP45" s="1416"/>
      <c r="AQ45" s="1416"/>
      <c r="AR45" s="1416"/>
      <c r="AS45" s="1416"/>
      <c r="AT45" s="1416"/>
      <c r="AU45" s="1416"/>
      <c r="AV45" s="1416"/>
      <c r="AW45" s="1416"/>
      <c r="AX45" s="1416"/>
      <c r="AY45" s="1416"/>
      <c r="AZ45" s="1416"/>
      <c r="BA45" s="1416"/>
      <c r="BB45" s="1416"/>
      <c r="BC45" s="1416"/>
      <c r="BD45" s="1416"/>
      <c r="BE45" s="1416"/>
      <c r="BF45" s="1416"/>
      <c r="BG45" s="1416"/>
      <c r="BH45" s="1416"/>
      <c r="BI45" s="1416"/>
      <c r="BJ45" s="1416"/>
      <c r="BK45" s="1416"/>
      <c r="BL45" s="1416"/>
      <c r="BM45" s="1416"/>
      <c r="BN45" s="1416"/>
      <c r="BO45" s="1416"/>
      <c r="BP45" s="1416"/>
      <c r="BQ45" s="1416"/>
      <c r="BR45" s="1416"/>
      <c r="BS45" s="1416"/>
      <c r="BT45" s="1416"/>
      <c r="BU45" s="1416"/>
      <c r="BV45" s="1416"/>
      <c r="BW45" s="1416"/>
      <c r="BX45" s="1416"/>
      <c r="BY45" s="1416"/>
      <c r="BZ45" s="1416"/>
      <c r="CA45" s="672"/>
      <c r="CB45" s="709"/>
      <c r="CC45" s="709"/>
      <c r="CD45" s="709"/>
      <c r="CE45" s="709"/>
      <c r="CF45" s="709"/>
      <c r="CG45" s="709"/>
      <c r="CH45" s="709"/>
      <c r="CI45" s="709"/>
    </row>
    <row r="46" spans="1:87">
      <c r="A46" s="1415"/>
      <c r="B46" s="1415"/>
      <c r="C46" s="1415"/>
      <c r="D46" s="1416"/>
      <c r="E46" s="1416"/>
      <c r="F46" s="1416"/>
      <c r="G46" s="1416"/>
      <c r="H46" s="1416"/>
      <c r="I46" s="1416"/>
      <c r="J46" s="1416"/>
      <c r="K46" s="1416"/>
      <c r="L46" s="1416"/>
      <c r="M46" s="1416"/>
      <c r="N46" s="1416"/>
      <c r="O46" s="1416"/>
      <c r="P46" s="1416"/>
      <c r="Q46" s="1416"/>
      <c r="R46" s="1416"/>
      <c r="S46" s="1416"/>
      <c r="T46" s="1416"/>
      <c r="U46" s="1416"/>
      <c r="V46" s="1416"/>
      <c r="W46" s="1416"/>
      <c r="X46" s="1416"/>
      <c r="Y46" s="1416"/>
      <c r="Z46" s="1416"/>
      <c r="AA46" s="1416"/>
      <c r="AB46" s="1416"/>
      <c r="AC46" s="1416"/>
      <c r="AD46" s="1416"/>
      <c r="AE46" s="1416"/>
      <c r="AF46" s="1416"/>
      <c r="AG46" s="1416"/>
      <c r="AH46" s="1416"/>
      <c r="AI46" s="1416"/>
      <c r="AJ46" s="1416"/>
      <c r="AK46" s="1416"/>
      <c r="AL46" s="1416"/>
      <c r="AM46" s="1416"/>
      <c r="AN46" s="1416"/>
      <c r="AO46" s="1416"/>
      <c r="AP46" s="1416"/>
      <c r="AQ46" s="1416"/>
      <c r="AR46" s="1416"/>
      <c r="AS46" s="1416"/>
      <c r="AT46" s="1416"/>
      <c r="AU46" s="1416"/>
      <c r="AV46" s="1416"/>
      <c r="AW46" s="1416"/>
      <c r="AX46" s="1416"/>
      <c r="AY46" s="1416"/>
      <c r="AZ46" s="1416"/>
      <c r="BA46" s="1416"/>
      <c r="BB46" s="1416"/>
      <c r="BC46" s="1416"/>
      <c r="BD46" s="1416"/>
      <c r="BE46" s="1416"/>
      <c r="BF46" s="1416"/>
      <c r="BG46" s="1416"/>
      <c r="BH46" s="1416"/>
      <c r="BI46" s="1416"/>
      <c r="BJ46" s="1416"/>
      <c r="BK46" s="1416"/>
      <c r="BL46" s="1416"/>
      <c r="BM46" s="1416"/>
      <c r="BN46" s="1416"/>
      <c r="BO46" s="1416"/>
      <c r="BP46" s="1416"/>
      <c r="BQ46" s="1416"/>
      <c r="BR46" s="1416"/>
      <c r="BS46" s="1416"/>
      <c r="BT46" s="1416"/>
      <c r="BU46" s="1416"/>
      <c r="BV46" s="1416"/>
      <c r="BW46" s="1416"/>
      <c r="BX46" s="1416"/>
      <c r="BY46" s="1416"/>
      <c r="BZ46" s="1416"/>
      <c r="CA46" s="672"/>
      <c r="CB46" s="709"/>
      <c r="CC46" s="709"/>
      <c r="CD46" s="709"/>
      <c r="CE46" s="709"/>
      <c r="CF46" s="709"/>
      <c r="CG46" s="709"/>
      <c r="CH46" s="709"/>
      <c r="CI46" s="709"/>
    </row>
    <row r="47" spans="1:87">
      <c r="A47" s="1415"/>
      <c r="B47" s="1415"/>
      <c r="C47" s="1415"/>
      <c r="D47" s="1416"/>
      <c r="E47" s="1416"/>
      <c r="F47" s="1416"/>
      <c r="G47" s="1416"/>
      <c r="H47" s="1416"/>
      <c r="I47" s="1416"/>
      <c r="J47" s="1416"/>
      <c r="K47" s="1416"/>
      <c r="L47" s="1416"/>
      <c r="M47" s="1416"/>
      <c r="N47" s="1416"/>
      <c r="O47" s="1416"/>
      <c r="P47" s="1416"/>
      <c r="Q47" s="1416"/>
      <c r="R47" s="1416"/>
      <c r="S47" s="1416"/>
      <c r="T47" s="1416"/>
      <c r="U47" s="1416"/>
      <c r="V47" s="1416"/>
      <c r="W47" s="1416"/>
      <c r="X47" s="1416"/>
      <c r="Y47" s="1416"/>
      <c r="Z47" s="1416"/>
      <c r="AA47" s="1416"/>
      <c r="AB47" s="1416"/>
      <c r="AC47" s="1416"/>
      <c r="AD47" s="1416"/>
      <c r="AE47" s="1416"/>
      <c r="AF47" s="1416"/>
      <c r="AG47" s="1416"/>
      <c r="AH47" s="1416"/>
      <c r="AI47" s="1416"/>
      <c r="AJ47" s="1416"/>
      <c r="AK47" s="1416"/>
      <c r="AL47" s="1416"/>
      <c r="AM47" s="1416"/>
      <c r="AN47" s="1416"/>
      <c r="AO47" s="1416"/>
      <c r="AP47" s="1416"/>
      <c r="AQ47" s="1416"/>
      <c r="AR47" s="1416"/>
      <c r="AS47" s="1416"/>
      <c r="AT47" s="1416"/>
      <c r="AU47" s="1416"/>
      <c r="AV47" s="1416"/>
      <c r="AW47" s="1416"/>
      <c r="AX47" s="1416"/>
      <c r="AY47" s="1416"/>
      <c r="AZ47" s="1416"/>
      <c r="BA47" s="1416"/>
      <c r="BB47" s="1416"/>
      <c r="BC47" s="1416"/>
      <c r="BD47" s="1416"/>
      <c r="BE47" s="1416"/>
      <c r="BF47" s="1416"/>
      <c r="BG47" s="1416"/>
      <c r="BH47" s="1416"/>
      <c r="BI47" s="1416"/>
      <c r="BJ47" s="1416"/>
      <c r="BK47" s="1416"/>
      <c r="BL47" s="1416"/>
      <c r="BM47" s="1416"/>
      <c r="BN47" s="1416"/>
      <c r="BO47" s="1416"/>
      <c r="BP47" s="1416"/>
      <c r="BQ47" s="1416"/>
      <c r="BR47" s="1416"/>
      <c r="BS47" s="1416"/>
      <c r="BT47" s="1416"/>
      <c r="BU47" s="1416"/>
      <c r="BV47" s="1416"/>
      <c r="BW47" s="1416"/>
      <c r="BX47" s="1416"/>
      <c r="BY47" s="1416"/>
      <c r="BZ47" s="1416"/>
      <c r="CA47" s="672"/>
      <c r="CB47" s="709"/>
      <c r="CC47" s="709"/>
      <c r="CD47" s="709"/>
      <c r="CE47" s="709"/>
      <c r="CF47" s="709"/>
      <c r="CG47" s="709"/>
      <c r="CH47" s="709"/>
      <c r="CI47" s="709"/>
    </row>
    <row r="48" spans="1:87">
      <c r="A48" s="1415"/>
      <c r="B48" s="1415"/>
      <c r="C48" s="1415"/>
      <c r="D48" s="1416"/>
      <c r="E48" s="1416"/>
      <c r="F48" s="1416"/>
      <c r="G48" s="1416"/>
      <c r="H48" s="1416"/>
      <c r="I48" s="1416"/>
      <c r="J48" s="1416"/>
      <c r="K48" s="1416"/>
      <c r="L48" s="1416"/>
      <c r="M48" s="1416"/>
      <c r="N48" s="1416"/>
      <c r="O48" s="1416"/>
      <c r="P48" s="1416"/>
      <c r="Q48" s="1416"/>
      <c r="R48" s="1416"/>
      <c r="S48" s="1416"/>
      <c r="T48" s="1416"/>
      <c r="U48" s="1416"/>
      <c r="V48" s="1416"/>
      <c r="W48" s="1416"/>
      <c r="X48" s="1416"/>
      <c r="Y48" s="1416"/>
      <c r="Z48" s="1416"/>
      <c r="AA48" s="1416"/>
      <c r="AB48" s="1416"/>
      <c r="AC48" s="1416"/>
      <c r="AD48" s="1416"/>
      <c r="AE48" s="1416"/>
      <c r="AF48" s="1416"/>
      <c r="AG48" s="1416"/>
      <c r="AH48" s="1416"/>
      <c r="AI48" s="1416"/>
      <c r="AJ48" s="1416"/>
      <c r="AK48" s="1416"/>
      <c r="AL48" s="1416"/>
      <c r="AM48" s="1416"/>
      <c r="AN48" s="1416"/>
      <c r="AO48" s="1416"/>
      <c r="AP48" s="1416"/>
      <c r="AQ48" s="1416"/>
      <c r="AR48" s="1416"/>
      <c r="AS48" s="1416"/>
      <c r="AT48" s="1416"/>
      <c r="AU48" s="1416"/>
      <c r="AV48" s="1416"/>
      <c r="AW48" s="1416"/>
      <c r="AX48" s="1416"/>
      <c r="AY48" s="1416"/>
      <c r="AZ48" s="1416"/>
      <c r="BA48" s="1416"/>
      <c r="BB48" s="1416"/>
      <c r="BC48" s="1416"/>
      <c r="BD48" s="1416"/>
      <c r="BE48" s="1416"/>
      <c r="BF48" s="1416"/>
      <c r="BG48" s="1416"/>
      <c r="BH48" s="1416"/>
      <c r="BI48" s="1416"/>
      <c r="BJ48" s="1416"/>
      <c r="BK48" s="1416"/>
      <c r="BL48" s="1416"/>
      <c r="BM48" s="1416"/>
      <c r="BN48" s="1416"/>
      <c r="BO48" s="1416"/>
      <c r="BP48" s="1416"/>
      <c r="BQ48" s="1416"/>
      <c r="BR48" s="1416"/>
      <c r="BS48" s="1416"/>
      <c r="BT48" s="1416"/>
      <c r="BU48" s="1416"/>
      <c r="BV48" s="1416"/>
      <c r="BW48" s="1416"/>
      <c r="BX48" s="1416"/>
      <c r="BY48" s="1416"/>
      <c r="BZ48" s="1416"/>
      <c r="CA48" s="672"/>
      <c r="CB48" s="709"/>
      <c r="CC48" s="709"/>
      <c r="CD48" s="709"/>
      <c r="CE48" s="709"/>
      <c r="CF48" s="709"/>
      <c r="CG48" s="709"/>
      <c r="CH48" s="709"/>
      <c r="CI48" s="709"/>
    </row>
    <row r="49" spans="1:87">
      <c r="A49" s="1417" t="s">
        <v>88</v>
      </c>
      <c r="B49" s="1417"/>
      <c r="C49" s="1417"/>
      <c r="D49" s="1417"/>
      <c r="E49" s="1417"/>
      <c r="F49" s="1417"/>
      <c r="G49" s="1417"/>
      <c r="H49" s="1417"/>
      <c r="I49" s="1417"/>
      <c r="J49" s="1417"/>
      <c r="K49" s="1417"/>
      <c r="L49" s="1417"/>
      <c r="M49" s="1417"/>
      <c r="N49" s="1417"/>
      <c r="O49" s="1417"/>
      <c r="P49" s="1417"/>
      <c r="Q49" s="1417"/>
      <c r="R49" s="1417"/>
      <c r="S49" s="1417"/>
      <c r="T49" s="1417"/>
      <c r="U49" s="1417"/>
      <c r="V49" s="1417"/>
      <c r="W49" s="1417"/>
      <c r="X49" s="1417"/>
      <c r="Y49" s="1417"/>
      <c r="Z49" s="1417"/>
      <c r="AA49" s="1417"/>
      <c r="AB49" s="1417"/>
      <c r="AC49" s="1417"/>
      <c r="AD49" s="1417"/>
      <c r="AE49" s="1417"/>
      <c r="AF49" s="1417"/>
      <c r="AG49" s="1417"/>
      <c r="AH49" s="1417"/>
      <c r="AI49" s="1417"/>
      <c r="AJ49" s="1417"/>
      <c r="AK49" s="1417"/>
      <c r="AL49" s="1417"/>
      <c r="AM49" s="1417"/>
      <c r="AN49" s="1417"/>
      <c r="AO49" s="1417"/>
      <c r="AP49" s="1417"/>
      <c r="AQ49" s="1417"/>
      <c r="AR49" s="1417"/>
      <c r="AS49" s="1417"/>
      <c r="AT49" s="1417"/>
      <c r="AU49" s="1417"/>
      <c r="AV49" s="1417"/>
      <c r="AW49" s="1417"/>
      <c r="AX49" s="1417"/>
      <c r="AY49" s="1417"/>
      <c r="AZ49" s="1417"/>
      <c r="BA49" s="1417"/>
      <c r="BB49" s="1417"/>
      <c r="BC49" s="1417"/>
      <c r="BD49" s="1417"/>
      <c r="BE49" s="1417"/>
      <c r="BF49" s="1417"/>
      <c r="BG49" s="1417"/>
      <c r="BH49" s="1417"/>
      <c r="BI49" s="1417"/>
      <c r="BJ49" s="1417"/>
      <c r="BK49" s="1417"/>
      <c r="BL49" s="1417"/>
      <c r="BM49" s="1417"/>
      <c r="BN49" s="1417"/>
      <c r="BO49" s="1417"/>
      <c r="BP49" s="1417"/>
      <c r="BQ49" s="1417"/>
      <c r="BR49" s="1417"/>
      <c r="BS49" s="1417"/>
      <c r="BT49" s="1417"/>
      <c r="BU49" s="1417"/>
      <c r="BV49" s="1417"/>
      <c r="BW49" s="1417"/>
      <c r="BX49" s="1417"/>
      <c r="BY49" s="1417"/>
      <c r="BZ49" s="1417"/>
      <c r="CA49" s="652"/>
      <c r="CB49" s="657"/>
      <c r="CC49" s="657"/>
      <c r="CD49" s="657"/>
      <c r="CE49" s="657"/>
      <c r="CF49" s="657"/>
      <c r="CG49" s="657"/>
      <c r="CH49" s="657"/>
      <c r="CI49" s="657"/>
    </row>
    <row r="50" spans="1:87">
      <c r="A50" s="1404" t="s">
        <v>87</v>
      </c>
      <c r="B50" s="1404"/>
      <c r="C50" s="1404"/>
      <c r="D50" s="1404"/>
      <c r="E50" s="1404"/>
      <c r="F50" s="1404"/>
      <c r="G50" s="1404"/>
      <c r="H50" s="1404"/>
      <c r="I50" s="1404"/>
      <c r="J50" s="1404"/>
      <c r="K50" s="1404"/>
      <c r="L50" s="1404"/>
      <c r="M50" s="1404"/>
      <c r="N50" s="1404"/>
      <c r="O50" s="1404"/>
      <c r="P50" s="1404"/>
      <c r="Q50" s="1404"/>
      <c r="R50" s="1404"/>
      <c r="S50" s="1404"/>
      <c r="T50" s="1404"/>
      <c r="U50" s="1404"/>
      <c r="V50" s="1404"/>
      <c r="W50" s="1404"/>
      <c r="X50" s="1404"/>
      <c r="Y50" s="1404"/>
      <c r="Z50" s="1404"/>
      <c r="AA50" s="1404"/>
      <c r="AB50" s="1404"/>
      <c r="AC50" s="1404"/>
      <c r="AD50" s="1404"/>
      <c r="AE50" s="1404"/>
      <c r="AF50" s="1404"/>
      <c r="AG50" s="1404"/>
      <c r="AH50" s="1404"/>
      <c r="AI50" s="1404"/>
      <c r="AJ50" s="1404"/>
      <c r="AK50" s="1404"/>
      <c r="AL50" s="1404"/>
      <c r="AM50" s="1404"/>
      <c r="AN50" s="1404"/>
      <c r="AO50" s="1404"/>
      <c r="AP50" s="1404"/>
      <c r="AQ50" s="1404"/>
      <c r="AR50" s="1404"/>
      <c r="AS50" s="1404"/>
      <c r="AT50" s="1404"/>
      <c r="AU50" s="1404"/>
      <c r="AV50" s="1404"/>
      <c r="AW50" s="1404"/>
      <c r="AX50" s="1404"/>
      <c r="AY50" s="1404"/>
      <c r="AZ50" s="1404"/>
      <c r="BA50" s="1404"/>
      <c r="BB50" s="1404"/>
      <c r="BC50" s="1404"/>
      <c r="BD50" s="1404"/>
      <c r="BE50" s="1404"/>
      <c r="BF50" s="1404"/>
      <c r="BG50" s="1404"/>
      <c r="BH50" s="1404"/>
      <c r="BI50" s="1404"/>
      <c r="BJ50" s="1404"/>
      <c r="BK50" s="1404"/>
      <c r="BL50" s="1404"/>
      <c r="BM50" s="1404"/>
      <c r="BN50" s="1404"/>
      <c r="BO50" s="1404"/>
      <c r="BP50" s="1404"/>
      <c r="BQ50" s="1404"/>
      <c r="BR50" s="1404"/>
      <c r="BS50" s="1404"/>
      <c r="BT50" s="1404"/>
      <c r="BU50" s="1404"/>
      <c r="BV50" s="1404"/>
      <c r="BW50" s="1404"/>
      <c r="BX50" s="1404"/>
      <c r="BY50" s="1404"/>
      <c r="BZ50" s="1404"/>
      <c r="CA50" s="652"/>
      <c r="CB50" s="657"/>
      <c r="CC50" s="657"/>
      <c r="CD50" s="657"/>
      <c r="CE50" s="657"/>
      <c r="CF50" s="657"/>
      <c r="CG50" s="657"/>
      <c r="CH50" s="657"/>
      <c r="CI50" s="657"/>
    </row>
    <row r="51" spans="1:87">
      <c r="A51" s="1404" t="s">
        <v>86</v>
      </c>
      <c r="B51" s="1404"/>
      <c r="C51" s="1404"/>
      <c r="D51" s="1404"/>
      <c r="E51" s="1404"/>
      <c r="F51" s="1404"/>
      <c r="G51" s="1404"/>
      <c r="H51" s="1404"/>
      <c r="I51" s="1404"/>
      <c r="J51" s="1404"/>
      <c r="K51" s="1404"/>
      <c r="L51" s="1404"/>
      <c r="M51" s="1404"/>
      <c r="N51" s="1404"/>
      <c r="O51" s="1404"/>
      <c r="P51" s="1404"/>
      <c r="Q51" s="1404"/>
      <c r="R51" s="1404"/>
      <c r="S51" s="1404"/>
      <c r="T51" s="1404"/>
      <c r="U51" s="1404"/>
      <c r="V51" s="1404"/>
      <c r="W51" s="1404"/>
      <c r="X51" s="1404"/>
      <c r="Y51" s="1404"/>
      <c r="Z51" s="1404"/>
      <c r="AA51" s="1404"/>
      <c r="AB51" s="1404"/>
      <c r="AC51" s="1404"/>
      <c r="AD51" s="1404"/>
      <c r="AE51" s="1404"/>
      <c r="AF51" s="1404"/>
      <c r="AG51" s="1404"/>
      <c r="AH51" s="1404"/>
      <c r="AI51" s="1404"/>
      <c r="AJ51" s="1404"/>
      <c r="AK51" s="1404"/>
      <c r="AL51" s="1404"/>
      <c r="AM51" s="1404"/>
      <c r="AN51" s="1404"/>
      <c r="AO51" s="1404"/>
      <c r="AP51" s="1404"/>
      <c r="AQ51" s="1404"/>
      <c r="AR51" s="1404"/>
      <c r="AS51" s="1404"/>
      <c r="AT51" s="1404"/>
      <c r="AU51" s="1404"/>
      <c r="AV51" s="1404"/>
      <c r="AW51" s="1404"/>
      <c r="AX51" s="1404"/>
      <c r="AY51" s="1404"/>
      <c r="AZ51" s="1404"/>
      <c r="BA51" s="1404"/>
      <c r="BB51" s="1404"/>
      <c r="BC51" s="1404"/>
      <c r="BD51" s="1404"/>
      <c r="BE51" s="1404"/>
      <c r="BF51" s="1404"/>
      <c r="BG51" s="1404"/>
      <c r="BH51" s="1404"/>
      <c r="BI51" s="1404"/>
      <c r="BJ51" s="1404"/>
      <c r="BK51" s="1404"/>
      <c r="BL51" s="1404"/>
      <c r="BM51" s="1404"/>
      <c r="BN51" s="1404"/>
      <c r="BO51" s="1404"/>
      <c r="BP51" s="1404"/>
      <c r="BQ51" s="1404"/>
      <c r="BR51" s="1404"/>
      <c r="BS51" s="1404"/>
      <c r="BT51" s="1404"/>
      <c r="BU51" s="1404"/>
      <c r="BV51" s="1404"/>
      <c r="BW51" s="1404"/>
      <c r="BX51" s="1404"/>
      <c r="BY51" s="1404"/>
      <c r="BZ51" s="1404"/>
      <c r="CA51" s="652"/>
      <c r="CB51" s="657"/>
      <c r="CC51" s="657"/>
      <c r="CD51" s="657"/>
      <c r="CE51" s="657"/>
      <c r="CF51" s="657"/>
      <c r="CG51" s="657"/>
      <c r="CH51" s="657"/>
      <c r="CI51" s="657"/>
    </row>
    <row r="52" spans="1:87" s="252" customFormat="1" ht="23.25">
      <c r="A52" s="1510" t="s">
        <v>3013</v>
      </c>
      <c r="B52" s="1510"/>
      <c r="C52" s="1510"/>
      <c r="D52" s="1510"/>
      <c r="E52" s="1510"/>
      <c r="F52" s="1510"/>
      <c r="G52" s="1510"/>
      <c r="H52" s="1510"/>
      <c r="I52" s="1510"/>
      <c r="J52" s="1510"/>
      <c r="K52" s="1510"/>
      <c r="L52" s="1510"/>
      <c r="M52" s="1510"/>
      <c r="N52" s="1510"/>
      <c r="O52" s="1510"/>
      <c r="P52" s="1510"/>
      <c r="Q52" s="1510"/>
      <c r="R52" s="1510"/>
      <c r="S52" s="1510"/>
      <c r="T52" s="1510"/>
      <c r="U52" s="1510"/>
      <c r="V52" s="1510"/>
      <c r="W52" s="1510"/>
      <c r="X52" s="1510"/>
      <c r="Y52" s="1510"/>
      <c r="Z52" s="1510"/>
      <c r="AA52" s="1510"/>
      <c r="AB52" s="1510"/>
      <c r="AC52" s="1510"/>
      <c r="AD52" s="1510"/>
      <c r="AE52" s="1510"/>
      <c r="AF52" s="1510"/>
      <c r="AG52" s="1510"/>
      <c r="AH52" s="1510"/>
      <c r="AI52" s="1510"/>
      <c r="AJ52" s="1510"/>
      <c r="AK52" s="1510"/>
      <c r="AL52" s="1510"/>
      <c r="AM52" s="1510"/>
      <c r="AN52" s="1510"/>
      <c r="AO52" s="1510"/>
      <c r="AP52" s="1510"/>
      <c r="AQ52" s="1510"/>
      <c r="AR52" s="1510"/>
      <c r="AS52" s="1510"/>
      <c r="AT52" s="1510"/>
      <c r="AU52" s="1510"/>
      <c r="AV52" s="1510"/>
      <c r="AW52" s="1510"/>
      <c r="AX52" s="1510"/>
      <c r="AY52" s="1510"/>
      <c r="AZ52" s="1510"/>
      <c r="BA52" s="1510"/>
      <c r="BB52" s="1510"/>
      <c r="BC52" s="1510"/>
      <c r="BD52" s="1510"/>
      <c r="BE52" s="1510"/>
      <c r="BF52" s="1510"/>
      <c r="BG52" s="1510"/>
      <c r="BH52" s="1510"/>
      <c r="BI52" s="1510"/>
      <c r="BJ52" s="1510"/>
      <c r="BK52" s="1510"/>
      <c r="BL52" s="1510"/>
      <c r="BM52" s="1510"/>
      <c r="BN52" s="1510"/>
      <c r="BO52" s="1510"/>
      <c r="BP52" s="1510"/>
      <c r="BQ52" s="1510"/>
      <c r="BR52" s="1510"/>
      <c r="BS52" s="1510"/>
      <c r="BT52" s="1510"/>
      <c r="BU52" s="1510"/>
      <c r="BV52" s="1510"/>
      <c r="BW52" s="1510"/>
      <c r="BX52" s="1510"/>
      <c r="BY52" s="1510"/>
      <c r="BZ52" s="1510"/>
      <c r="CA52" s="643"/>
      <c r="CB52" s="644"/>
      <c r="CC52" s="644"/>
      <c r="CD52" s="644"/>
      <c r="CE52" s="644"/>
      <c r="CF52" s="644"/>
      <c r="CG52" s="644"/>
      <c r="CH52" s="644"/>
      <c r="CI52" s="644"/>
    </row>
    <row r="53" spans="1:87" s="252" customFormat="1" ht="9.9499999999999993" customHeight="1">
      <c r="A53" s="238"/>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38"/>
      <c r="AV53" s="238"/>
      <c r="AW53" s="285"/>
      <c r="AX53" s="294"/>
      <c r="AY53" s="294"/>
      <c r="AZ53" s="294"/>
      <c r="BA53" s="294"/>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1525" t="s">
        <v>85</v>
      </c>
      <c r="BX53" s="1525"/>
      <c r="BY53" s="1517">
        <v>1</v>
      </c>
      <c r="BZ53" s="1517"/>
      <c r="CA53" s="294"/>
    </row>
    <row r="54" spans="1:87" s="252" customFormat="1" ht="9.9499999999999993" customHeight="1">
      <c r="A54" s="238"/>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38"/>
      <c r="AV54" s="238"/>
      <c r="AW54" s="285"/>
      <c r="AX54" s="294"/>
      <c r="AY54" s="294"/>
      <c r="AZ54" s="294"/>
      <c r="BA54" s="294"/>
      <c r="BB54" s="294"/>
      <c r="BC54" s="294"/>
      <c r="BD54" s="294"/>
      <c r="BE54" s="294"/>
      <c r="BF54" s="294"/>
      <c r="BG54" s="294"/>
      <c r="BH54" s="294"/>
      <c r="BI54" s="294"/>
      <c r="BJ54" s="294"/>
      <c r="BK54" s="294"/>
      <c r="BL54" s="294"/>
      <c r="BM54" s="294"/>
      <c r="BN54" s="294"/>
      <c r="BO54" s="294"/>
      <c r="BP54" s="294"/>
      <c r="BQ54" s="294"/>
      <c r="BR54" s="294"/>
      <c r="BS54" s="294"/>
      <c r="BT54" s="294"/>
      <c r="BU54" s="294"/>
      <c r="BV54" s="294"/>
      <c r="BW54" s="294"/>
      <c r="BX54" s="294"/>
      <c r="BY54" s="294"/>
      <c r="BZ54" s="294"/>
      <c r="CA54" s="294"/>
    </row>
    <row r="55" spans="1:87" s="252" customFormat="1" ht="12" customHeight="1">
      <c r="A55" s="1526" t="s">
        <v>84</v>
      </c>
      <c r="B55" s="1526"/>
      <c r="C55" s="1526"/>
      <c r="D55" s="1526"/>
      <c r="E55" s="1526"/>
      <c r="F55" s="1526"/>
      <c r="G55" s="1526"/>
      <c r="H55" s="1527" t="str">
        <f>CONCATENATE('01 使用承認申請書'!D4)</f>
        <v/>
      </c>
      <c r="I55" s="1527"/>
      <c r="J55" s="1527"/>
      <c r="K55" s="1527"/>
      <c r="L55" s="1527"/>
      <c r="M55" s="1527"/>
      <c r="N55" s="1527"/>
      <c r="O55" s="1527"/>
      <c r="P55" s="1527"/>
      <c r="Q55" s="1527"/>
      <c r="R55" s="1527"/>
      <c r="S55" s="1527"/>
      <c r="T55" s="1527"/>
      <c r="U55" s="1527"/>
      <c r="V55" s="1527"/>
      <c r="W55" s="1527"/>
      <c r="X55" s="1526" t="s">
        <v>82</v>
      </c>
      <c r="Y55" s="1526"/>
      <c r="Z55" s="1526"/>
      <c r="AA55" s="1526"/>
      <c r="AB55" s="1526"/>
      <c r="AC55" s="1526"/>
      <c r="AD55" s="1526"/>
      <c r="AE55" s="1518" t="str">
        <f>CONCATENATE('01 使用承認申請書'!B12)</f>
        <v/>
      </c>
      <c r="AF55" s="1518"/>
      <c r="AG55" s="1518"/>
      <c r="AH55" s="1518"/>
      <c r="AI55" s="1516" t="s">
        <v>16</v>
      </c>
      <c r="AJ55" s="1516"/>
      <c r="AK55" s="1518" t="str">
        <f>CONCATENATE('01 使用承認申請書'!C14)</f>
        <v/>
      </c>
      <c r="AL55" s="1518"/>
      <c r="AM55" s="1516" t="s">
        <v>15</v>
      </c>
      <c r="AN55" s="1516"/>
      <c r="AO55" s="1518" t="str">
        <f>CONCATENATE('01 使用承認申請書'!F14)</f>
        <v/>
      </c>
      <c r="AP55" s="1518"/>
      <c r="AQ55" s="1516" t="s">
        <v>14</v>
      </c>
      <c r="AR55" s="1516"/>
      <c r="AS55" s="1516" t="s">
        <v>38</v>
      </c>
      <c r="AT55" s="1516"/>
      <c r="AU55" s="1518" t="str">
        <f>CONCATENATE('01 使用承認申請書'!J14)</f>
        <v/>
      </c>
      <c r="AV55" s="1518"/>
      <c r="AW55" s="1516" t="s">
        <v>37</v>
      </c>
      <c r="AX55" s="1516"/>
      <c r="AY55" s="1516" t="s">
        <v>35</v>
      </c>
      <c r="AZ55" s="1516"/>
      <c r="BA55" s="1518" t="str">
        <f>CONCATENATE('01 使用承認申請書'!C16)</f>
        <v/>
      </c>
      <c r="BB55" s="1518"/>
      <c r="BC55" s="1516" t="s">
        <v>15</v>
      </c>
      <c r="BD55" s="1516"/>
      <c r="BE55" s="1518" t="str">
        <f>CONCATENATE('01 使用承認申請書'!F16)</f>
        <v/>
      </c>
      <c r="BF55" s="1518"/>
      <c r="BG55" s="1516" t="s">
        <v>14</v>
      </c>
      <c r="BH55" s="1516"/>
      <c r="BI55" s="1516" t="s">
        <v>38</v>
      </c>
      <c r="BJ55" s="1516"/>
      <c r="BK55" s="1518" t="str">
        <f>CONCATENATE('01 使用承認申請書'!J16)</f>
        <v/>
      </c>
      <c r="BL55" s="1518"/>
      <c r="BM55" s="1516" t="s">
        <v>37</v>
      </c>
      <c r="BN55" s="1516"/>
      <c r="BO55" s="1516"/>
      <c r="BP55" s="1520"/>
      <c r="BQ55" s="1516"/>
      <c r="BR55" s="1516"/>
      <c r="BS55" s="1524" t="str">
        <f>CONCATENATE('01 使用承認申請書'!L13)</f>
        <v/>
      </c>
      <c r="BT55" s="1524"/>
      <c r="BU55" s="1516" t="s">
        <v>46</v>
      </c>
      <c r="BV55" s="1516"/>
      <c r="BW55" s="1524" t="str">
        <f>CONCATENATE('01 使用承認申請書'!Q13)</f>
        <v/>
      </c>
      <c r="BX55" s="1524"/>
      <c r="BY55" s="1516" t="s">
        <v>14</v>
      </c>
      <c r="BZ55" s="1516"/>
      <c r="CA55" s="294"/>
    </row>
    <row r="56" spans="1:87" s="252" customFormat="1" ht="12" customHeight="1">
      <c r="A56" s="1162"/>
      <c r="B56" s="1162"/>
      <c r="C56" s="1162"/>
      <c r="D56" s="1162"/>
      <c r="E56" s="1162"/>
      <c r="F56" s="1162"/>
      <c r="G56" s="1162"/>
      <c r="H56" s="1528"/>
      <c r="I56" s="1528"/>
      <c r="J56" s="1528"/>
      <c r="K56" s="1528"/>
      <c r="L56" s="1528"/>
      <c r="M56" s="1528"/>
      <c r="N56" s="1528"/>
      <c r="O56" s="1528"/>
      <c r="P56" s="1528"/>
      <c r="Q56" s="1528"/>
      <c r="R56" s="1528"/>
      <c r="S56" s="1528"/>
      <c r="T56" s="1528"/>
      <c r="U56" s="1528"/>
      <c r="V56" s="1528"/>
      <c r="W56" s="1528"/>
      <c r="X56" s="1162"/>
      <c r="Y56" s="1162"/>
      <c r="Z56" s="1162"/>
      <c r="AA56" s="1162"/>
      <c r="AB56" s="1162"/>
      <c r="AC56" s="1162"/>
      <c r="AD56" s="1162"/>
      <c r="AE56" s="1519"/>
      <c r="AF56" s="1519"/>
      <c r="AG56" s="1519"/>
      <c r="AH56" s="1519"/>
      <c r="AI56" s="1517"/>
      <c r="AJ56" s="1517"/>
      <c r="AK56" s="1519"/>
      <c r="AL56" s="1519"/>
      <c r="AM56" s="1517"/>
      <c r="AN56" s="1517"/>
      <c r="AO56" s="1519"/>
      <c r="AP56" s="1519"/>
      <c r="AQ56" s="1517"/>
      <c r="AR56" s="1517"/>
      <c r="AS56" s="1517"/>
      <c r="AT56" s="1517"/>
      <c r="AU56" s="1519"/>
      <c r="AV56" s="1519"/>
      <c r="AW56" s="1517"/>
      <c r="AX56" s="1517"/>
      <c r="AY56" s="1517"/>
      <c r="AZ56" s="1517"/>
      <c r="BA56" s="1519"/>
      <c r="BB56" s="1519"/>
      <c r="BC56" s="1517"/>
      <c r="BD56" s="1517"/>
      <c r="BE56" s="1519"/>
      <c r="BF56" s="1519"/>
      <c r="BG56" s="1517"/>
      <c r="BH56" s="1517"/>
      <c r="BI56" s="1517"/>
      <c r="BJ56" s="1517"/>
      <c r="BK56" s="1519"/>
      <c r="BL56" s="1519"/>
      <c r="BM56" s="1517"/>
      <c r="BN56" s="1517"/>
      <c r="BO56" s="1291"/>
      <c r="BP56" s="1291"/>
      <c r="BQ56" s="1517"/>
      <c r="BR56" s="1517"/>
      <c r="BS56" s="1517" t="s">
        <v>47</v>
      </c>
      <c r="BT56" s="1517"/>
      <c r="BU56" s="1517"/>
      <c r="BV56" s="1517"/>
      <c r="BW56" s="1529" t="str">
        <f>CONCATENATE('01 使用承認申請書'!V13)</f>
        <v/>
      </c>
      <c r="BX56" s="1529"/>
      <c r="BY56" s="1517" t="s">
        <v>14</v>
      </c>
      <c r="BZ56" s="1517"/>
      <c r="CA56" s="294"/>
    </row>
    <row r="57" spans="1:87" s="252" customFormat="1" ht="12" customHeight="1">
      <c r="A57" s="744"/>
      <c r="B57" s="744"/>
      <c r="C57" s="744"/>
      <c r="D57" s="744"/>
      <c r="E57" s="744"/>
      <c r="F57" s="744"/>
      <c r="G57" s="744"/>
      <c r="H57" s="745"/>
      <c r="I57" s="745"/>
      <c r="J57" s="745"/>
      <c r="K57" s="745"/>
      <c r="L57" s="745"/>
      <c r="M57" s="745"/>
      <c r="N57" s="745"/>
      <c r="O57" s="745"/>
      <c r="P57" s="745"/>
      <c r="Q57" s="745"/>
      <c r="R57" s="745"/>
      <c r="S57" s="745"/>
      <c r="T57" s="745"/>
      <c r="U57" s="745"/>
      <c r="V57" s="745"/>
      <c r="W57" s="745"/>
      <c r="X57" s="744"/>
      <c r="Y57" s="744"/>
      <c r="Z57" s="744"/>
      <c r="AA57" s="744"/>
      <c r="AB57" s="744"/>
      <c r="AC57" s="744"/>
      <c r="AD57" s="744"/>
      <c r="AE57" s="741"/>
      <c r="AF57" s="741"/>
      <c r="AG57" s="742"/>
      <c r="AH57" s="648"/>
      <c r="AI57" s="746"/>
      <c r="AJ57" s="741"/>
      <c r="AK57" s="742"/>
      <c r="AL57" s="742"/>
      <c r="AM57" s="741"/>
      <c r="AN57" s="741"/>
      <c r="AO57" s="742"/>
      <c r="AP57" s="742"/>
      <c r="AQ57" s="741"/>
      <c r="AR57" s="741"/>
      <c r="AS57" s="741"/>
      <c r="AT57" s="741"/>
      <c r="AU57" s="742"/>
      <c r="AV57" s="742"/>
      <c r="AW57" s="741"/>
      <c r="AX57" s="741"/>
      <c r="AY57" s="741"/>
      <c r="AZ57" s="741"/>
      <c r="BA57" s="742"/>
      <c r="BB57" s="742"/>
      <c r="BC57" s="741"/>
      <c r="BD57" s="741"/>
      <c r="BE57" s="742"/>
      <c r="BF57" s="742"/>
      <c r="BG57" s="741"/>
      <c r="BH57" s="741"/>
      <c r="BI57" s="741"/>
      <c r="BJ57" s="741"/>
      <c r="BK57" s="742"/>
      <c r="BL57" s="742"/>
      <c r="BM57" s="741"/>
      <c r="BN57" s="741"/>
      <c r="BO57" s="743"/>
      <c r="BP57" s="743"/>
      <c r="BQ57" s="741"/>
      <c r="BR57" s="741"/>
      <c r="BS57" s="741"/>
      <c r="BT57" s="741"/>
      <c r="BU57" s="741"/>
      <c r="BV57" s="741"/>
      <c r="BW57" s="649"/>
      <c r="BX57" s="649"/>
      <c r="BY57" s="741"/>
      <c r="BZ57" s="741"/>
      <c r="CA57" s="294"/>
    </row>
    <row r="58" spans="1:87" ht="10.5" customHeight="1">
      <c r="A58" s="650"/>
      <c r="B58" s="650"/>
      <c r="C58" s="650"/>
      <c r="D58" s="650"/>
      <c r="E58" s="650"/>
      <c r="F58" s="650"/>
      <c r="G58" s="651"/>
      <c r="H58" s="650"/>
      <c r="I58" s="650"/>
      <c r="J58" s="650"/>
      <c r="K58" s="650"/>
      <c r="L58" s="650"/>
      <c r="M58" s="1505">
        <v>0.28125</v>
      </c>
      <c r="N58" s="1506"/>
      <c r="O58" s="1506"/>
      <c r="P58" s="1506"/>
      <c r="Q58" s="1507" t="s">
        <v>1901</v>
      </c>
      <c r="R58" s="1507"/>
      <c r="S58" s="1507"/>
      <c r="T58" s="1505">
        <v>0.36458333333333331</v>
      </c>
      <c r="U58" s="1506"/>
      <c r="V58" s="1506"/>
      <c r="W58" s="1506"/>
      <c r="X58" s="650"/>
      <c r="Y58" s="650"/>
      <c r="Z58" s="650"/>
      <c r="AA58" s="652"/>
      <c r="AB58" s="652"/>
      <c r="AC58" s="652"/>
      <c r="AD58" s="652"/>
      <c r="AE58" s="652"/>
      <c r="AF58" s="1505">
        <v>0.47916666666666669</v>
      </c>
      <c r="AG58" s="1506"/>
      <c r="AH58" s="1506"/>
      <c r="AI58" s="1506"/>
      <c r="AJ58" s="1507" t="s">
        <v>1901</v>
      </c>
      <c r="AK58" s="1507"/>
      <c r="AL58" s="1507"/>
      <c r="AM58" s="1505">
        <v>6.25E-2</v>
      </c>
      <c r="AN58" s="1506"/>
      <c r="AO58" s="1506"/>
      <c r="AP58" s="1506"/>
      <c r="AQ58" s="652"/>
      <c r="AR58" s="652"/>
      <c r="AS58" s="652"/>
      <c r="AT58" s="652"/>
      <c r="AU58" s="652"/>
      <c r="AV58" s="652"/>
      <c r="AW58" s="652"/>
      <c r="AX58" s="652"/>
      <c r="AY58" s="652"/>
      <c r="AZ58" s="652"/>
      <c r="BA58" s="1505">
        <v>0.20833333333333334</v>
      </c>
      <c r="BB58" s="1506"/>
      <c r="BC58" s="1506"/>
      <c r="BD58" s="1506"/>
      <c r="BE58" s="1507" t="s">
        <v>1901</v>
      </c>
      <c r="BF58" s="1507"/>
      <c r="BG58" s="1507"/>
      <c r="BH58" s="1507"/>
      <c r="BI58" s="1505">
        <v>0.29166666666666669</v>
      </c>
      <c r="BJ58" s="1506"/>
      <c r="BK58" s="1506"/>
      <c r="BL58" s="1506"/>
      <c r="BM58" s="652"/>
      <c r="BN58" s="652"/>
      <c r="BO58" s="652"/>
      <c r="BP58" s="652"/>
      <c r="BQ58" s="652"/>
      <c r="BR58" s="652"/>
      <c r="BS58" s="652"/>
      <c r="BT58" s="652"/>
      <c r="BU58" s="652"/>
      <c r="BV58" s="652"/>
      <c r="BW58" s="652"/>
      <c r="BX58" s="652"/>
      <c r="BY58" s="652"/>
      <c r="BZ58" s="652"/>
      <c r="CA58" s="652"/>
    </row>
    <row r="59" spans="1:87" ht="10.5" customHeight="1">
      <c r="A59" s="650"/>
      <c r="B59" s="650"/>
      <c r="C59" s="650"/>
      <c r="D59" s="650"/>
      <c r="E59" s="650"/>
      <c r="F59" s="650"/>
      <c r="G59" s="651"/>
      <c r="H59" s="650"/>
      <c r="I59" s="650"/>
      <c r="J59" s="650"/>
      <c r="K59" s="650"/>
      <c r="L59" s="650"/>
      <c r="M59" s="650"/>
      <c r="N59" s="650"/>
      <c r="O59" s="1491" t="s">
        <v>1837</v>
      </c>
      <c r="P59" s="1492"/>
      <c r="Q59" s="1492"/>
      <c r="R59" s="1492"/>
      <c r="S59" s="1492"/>
      <c r="T59" s="1493"/>
      <c r="U59" s="650"/>
      <c r="V59" s="650"/>
      <c r="W59" s="650"/>
      <c r="X59" s="650"/>
      <c r="Y59" s="650"/>
      <c r="Z59" s="650"/>
      <c r="AA59" s="652"/>
      <c r="AB59" s="652"/>
      <c r="AC59" s="652"/>
      <c r="AD59" s="652"/>
      <c r="AE59" s="652"/>
      <c r="AF59" s="654"/>
      <c r="AG59" s="654"/>
      <c r="AH59" s="1491" t="s">
        <v>1837</v>
      </c>
      <c r="AI59" s="1494"/>
      <c r="AJ59" s="1494"/>
      <c r="AK59" s="1494"/>
      <c r="AL59" s="1494"/>
      <c r="AM59" s="1494"/>
      <c r="AN59" s="1495"/>
      <c r="AO59" s="652"/>
      <c r="AP59" s="652"/>
      <c r="AQ59" s="652"/>
      <c r="AR59" s="652"/>
      <c r="AS59" s="652"/>
      <c r="AT59" s="652"/>
      <c r="AU59" s="652"/>
      <c r="AV59" s="652"/>
      <c r="AW59" s="652"/>
      <c r="AX59" s="652"/>
      <c r="AY59" s="652"/>
      <c r="AZ59" s="652"/>
      <c r="BA59" s="652"/>
      <c r="BB59" s="652"/>
      <c r="BC59" s="1496" t="s">
        <v>1837</v>
      </c>
      <c r="BD59" s="1494"/>
      <c r="BE59" s="1494"/>
      <c r="BF59" s="1494"/>
      <c r="BG59" s="1494"/>
      <c r="BH59" s="1494"/>
      <c r="BI59" s="1494"/>
      <c r="BJ59" s="1495"/>
      <c r="BK59" s="652"/>
      <c r="BL59" s="652"/>
      <c r="BM59" s="652"/>
      <c r="BN59" s="652"/>
      <c r="BO59" s="652"/>
      <c r="BP59" s="652"/>
      <c r="BQ59" s="652"/>
      <c r="BR59" s="652"/>
      <c r="BS59" s="652"/>
      <c r="BT59" s="652"/>
      <c r="BU59" s="652"/>
      <c r="BV59" s="652"/>
      <c r="BW59" s="652"/>
      <c r="BX59" s="652"/>
      <c r="BY59" s="652"/>
      <c r="BZ59" s="652"/>
      <c r="CA59" s="652"/>
    </row>
    <row r="60" spans="1:87" ht="10.5" customHeight="1">
      <c r="A60" s="1497" t="s">
        <v>80</v>
      </c>
      <c r="B60" s="1497"/>
      <c r="C60" s="1497"/>
      <c r="D60" s="1497" t="s">
        <v>79</v>
      </c>
      <c r="E60" s="1497"/>
      <c r="F60" s="1497"/>
      <c r="G60" s="651"/>
      <c r="H60" s="650"/>
      <c r="I60" s="650"/>
      <c r="J60" s="650"/>
      <c r="K60" s="650"/>
      <c r="L60" s="650"/>
      <c r="M60" s="650"/>
      <c r="N60" s="650"/>
      <c r="O60" s="650"/>
      <c r="P60" s="650"/>
      <c r="Q60" s="650"/>
      <c r="R60" s="650"/>
      <c r="S60" s="650"/>
      <c r="T60" s="650"/>
      <c r="U60" s="650"/>
      <c r="V60" s="650"/>
      <c r="W60" s="650"/>
      <c r="X60" s="650"/>
      <c r="Y60" s="650"/>
      <c r="Z60" s="650"/>
      <c r="AA60" s="652"/>
      <c r="AB60" s="652"/>
      <c r="AC60" s="652"/>
      <c r="AD60" s="652"/>
      <c r="AE60" s="652"/>
      <c r="AF60" s="654"/>
      <c r="AG60" s="654"/>
      <c r="AH60" s="655"/>
      <c r="AI60" s="1498" t="s">
        <v>1404</v>
      </c>
      <c r="AJ60" s="1498"/>
      <c r="AK60" s="1498"/>
      <c r="AL60" s="1498"/>
      <c r="AM60" s="1498"/>
      <c r="AN60" s="1498"/>
      <c r="AO60" s="1498"/>
      <c r="AP60" s="1498"/>
      <c r="AQ60" s="1498"/>
      <c r="AR60" s="1498"/>
      <c r="AS60" s="1498"/>
      <c r="AT60" s="1498"/>
      <c r="AU60" s="1498"/>
      <c r="AV60" s="1498"/>
      <c r="AW60" s="1498"/>
      <c r="AX60" s="1498"/>
      <c r="AY60" s="1499" t="s">
        <v>1405</v>
      </c>
      <c r="AZ60" s="1500"/>
      <c r="BA60" s="1500"/>
      <c r="BB60" s="1500"/>
      <c r="BC60" s="1500"/>
      <c r="BD60" s="1500"/>
      <c r="BE60" s="1500"/>
      <c r="BF60" s="1500"/>
      <c r="BG60" s="1500"/>
      <c r="BH60" s="1500"/>
      <c r="BI60" s="1500"/>
      <c r="BJ60" s="1500"/>
      <c r="BK60" s="1500"/>
      <c r="BL60" s="1500"/>
      <c r="BM60" s="1500"/>
      <c r="BN60" s="1500"/>
      <c r="BO60" s="1500"/>
      <c r="BP60" s="1500"/>
      <c r="BQ60" s="1500"/>
      <c r="BR60" s="1500"/>
      <c r="BS60" s="1500"/>
      <c r="BT60" s="1501"/>
      <c r="BU60" s="1502" t="s">
        <v>76</v>
      </c>
      <c r="BV60" s="1503"/>
      <c r="BW60" s="1503"/>
      <c r="BX60" s="1503"/>
      <c r="BY60" s="1503"/>
      <c r="BZ60" s="1504"/>
      <c r="CA60" s="652"/>
    </row>
    <row r="61" spans="1:87" ht="10.5" customHeight="1">
      <c r="A61" s="1497"/>
      <c r="B61" s="1497"/>
      <c r="C61" s="1497"/>
      <c r="D61" s="1497"/>
      <c r="E61" s="1497"/>
      <c r="F61" s="1497"/>
      <c r="G61" s="1461"/>
      <c r="H61" s="1461"/>
      <c r="I61" s="1391">
        <v>0.25</v>
      </c>
      <c r="J61" s="1391"/>
      <c r="K61" s="1391"/>
      <c r="L61" s="1391"/>
      <c r="M61" s="1391">
        <v>0.29166666666666669</v>
      </c>
      <c r="N61" s="1391"/>
      <c r="O61" s="1391"/>
      <c r="P61" s="1391"/>
      <c r="Q61" s="1391">
        <v>0.33333333333333331</v>
      </c>
      <c r="R61" s="1391"/>
      <c r="S61" s="1391"/>
      <c r="T61" s="1391"/>
      <c r="U61" s="1391">
        <v>0.375</v>
      </c>
      <c r="V61" s="1391"/>
      <c r="W61" s="1391"/>
      <c r="X61" s="1391"/>
      <c r="Y61" s="1391">
        <v>0.41666666666666669</v>
      </c>
      <c r="Z61" s="1418"/>
      <c r="AA61" s="1391"/>
      <c r="AB61" s="1391"/>
      <c r="AC61" s="1391">
        <v>0.45833333333333331</v>
      </c>
      <c r="AD61" s="1391"/>
      <c r="AE61" s="1391"/>
      <c r="AF61" s="1391"/>
      <c r="AG61" s="1385">
        <v>0.5</v>
      </c>
      <c r="AH61" s="1385"/>
      <c r="AI61" s="1385"/>
      <c r="AJ61" s="1385"/>
      <c r="AK61" s="1385">
        <v>4.1666666666666664E-2</v>
      </c>
      <c r="AL61" s="1385"/>
      <c r="AM61" s="1385"/>
      <c r="AN61" s="1385"/>
      <c r="AO61" s="1385">
        <v>8.3333333333333329E-2</v>
      </c>
      <c r="AP61" s="1385"/>
      <c r="AQ61" s="1385"/>
      <c r="AR61" s="1385"/>
      <c r="AS61" s="1385">
        <v>0.125</v>
      </c>
      <c r="AT61" s="1385"/>
      <c r="AU61" s="1385"/>
      <c r="AV61" s="1385"/>
      <c r="AW61" s="1385">
        <v>0.16666666666666666</v>
      </c>
      <c r="AX61" s="1385"/>
      <c r="AY61" s="1385"/>
      <c r="AZ61" s="1385"/>
      <c r="BA61" s="1385">
        <v>0.20833333333333334</v>
      </c>
      <c r="BB61" s="1385"/>
      <c r="BC61" s="1385"/>
      <c r="BD61" s="1385"/>
      <c r="BE61" s="1385">
        <v>0.25</v>
      </c>
      <c r="BF61" s="1385"/>
      <c r="BG61" s="1385"/>
      <c r="BH61" s="1385"/>
      <c r="BI61" s="1385">
        <v>0.29166666666666669</v>
      </c>
      <c r="BJ61" s="1385"/>
      <c r="BK61" s="1385"/>
      <c r="BL61" s="1385"/>
      <c r="BM61" s="1385">
        <v>0.33333333333333331</v>
      </c>
      <c r="BN61" s="1385"/>
      <c r="BO61" s="1385"/>
      <c r="BP61" s="1385"/>
      <c r="BQ61" s="1385">
        <v>0.375</v>
      </c>
      <c r="BR61" s="1385"/>
      <c r="BS61" s="1385"/>
      <c r="BT61" s="1385"/>
      <c r="BU61" s="1385">
        <v>0.41666666666666669</v>
      </c>
      <c r="BV61" s="1414"/>
      <c r="BW61" s="1414"/>
      <c r="BX61" s="1414"/>
      <c r="BY61" s="1385"/>
      <c r="BZ61" s="1385"/>
      <c r="CA61" s="656"/>
      <c r="CB61" s="657"/>
      <c r="CC61" s="657"/>
      <c r="CD61" s="657"/>
      <c r="CE61" s="657"/>
      <c r="CF61" s="657"/>
      <c r="CG61" s="657"/>
      <c r="CH61" s="657"/>
      <c r="CI61" s="657"/>
    </row>
    <row r="62" spans="1:87" ht="9.9499999999999993" customHeight="1">
      <c r="A62" s="1482" t="str">
        <f>AK55</f>
        <v/>
      </c>
      <c r="B62" s="1482"/>
      <c r="C62" s="1482"/>
      <c r="D62" s="1390" t="s">
        <v>78</v>
      </c>
      <c r="E62" s="1390"/>
      <c r="F62" s="1390"/>
      <c r="G62" s="1395" t="s">
        <v>3026</v>
      </c>
      <c r="H62" s="1396"/>
      <c r="I62" s="1396"/>
      <c r="J62" s="1396"/>
      <c r="K62" s="1396"/>
      <c r="L62" s="1396"/>
      <c r="M62" s="1396"/>
      <c r="N62" s="1396"/>
      <c r="O62" s="1396"/>
      <c r="P62" s="1396"/>
      <c r="Q62" s="1396"/>
      <c r="R62" s="1396"/>
      <c r="S62" s="1396"/>
      <c r="T62" s="1396"/>
      <c r="U62" s="1396"/>
      <c r="V62" s="1397"/>
      <c r="W62" s="658"/>
      <c r="X62" s="658"/>
      <c r="Y62" s="658"/>
      <c r="Z62" s="658"/>
      <c r="AA62" s="734"/>
      <c r="AB62" s="735"/>
      <c r="AC62" s="735"/>
      <c r="AD62" s="735"/>
      <c r="AE62" s="661"/>
      <c r="AF62" s="662"/>
      <c r="AG62" s="663"/>
      <c r="AH62" s="664"/>
      <c r="AI62" s="663"/>
      <c r="AJ62" s="663"/>
      <c r="AK62" s="663"/>
      <c r="AL62" s="664"/>
      <c r="AM62" s="663"/>
      <c r="AN62" s="663"/>
      <c r="AO62" s="663"/>
      <c r="AP62" s="663"/>
      <c r="AQ62" s="665"/>
      <c r="AR62" s="663"/>
      <c r="AS62" s="736"/>
      <c r="AT62" s="736"/>
      <c r="AU62" s="661"/>
      <c r="AV62" s="663"/>
      <c r="AW62" s="663"/>
      <c r="AX62" s="663"/>
      <c r="AY62" s="665"/>
      <c r="AZ62" s="663"/>
      <c r="BA62" s="663"/>
      <c r="BB62" s="663"/>
      <c r="BC62" s="1437" t="s">
        <v>3036</v>
      </c>
      <c r="BD62" s="1513"/>
      <c r="BE62" s="1513"/>
      <c r="BF62" s="1438"/>
      <c r="BG62" s="1465" t="s">
        <v>3016</v>
      </c>
      <c r="BH62" s="1465"/>
      <c r="BI62" s="1465"/>
      <c r="BJ62" s="1465"/>
      <c r="BK62" s="1464" t="s">
        <v>3014</v>
      </c>
      <c r="BL62" s="1464"/>
      <c r="BM62" s="1464"/>
      <c r="BN62" s="1464"/>
      <c r="BO62" s="735"/>
      <c r="BP62" s="663"/>
      <c r="BQ62" s="736"/>
      <c r="BR62" s="736"/>
      <c r="BS62" s="661"/>
      <c r="BT62" s="663"/>
      <c r="BU62" s="663"/>
      <c r="BV62" s="663"/>
      <c r="BW62" s="734"/>
      <c r="BX62" s="736"/>
      <c r="BY62" s="736"/>
      <c r="BZ62" s="737"/>
      <c r="CA62" s="668"/>
      <c r="CB62" s="657"/>
      <c r="CC62" s="657"/>
      <c r="CD62" s="657"/>
      <c r="CE62" s="657"/>
      <c r="CF62" s="657"/>
      <c r="CG62" s="657"/>
      <c r="CH62" s="657"/>
      <c r="CI62" s="657"/>
    </row>
    <row r="63" spans="1:87" ht="9.9499999999999993" customHeight="1">
      <c r="A63" s="1482"/>
      <c r="B63" s="1482"/>
      <c r="C63" s="1482"/>
      <c r="D63" s="1390"/>
      <c r="E63" s="1390"/>
      <c r="F63" s="1390"/>
      <c r="G63" s="1398"/>
      <c r="H63" s="1399"/>
      <c r="I63" s="1399"/>
      <c r="J63" s="1399"/>
      <c r="K63" s="1399"/>
      <c r="L63" s="1399"/>
      <c r="M63" s="1399"/>
      <c r="N63" s="1399"/>
      <c r="O63" s="1399"/>
      <c r="P63" s="1399"/>
      <c r="Q63" s="1399"/>
      <c r="R63" s="1399"/>
      <c r="S63" s="1399"/>
      <c r="T63" s="1399"/>
      <c r="U63" s="1399"/>
      <c r="V63" s="1400"/>
      <c r="W63" s="669"/>
      <c r="X63" s="669"/>
      <c r="Y63" s="669"/>
      <c r="Z63" s="669"/>
      <c r="AA63" s="736"/>
      <c r="AB63" s="736"/>
      <c r="AC63" s="736"/>
      <c r="AD63" s="670"/>
      <c r="AE63" s="663"/>
      <c r="AF63" s="663"/>
      <c r="AG63" s="663"/>
      <c r="AH63" s="671"/>
      <c r="AI63" s="663"/>
      <c r="AJ63" s="663"/>
      <c r="AK63" s="663"/>
      <c r="AL63" s="671"/>
      <c r="AM63" s="663"/>
      <c r="AN63" s="663"/>
      <c r="AO63" s="663"/>
      <c r="AP63" s="671"/>
      <c r="AQ63" s="663"/>
      <c r="AR63" s="663"/>
      <c r="AS63" s="736"/>
      <c r="AT63" s="670"/>
      <c r="AU63" s="663"/>
      <c r="AV63" s="663"/>
      <c r="AW63" s="663"/>
      <c r="AX63" s="671"/>
      <c r="AY63" s="663"/>
      <c r="AZ63" s="663"/>
      <c r="BA63" s="663"/>
      <c r="BB63" s="663"/>
      <c r="BC63" s="1439"/>
      <c r="BD63" s="1514"/>
      <c r="BE63" s="1514"/>
      <c r="BF63" s="1440"/>
      <c r="BG63" s="1465"/>
      <c r="BH63" s="1465"/>
      <c r="BI63" s="1465"/>
      <c r="BJ63" s="1465"/>
      <c r="BK63" s="1464"/>
      <c r="BL63" s="1464"/>
      <c r="BM63" s="1464"/>
      <c r="BN63" s="1464"/>
      <c r="BO63" s="736"/>
      <c r="BP63" s="663"/>
      <c r="BQ63" s="736"/>
      <c r="BR63" s="670"/>
      <c r="BS63" s="663"/>
      <c r="BT63" s="663"/>
      <c r="BU63" s="663"/>
      <c r="BV63" s="671"/>
      <c r="BW63" s="736"/>
      <c r="BX63" s="736"/>
      <c r="BY63" s="736"/>
      <c r="BZ63" s="737"/>
      <c r="CA63" s="668"/>
      <c r="CB63" s="657"/>
      <c r="CC63" s="657"/>
      <c r="CD63" s="657"/>
      <c r="CE63" s="657"/>
      <c r="CF63" s="657"/>
      <c r="CG63" s="657"/>
      <c r="CH63" s="657"/>
      <c r="CI63" s="657"/>
    </row>
    <row r="64" spans="1:87" ht="9.9499999999999993" customHeight="1">
      <c r="A64" s="1483"/>
      <c r="B64" s="1483"/>
      <c r="C64" s="1483"/>
      <c r="D64" s="1390"/>
      <c r="E64" s="1390"/>
      <c r="F64" s="1390"/>
      <c r="G64" s="1398"/>
      <c r="H64" s="1399"/>
      <c r="I64" s="1399"/>
      <c r="J64" s="1399"/>
      <c r="K64" s="1399"/>
      <c r="L64" s="1399"/>
      <c r="M64" s="1399"/>
      <c r="N64" s="1399"/>
      <c r="O64" s="1399"/>
      <c r="P64" s="1399"/>
      <c r="Q64" s="1399"/>
      <c r="R64" s="1399"/>
      <c r="S64" s="1399"/>
      <c r="T64" s="1399"/>
      <c r="U64" s="1399"/>
      <c r="V64" s="1400"/>
      <c r="W64" s="669"/>
      <c r="X64" s="669"/>
      <c r="Y64" s="669"/>
      <c r="Z64" s="669"/>
      <c r="AA64" s="736"/>
      <c r="AB64" s="736"/>
      <c r="AC64" s="736"/>
      <c r="AD64" s="670"/>
      <c r="AE64" s="663"/>
      <c r="AF64" s="663"/>
      <c r="AG64" s="663"/>
      <c r="AH64" s="671"/>
      <c r="AI64" s="663"/>
      <c r="AJ64" s="663"/>
      <c r="AK64" s="663"/>
      <c r="AL64" s="671"/>
      <c r="AM64" s="663"/>
      <c r="AN64" s="663"/>
      <c r="AO64" s="663"/>
      <c r="AP64" s="671"/>
      <c r="AQ64" s="663"/>
      <c r="AR64" s="663"/>
      <c r="AS64" s="736"/>
      <c r="AT64" s="670"/>
      <c r="AU64" s="663"/>
      <c r="AV64" s="663"/>
      <c r="AW64" s="663"/>
      <c r="AX64" s="671"/>
      <c r="AY64" s="663"/>
      <c r="AZ64" s="663"/>
      <c r="BA64" s="663"/>
      <c r="BB64" s="663"/>
      <c r="BC64" s="1439"/>
      <c r="BD64" s="1514"/>
      <c r="BE64" s="1514"/>
      <c r="BF64" s="1440"/>
      <c r="BG64" s="1465"/>
      <c r="BH64" s="1465"/>
      <c r="BI64" s="1465"/>
      <c r="BJ64" s="1465"/>
      <c r="BK64" s="1464"/>
      <c r="BL64" s="1464"/>
      <c r="BM64" s="1464"/>
      <c r="BN64" s="1464"/>
      <c r="BO64" s="736"/>
      <c r="BP64" s="663"/>
      <c r="BQ64" s="736"/>
      <c r="BR64" s="670"/>
      <c r="BS64" s="663"/>
      <c r="BT64" s="663"/>
      <c r="BU64" s="663"/>
      <c r="BV64" s="671"/>
      <c r="BW64" s="736"/>
      <c r="BX64" s="736"/>
      <c r="BY64" s="736"/>
      <c r="BZ64" s="737"/>
      <c r="CA64" s="672"/>
      <c r="CB64" s="657"/>
      <c r="CC64" s="657"/>
      <c r="CD64" s="657"/>
      <c r="CE64" s="657"/>
      <c r="CF64" s="657"/>
      <c r="CG64" s="657"/>
      <c r="CH64" s="657"/>
      <c r="CI64" s="657"/>
    </row>
    <row r="65" spans="1:87" ht="9.9499999999999993" customHeight="1">
      <c r="A65" s="1389" t="s">
        <v>15</v>
      </c>
      <c r="B65" s="1389"/>
      <c r="C65" s="1389"/>
      <c r="D65" s="1390"/>
      <c r="E65" s="1390"/>
      <c r="F65" s="1390"/>
      <c r="G65" s="1398"/>
      <c r="H65" s="1399"/>
      <c r="I65" s="1399"/>
      <c r="J65" s="1399"/>
      <c r="K65" s="1399"/>
      <c r="L65" s="1399"/>
      <c r="M65" s="1399"/>
      <c r="N65" s="1399"/>
      <c r="O65" s="1399"/>
      <c r="P65" s="1399"/>
      <c r="Q65" s="1399"/>
      <c r="R65" s="1399"/>
      <c r="S65" s="1399"/>
      <c r="T65" s="1399"/>
      <c r="U65" s="1399"/>
      <c r="V65" s="1400"/>
      <c r="W65" s="669"/>
      <c r="X65" s="669"/>
      <c r="Y65" s="669"/>
      <c r="Z65" s="669"/>
      <c r="AA65" s="736"/>
      <c r="AB65" s="736"/>
      <c r="AC65" s="736"/>
      <c r="AD65" s="670"/>
      <c r="AE65" s="663"/>
      <c r="AF65" s="663"/>
      <c r="AG65" s="663"/>
      <c r="AH65" s="671"/>
      <c r="AI65" s="663"/>
      <c r="AJ65" s="663"/>
      <c r="AK65" s="663"/>
      <c r="AL65" s="671"/>
      <c r="AM65" s="663"/>
      <c r="AN65" s="663"/>
      <c r="AO65" s="663"/>
      <c r="AP65" s="671"/>
      <c r="AQ65" s="663"/>
      <c r="AR65" s="663"/>
      <c r="AS65" s="736"/>
      <c r="AT65" s="670"/>
      <c r="AU65" s="663"/>
      <c r="AV65" s="663"/>
      <c r="AW65" s="663"/>
      <c r="AX65" s="671"/>
      <c r="AY65" s="663"/>
      <c r="AZ65" s="663"/>
      <c r="BA65" s="663"/>
      <c r="BB65" s="663"/>
      <c r="BC65" s="1439"/>
      <c r="BD65" s="1514"/>
      <c r="BE65" s="1514"/>
      <c r="BF65" s="1440"/>
      <c r="BG65" s="1465"/>
      <c r="BH65" s="1465"/>
      <c r="BI65" s="1465"/>
      <c r="BJ65" s="1465"/>
      <c r="BK65" s="1464"/>
      <c r="BL65" s="1464"/>
      <c r="BM65" s="1464"/>
      <c r="BN65" s="1464"/>
      <c r="BO65" s="736"/>
      <c r="BP65" s="663"/>
      <c r="BQ65" s="736"/>
      <c r="BR65" s="670"/>
      <c r="BS65" s="663"/>
      <c r="BT65" s="663"/>
      <c r="BU65" s="663"/>
      <c r="BV65" s="671"/>
      <c r="BW65" s="736"/>
      <c r="BX65" s="736"/>
      <c r="BY65" s="736"/>
      <c r="BZ65" s="737"/>
      <c r="CA65" s="672"/>
      <c r="CB65" s="657"/>
      <c r="CC65" s="657"/>
      <c r="CD65" s="657"/>
      <c r="CE65" s="657"/>
      <c r="CF65" s="657"/>
      <c r="CG65" s="657"/>
      <c r="CH65" s="657"/>
      <c r="CI65" s="657"/>
    </row>
    <row r="66" spans="1:87" ht="9.9499999999999993" customHeight="1">
      <c r="A66" s="1390"/>
      <c r="B66" s="1390"/>
      <c r="C66" s="1390"/>
      <c r="D66" s="1390"/>
      <c r="E66" s="1390"/>
      <c r="F66" s="1390"/>
      <c r="G66" s="1398"/>
      <c r="H66" s="1399"/>
      <c r="I66" s="1399"/>
      <c r="J66" s="1399"/>
      <c r="K66" s="1399"/>
      <c r="L66" s="1399"/>
      <c r="M66" s="1399"/>
      <c r="N66" s="1399"/>
      <c r="O66" s="1399"/>
      <c r="P66" s="1399"/>
      <c r="Q66" s="1399"/>
      <c r="R66" s="1399"/>
      <c r="S66" s="1399"/>
      <c r="T66" s="1399"/>
      <c r="U66" s="1399"/>
      <c r="V66" s="1400"/>
      <c r="W66" s="669"/>
      <c r="X66" s="669"/>
      <c r="Y66" s="669"/>
      <c r="Z66" s="669"/>
      <c r="AA66" s="736"/>
      <c r="AB66" s="736"/>
      <c r="AC66" s="736"/>
      <c r="AD66" s="670"/>
      <c r="AE66" s="663"/>
      <c r="AF66" s="663"/>
      <c r="AG66" s="663"/>
      <c r="AH66" s="671"/>
      <c r="AI66" s="663"/>
      <c r="AJ66" s="663"/>
      <c r="AK66" s="663"/>
      <c r="AL66" s="671"/>
      <c r="AM66" s="663"/>
      <c r="AN66" s="663"/>
      <c r="AO66" s="663"/>
      <c r="AP66" s="671"/>
      <c r="AQ66" s="663"/>
      <c r="AR66" s="663"/>
      <c r="AS66" s="736"/>
      <c r="AT66" s="670"/>
      <c r="AU66" s="663"/>
      <c r="AV66" s="663"/>
      <c r="AW66" s="663"/>
      <c r="AX66" s="671"/>
      <c r="AY66" s="663"/>
      <c r="AZ66" s="663"/>
      <c r="BA66" s="663"/>
      <c r="BB66" s="663"/>
      <c r="BC66" s="1439"/>
      <c r="BD66" s="1514"/>
      <c r="BE66" s="1514"/>
      <c r="BF66" s="1440"/>
      <c r="BG66" s="1465"/>
      <c r="BH66" s="1465"/>
      <c r="BI66" s="1465"/>
      <c r="BJ66" s="1465"/>
      <c r="BK66" s="1464"/>
      <c r="BL66" s="1464"/>
      <c r="BM66" s="1464"/>
      <c r="BN66" s="1464"/>
      <c r="BO66" s="736"/>
      <c r="BP66" s="663"/>
      <c r="BQ66" s="736"/>
      <c r="BR66" s="670"/>
      <c r="BS66" s="663"/>
      <c r="BT66" s="663"/>
      <c r="BU66" s="663"/>
      <c r="BV66" s="671"/>
      <c r="BW66" s="736"/>
      <c r="BX66" s="736"/>
      <c r="BY66" s="736"/>
      <c r="BZ66" s="737"/>
      <c r="CA66" s="668"/>
      <c r="CB66" s="657"/>
      <c r="CC66" s="657"/>
      <c r="CD66" s="657"/>
      <c r="CE66" s="657"/>
      <c r="CF66" s="657"/>
      <c r="CG66" s="657"/>
      <c r="CH66" s="657"/>
      <c r="CI66" s="657"/>
    </row>
    <row r="67" spans="1:87" ht="9.9499999999999993" customHeight="1">
      <c r="A67" s="1484"/>
      <c r="B67" s="1484"/>
      <c r="C67" s="1484"/>
      <c r="D67" s="1390"/>
      <c r="E67" s="1390"/>
      <c r="F67" s="1390"/>
      <c r="G67" s="1398"/>
      <c r="H67" s="1399"/>
      <c r="I67" s="1399"/>
      <c r="J67" s="1399"/>
      <c r="K67" s="1399"/>
      <c r="L67" s="1399"/>
      <c r="M67" s="1399"/>
      <c r="N67" s="1399"/>
      <c r="O67" s="1399"/>
      <c r="P67" s="1399"/>
      <c r="Q67" s="1399"/>
      <c r="R67" s="1399"/>
      <c r="S67" s="1399"/>
      <c r="T67" s="1399"/>
      <c r="U67" s="1399"/>
      <c r="V67" s="1400"/>
      <c r="W67" s="669"/>
      <c r="X67" s="669"/>
      <c r="Y67" s="669"/>
      <c r="Z67" s="669"/>
      <c r="AA67" s="736"/>
      <c r="AB67" s="736"/>
      <c r="AC67" s="736"/>
      <c r="AD67" s="670"/>
      <c r="AE67" s="663"/>
      <c r="AF67" s="663"/>
      <c r="AG67" s="663"/>
      <c r="AH67" s="671"/>
      <c r="AI67" s="663"/>
      <c r="AJ67" s="663"/>
      <c r="AK67" s="663"/>
      <c r="AL67" s="671"/>
      <c r="AM67" s="663"/>
      <c r="AN67" s="663"/>
      <c r="AO67" s="663"/>
      <c r="AP67" s="671"/>
      <c r="AQ67" s="663"/>
      <c r="AR67" s="663"/>
      <c r="AS67" s="736"/>
      <c r="AT67" s="670"/>
      <c r="AU67" s="663"/>
      <c r="AV67" s="663"/>
      <c r="AW67" s="663"/>
      <c r="AX67" s="671"/>
      <c r="AY67" s="663"/>
      <c r="AZ67" s="663"/>
      <c r="BA67" s="663"/>
      <c r="BB67" s="663"/>
      <c r="BC67" s="1439"/>
      <c r="BD67" s="1514"/>
      <c r="BE67" s="1514"/>
      <c r="BF67" s="1440"/>
      <c r="BG67" s="1465"/>
      <c r="BH67" s="1465"/>
      <c r="BI67" s="1465"/>
      <c r="BJ67" s="1465"/>
      <c r="BK67" s="1464"/>
      <c r="BL67" s="1464"/>
      <c r="BM67" s="1464"/>
      <c r="BN67" s="1464"/>
      <c r="BO67" s="736"/>
      <c r="BP67" s="663"/>
      <c r="BQ67" s="736"/>
      <c r="BR67" s="670"/>
      <c r="BS67" s="663"/>
      <c r="BT67" s="663"/>
      <c r="BU67" s="663"/>
      <c r="BV67" s="671"/>
      <c r="BW67" s="736"/>
      <c r="BX67" s="736"/>
      <c r="BY67" s="736"/>
      <c r="BZ67" s="737"/>
      <c r="CA67" s="668"/>
      <c r="CB67" s="657"/>
      <c r="CC67" s="657"/>
      <c r="CD67" s="657"/>
      <c r="CE67" s="657"/>
      <c r="CF67" s="657"/>
      <c r="CG67" s="657"/>
      <c r="CH67" s="657"/>
      <c r="CI67" s="657"/>
    </row>
    <row r="68" spans="1:87" ht="9.9499999999999993" customHeight="1">
      <c r="A68" s="1485" t="str">
        <f>AO55</f>
        <v/>
      </c>
      <c r="B68" s="1485"/>
      <c r="C68" s="1485"/>
      <c r="D68" s="1390"/>
      <c r="E68" s="1390"/>
      <c r="F68" s="1390"/>
      <c r="G68" s="1398"/>
      <c r="H68" s="1399"/>
      <c r="I68" s="1399"/>
      <c r="J68" s="1399"/>
      <c r="K68" s="1399"/>
      <c r="L68" s="1399"/>
      <c r="M68" s="1399"/>
      <c r="N68" s="1399"/>
      <c r="O68" s="1399"/>
      <c r="P68" s="1399"/>
      <c r="Q68" s="1399"/>
      <c r="R68" s="1399"/>
      <c r="S68" s="1399"/>
      <c r="T68" s="1399"/>
      <c r="U68" s="1399"/>
      <c r="V68" s="1400"/>
      <c r="W68" s="669"/>
      <c r="X68" s="669"/>
      <c r="Y68" s="669"/>
      <c r="Z68" s="669"/>
      <c r="AA68" s="736"/>
      <c r="AB68" s="736"/>
      <c r="AC68" s="736"/>
      <c r="AD68" s="670"/>
      <c r="AE68" s="663"/>
      <c r="AF68" s="663"/>
      <c r="AG68" s="663"/>
      <c r="AH68" s="671"/>
      <c r="AI68" s="663"/>
      <c r="AJ68" s="663"/>
      <c r="AK68" s="663"/>
      <c r="AL68" s="671"/>
      <c r="AM68" s="663"/>
      <c r="AN68" s="663"/>
      <c r="AO68" s="663"/>
      <c r="AP68" s="671"/>
      <c r="AQ68" s="663"/>
      <c r="AR68" s="663"/>
      <c r="AS68" s="736"/>
      <c r="AT68" s="670"/>
      <c r="AU68" s="663"/>
      <c r="AV68" s="663"/>
      <c r="AW68" s="663"/>
      <c r="AX68" s="671"/>
      <c r="AY68" s="663"/>
      <c r="AZ68" s="663"/>
      <c r="BA68" s="663"/>
      <c r="BB68" s="663"/>
      <c r="BC68" s="1439"/>
      <c r="BD68" s="1514"/>
      <c r="BE68" s="1514"/>
      <c r="BF68" s="1440"/>
      <c r="BG68" s="1465"/>
      <c r="BH68" s="1465"/>
      <c r="BI68" s="1465"/>
      <c r="BJ68" s="1465"/>
      <c r="BK68" s="1464"/>
      <c r="BL68" s="1464"/>
      <c r="BM68" s="1464"/>
      <c r="BN68" s="1464"/>
      <c r="BO68" s="736"/>
      <c r="BP68" s="663"/>
      <c r="BQ68" s="736"/>
      <c r="BR68" s="670"/>
      <c r="BS68" s="663"/>
      <c r="BT68" s="663"/>
      <c r="BU68" s="663"/>
      <c r="BV68" s="671"/>
      <c r="BW68" s="736"/>
      <c r="BX68" s="736"/>
      <c r="BY68" s="736"/>
      <c r="BZ68" s="737"/>
      <c r="CA68" s="668"/>
      <c r="CB68" s="657"/>
      <c r="CC68" s="657"/>
      <c r="CD68" s="657"/>
      <c r="CE68" s="657"/>
      <c r="CF68" s="657"/>
      <c r="CG68" s="657"/>
      <c r="CH68" s="657"/>
      <c r="CI68" s="657"/>
    </row>
    <row r="69" spans="1:87" ht="9.9499999999999993" customHeight="1">
      <c r="A69" s="1482"/>
      <c r="B69" s="1482"/>
      <c r="C69" s="1482"/>
      <c r="D69" s="1390"/>
      <c r="E69" s="1390"/>
      <c r="F69" s="1390"/>
      <c r="G69" s="1398"/>
      <c r="H69" s="1399"/>
      <c r="I69" s="1399"/>
      <c r="J69" s="1399"/>
      <c r="K69" s="1399"/>
      <c r="L69" s="1399"/>
      <c r="M69" s="1399"/>
      <c r="N69" s="1399"/>
      <c r="O69" s="1399"/>
      <c r="P69" s="1399"/>
      <c r="Q69" s="1399"/>
      <c r="R69" s="1399"/>
      <c r="S69" s="1399"/>
      <c r="T69" s="1399"/>
      <c r="U69" s="1399"/>
      <c r="V69" s="1400"/>
      <c r="W69" s="673"/>
      <c r="X69" s="673"/>
      <c r="Y69" s="673"/>
      <c r="Z69" s="673"/>
      <c r="AA69" s="739"/>
      <c r="AB69" s="739"/>
      <c r="AC69" s="739"/>
      <c r="AD69" s="675"/>
      <c r="AE69" s="676"/>
      <c r="AF69" s="676"/>
      <c r="AG69" s="676"/>
      <c r="AH69" s="677"/>
      <c r="AI69" s="676"/>
      <c r="AJ69" s="676"/>
      <c r="AK69" s="676"/>
      <c r="AL69" s="677"/>
      <c r="AM69" s="676"/>
      <c r="AN69" s="676"/>
      <c r="AO69" s="676"/>
      <c r="AP69" s="677"/>
      <c r="AQ69" s="676"/>
      <c r="AR69" s="676"/>
      <c r="AS69" s="739"/>
      <c r="AT69" s="675"/>
      <c r="AU69" s="676"/>
      <c r="AV69" s="676"/>
      <c r="AW69" s="676"/>
      <c r="AX69" s="677"/>
      <c r="AY69" s="676"/>
      <c r="AZ69" s="676"/>
      <c r="BA69" s="676"/>
      <c r="BB69" s="676"/>
      <c r="BC69" s="1439"/>
      <c r="BD69" s="1514"/>
      <c r="BE69" s="1514"/>
      <c r="BF69" s="1440"/>
      <c r="BG69" s="1465"/>
      <c r="BH69" s="1465"/>
      <c r="BI69" s="1465"/>
      <c r="BJ69" s="1465"/>
      <c r="BK69" s="1464"/>
      <c r="BL69" s="1464"/>
      <c r="BM69" s="1464"/>
      <c r="BN69" s="1464"/>
      <c r="BO69" s="736"/>
      <c r="BP69" s="676"/>
      <c r="BQ69" s="739"/>
      <c r="BR69" s="675"/>
      <c r="BS69" s="676"/>
      <c r="BT69" s="676"/>
      <c r="BU69" s="676"/>
      <c r="BV69" s="677"/>
      <c r="BW69" s="739"/>
      <c r="BX69" s="739"/>
      <c r="BY69" s="739"/>
      <c r="BZ69" s="740"/>
      <c r="CA69" s="679"/>
      <c r="CB69" s="657"/>
      <c r="CC69" s="657"/>
      <c r="CD69" s="657"/>
      <c r="CE69" s="657"/>
      <c r="CF69" s="657"/>
      <c r="CG69" s="657"/>
      <c r="CH69" s="657"/>
      <c r="CI69" s="657"/>
    </row>
    <row r="70" spans="1:87" ht="9.9499999999999993" customHeight="1">
      <c r="A70" s="1483"/>
      <c r="B70" s="1483"/>
      <c r="C70" s="1483"/>
      <c r="D70" s="1390" t="s">
        <v>77</v>
      </c>
      <c r="E70" s="1390"/>
      <c r="F70" s="1390"/>
      <c r="G70" s="1398"/>
      <c r="H70" s="1399"/>
      <c r="I70" s="1399"/>
      <c r="J70" s="1399"/>
      <c r="K70" s="1399"/>
      <c r="L70" s="1399"/>
      <c r="M70" s="1399"/>
      <c r="N70" s="1399"/>
      <c r="O70" s="1399"/>
      <c r="P70" s="1399"/>
      <c r="Q70" s="1399"/>
      <c r="R70" s="1399"/>
      <c r="S70" s="1399"/>
      <c r="T70" s="1399"/>
      <c r="U70" s="1399"/>
      <c r="V70" s="1400"/>
      <c r="W70" s="669"/>
      <c r="X70" s="669"/>
      <c r="Y70" s="669"/>
      <c r="Z70" s="669"/>
      <c r="AA70" s="680"/>
      <c r="AB70" s="680"/>
      <c r="AC70" s="680"/>
      <c r="AD70" s="681"/>
      <c r="AE70" s="682"/>
      <c r="AF70" s="662"/>
      <c r="AG70" s="662"/>
      <c r="AH70" s="683"/>
      <c r="AI70" s="662"/>
      <c r="AJ70" s="662"/>
      <c r="AK70" s="662"/>
      <c r="AL70" s="683"/>
      <c r="AM70" s="662"/>
      <c r="AN70" s="662"/>
      <c r="AO70" s="662"/>
      <c r="AP70" s="683"/>
      <c r="AQ70" s="662"/>
      <c r="AR70" s="662"/>
      <c r="AS70" s="680"/>
      <c r="AT70" s="681"/>
      <c r="AU70" s="680"/>
      <c r="AV70" s="680"/>
      <c r="AW70" s="680"/>
      <c r="AX70" s="681"/>
      <c r="AY70" s="680"/>
      <c r="AZ70" s="680"/>
      <c r="BA70" s="680"/>
      <c r="BB70" s="680"/>
      <c r="BC70" s="1439"/>
      <c r="BD70" s="1514"/>
      <c r="BE70" s="1514"/>
      <c r="BF70" s="1440"/>
      <c r="BG70" s="1465"/>
      <c r="BH70" s="1465"/>
      <c r="BI70" s="1465"/>
      <c r="BJ70" s="1465"/>
      <c r="BK70" s="1464"/>
      <c r="BL70" s="1464"/>
      <c r="BM70" s="1464"/>
      <c r="BN70" s="1464"/>
      <c r="BO70" s="734"/>
      <c r="BP70" s="662"/>
      <c r="BQ70" s="680"/>
      <c r="BR70" s="681"/>
      <c r="BS70" s="680"/>
      <c r="BT70" s="680"/>
      <c r="BU70" s="680"/>
      <c r="BV70" s="681"/>
      <c r="BW70" s="680"/>
      <c r="BX70" s="680"/>
      <c r="BY70" s="680"/>
      <c r="BZ70" s="684"/>
      <c r="CA70" s="668"/>
      <c r="CB70" s="657"/>
      <c r="CC70" s="657"/>
      <c r="CD70" s="657"/>
      <c r="CE70" s="657"/>
      <c r="CF70" s="657"/>
      <c r="CG70" s="657"/>
      <c r="CH70" s="657"/>
      <c r="CI70" s="657"/>
    </row>
    <row r="71" spans="1:87" ht="9.9499999999999993" customHeight="1">
      <c r="A71" s="1468" t="s">
        <v>14</v>
      </c>
      <c r="B71" s="1468"/>
      <c r="C71" s="1468"/>
      <c r="D71" s="1390"/>
      <c r="E71" s="1390"/>
      <c r="F71" s="1390"/>
      <c r="G71" s="1398"/>
      <c r="H71" s="1399"/>
      <c r="I71" s="1399"/>
      <c r="J71" s="1399"/>
      <c r="K71" s="1399"/>
      <c r="L71" s="1399"/>
      <c r="M71" s="1399"/>
      <c r="N71" s="1399"/>
      <c r="O71" s="1399"/>
      <c r="P71" s="1399"/>
      <c r="Q71" s="1399"/>
      <c r="R71" s="1399"/>
      <c r="S71" s="1399"/>
      <c r="T71" s="1399"/>
      <c r="U71" s="1399"/>
      <c r="V71" s="1400"/>
      <c r="W71" s="669"/>
      <c r="X71" s="669"/>
      <c r="Y71" s="669"/>
      <c r="Z71" s="669"/>
      <c r="AA71" s="685"/>
      <c r="AB71" s="685"/>
      <c r="AC71" s="685"/>
      <c r="AD71" s="686"/>
      <c r="AE71" s="663"/>
      <c r="AF71" s="663"/>
      <c r="AG71" s="663"/>
      <c r="AH71" s="671"/>
      <c r="AI71" s="663"/>
      <c r="AJ71" s="663"/>
      <c r="AK71" s="663"/>
      <c r="AL71" s="671"/>
      <c r="AM71" s="663"/>
      <c r="AN71" s="663"/>
      <c r="AO71" s="663"/>
      <c r="AP71" s="671"/>
      <c r="AQ71" s="663"/>
      <c r="AR71" s="663"/>
      <c r="AS71" s="685"/>
      <c r="AT71" s="686"/>
      <c r="AU71" s="685"/>
      <c r="AV71" s="685"/>
      <c r="AW71" s="685"/>
      <c r="AX71" s="686"/>
      <c r="AY71" s="685"/>
      <c r="AZ71" s="685"/>
      <c r="BA71" s="685"/>
      <c r="BB71" s="685"/>
      <c r="BC71" s="1439"/>
      <c r="BD71" s="1514"/>
      <c r="BE71" s="1514"/>
      <c r="BF71" s="1440"/>
      <c r="BG71" s="1465"/>
      <c r="BH71" s="1465"/>
      <c r="BI71" s="1465"/>
      <c r="BJ71" s="1465"/>
      <c r="BK71" s="1464"/>
      <c r="BL71" s="1464"/>
      <c r="BM71" s="1464"/>
      <c r="BN71" s="1464"/>
      <c r="BO71" s="736"/>
      <c r="BP71" s="663"/>
      <c r="BQ71" s="685"/>
      <c r="BR71" s="686"/>
      <c r="BS71" s="685"/>
      <c r="BT71" s="685"/>
      <c r="BU71" s="685"/>
      <c r="BV71" s="686"/>
      <c r="BW71" s="736"/>
      <c r="BX71" s="736"/>
      <c r="BY71" s="736"/>
      <c r="BZ71" s="737"/>
      <c r="CA71" s="668"/>
      <c r="CB71" s="657"/>
      <c r="CC71" s="657"/>
      <c r="CD71" s="657"/>
      <c r="CE71" s="657"/>
      <c r="CF71" s="657"/>
      <c r="CG71" s="657"/>
      <c r="CH71" s="657"/>
      <c r="CI71" s="657"/>
    </row>
    <row r="72" spans="1:87" ht="9.9499999999999993" customHeight="1">
      <c r="A72" s="1415"/>
      <c r="B72" s="1415"/>
      <c r="C72" s="1415"/>
      <c r="D72" s="1390"/>
      <c r="E72" s="1390"/>
      <c r="F72" s="1390"/>
      <c r="G72" s="1398"/>
      <c r="H72" s="1399"/>
      <c r="I72" s="1399"/>
      <c r="J72" s="1399"/>
      <c r="K72" s="1399"/>
      <c r="L72" s="1399"/>
      <c r="M72" s="1399"/>
      <c r="N72" s="1399"/>
      <c r="O72" s="1399"/>
      <c r="P72" s="1399"/>
      <c r="Q72" s="1399"/>
      <c r="R72" s="1399"/>
      <c r="S72" s="1399"/>
      <c r="T72" s="1399"/>
      <c r="U72" s="1399"/>
      <c r="V72" s="1400"/>
      <c r="W72" s="669"/>
      <c r="X72" s="669"/>
      <c r="Y72" s="669"/>
      <c r="Z72" s="669"/>
      <c r="AA72" s="685"/>
      <c r="AB72" s="685"/>
      <c r="AC72" s="685"/>
      <c r="AD72" s="686"/>
      <c r="AE72" s="663"/>
      <c r="AF72" s="663"/>
      <c r="AG72" s="663"/>
      <c r="AH72" s="671"/>
      <c r="AI72" s="663"/>
      <c r="AJ72" s="663"/>
      <c r="AK72" s="663"/>
      <c r="AL72" s="671"/>
      <c r="AM72" s="663"/>
      <c r="AN72" s="663"/>
      <c r="AO72" s="663"/>
      <c r="AP72" s="671"/>
      <c r="AQ72" s="663"/>
      <c r="AR72" s="663"/>
      <c r="AS72" s="685"/>
      <c r="AT72" s="686"/>
      <c r="AU72" s="685"/>
      <c r="AV72" s="685"/>
      <c r="AW72" s="685"/>
      <c r="AX72" s="686"/>
      <c r="AY72" s="685"/>
      <c r="AZ72" s="685"/>
      <c r="BA72" s="685"/>
      <c r="BB72" s="685"/>
      <c r="BC72" s="1439"/>
      <c r="BD72" s="1514"/>
      <c r="BE72" s="1514"/>
      <c r="BF72" s="1440"/>
      <c r="BG72" s="1465"/>
      <c r="BH72" s="1465"/>
      <c r="BI72" s="1465"/>
      <c r="BJ72" s="1465"/>
      <c r="BK72" s="1464"/>
      <c r="BL72" s="1464"/>
      <c r="BM72" s="1464"/>
      <c r="BN72" s="1464"/>
      <c r="BO72" s="736"/>
      <c r="BP72" s="663"/>
      <c r="BQ72" s="685"/>
      <c r="BR72" s="686"/>
      <c r="BS72" s="685"/>
      <c r="BT72" s="685"/>
      <c r="BU72" s="685"/>
      <c r="BV72" s="686"/>
      <c r="BW72" s="736"/>
      <c r="BX72" s="736"/>
      <c r="BY72" s="736"/>
      <c r="BZ72" s="737"/>
      <c r="CA72" s="672"/>
      <c r="CB72" s="657"/>
      <c r="CC72" s="657"/>
      <c r="CD72" s="657"/>
      <c r="CE72" s="657"/>
      <c r="CF72" s="657"/>
      <c r="CG72" s="657"/>
      <c r="CH72" s="657"/>
      <c r="CI72" s="657"/>
    </row>
    <row r="73" spans="1:87" ht="9.9499999999999993" customHeight="1">
      <c r="A73" s="1469"/>
      <c r="B73" s="1469"/>
      <c r="C73" s="1469"/>
      <c r="D73" s="1390"/>
      <c r="E73" s="1390"/>
      <c r="F73" s="1390"/>
      <c r="G73" s="1398"/>
      <c r="H73" s="1399"/>
      <c r="I73" s="1399"/>
      <c r="J73" s="1399"/>
      <c r="K73" s="1399"/>
      <c r="L73" s="1399"/>
      <c r="M73" s="1399"/>
      <c r="N73" s="1399"/>
      <c r="O73" s="1399"/>
      <c r="P73" s="1399"/>
      <c r="Q73" s="1399"/>
      <c r="R73" s="1399"/>
      <c r="S73" s="1399"/>
      <c r="T73" s="1399"/>
      <c r="U73" s="1399"/>
      <c r="V73" s="1400"/>
      <c r="W73" s="669"/>
      <c r="X73" s="669"/>
      <c r="Y73" s="669"/>
      <c r="Z73" s="669"/>
      <c r="AA73" s="688"/>
      <c r="AB73" s="688"/>
      <c r="AC73" s="688"/>
      <c r="AD73" s="687"/>
      <c r="AE73" s="663"/>
      <c r="AF73" s="663"/>
      <c r="AG73" s="663"/>
      <c r="AH73" s="671"/>
      <c r="AI73" s="663"/>
      <c r="AJ73" s="663"/>
      <c r="AK73" s="663"/>
      <c r="AL73" s="671"/>
      <c r="AM73" s="663"/>
      <c r="AN73" s="663"/>
      <c r="AO73" s="663"/>
      <c r="AP73" s="671"/>
      <c r="AQ73" s="663"/>
      <c r="AR73" s="663"/>
      <c r="AS73" s="688"/>
      <c r="AT73" s="687"/>
      <c r="AU73" s="688"/>
      <c r="AV73" s="688"/>
      <c r="AW73" s="688"/>
      <c r="AX73" s="687"/>
      <c r="AY73" s="688"/>
      <c r="AZ73" s="688"/>
      <c r="BA73" s="688"/>
      <c r="BB73" s="688"/>
      <c r="BC73" s="1439"/>
      <c r="BD73" s="1514"/>
      <c r="BE73" s="1514"/>
      <c r="BF73" s="1440"/>
      <c r="BG73" s="1465"/>
      <c r="BH73" s="1465"/>
      <c r="BI73" s="1465"/>
      <c r="BJ73" s="1465"/>
      <c r="BK73" s="1464"/>
      <c r="BL73" s="1464"/>
      <c r="BM73" s="1464"/>
      <c r="BN73" s="1464"/>
      <c r="BO73" s="736"/>
      <c r="BP73" s="663"/>
      <c r="BQ73" s="688"/>
      <c r="BR73" s="687"/>
      <c r="BS73" s="688"/>
      <c r="BT73" s="688"/>
      <c r="BU73" s="688"/>
      <c r="BV73" s="687"/>
      <c r="BW73" s="736"/>
      <c r="BX73" s="736"/>
      <c r="BY73" s="736"/>
      <c r="BZ73" s="737"/>
      <c r="CA73" s="672"/>
      <c r="CB73" s="657"/>
      <c r="CC73" s="657"/>
      <c r="CD73" s="657"/>
      <c r="CE73" s="657"/>
      <c r="CF73" s="657"/>
      <c r="CG73" s="657"/>
      <c r="CH73" s="657"/>
      <c r="CI73" s="657"/>
    </row>
    <row r="74" spans="1:87" ht="9.9499999999999993" customHeight="1">
      <c r="A74" s="1473" t="s">
        <v>38</v>
      </c>
      <c r="B74" s="1473"/>
      <c r="C74" s="1473"/>
      <c r="D74" s="1390"/>
      <c r="E74" s="1390"/>
      <c r="F74" s="1390"/>
      <c r="G74" s="1398"/>
      <c r="H74" s="1399"/>
      <c r="I74" s="1399"/>
      <c r="J74" s="1399"/>
      <c r="K74" s="1399"/>
      <c r="L74" s="1399"/>
      <c r="M74" s="1399"/>
      <c r="N74" s="1399"/>
      <c r="O74" s="1399"/>
      <c r="P74" s="1399"/>
      <c r="Q74" s="1399"/>
      <c r="R74" s="1399"/>
      <c r="S74" s="1399"/>
      <c r="T74" s="1399"/>
      <c r="U74" s="1399"/>
      <c r="V74" s="1400"/>
      <c r="W74" s="669"/>
      <c r="X74" s="669"/>
      <c r="Y74" s="669"/>
      <c r="Z74" s="669"/>
      <c r="AA74" s="685"/>
      <c r="AB74" s="685"/>
      <c r="AC74" s="685"/>
      <c r="AD74" s="686"/>
      <c r="AE74" s="663"/>
      <c r="AF74" s="663"/>
      <c r="AG74" s="663"/>
      <c r="AH74" s="671"/>
      <c r="AI74" s="663"/>
      <c r="AJ74" s="663"/>
      <c r="AK74" s="663"/>
      <c r="AL74" s="671"/>
      <c r="AM74" s="663"/>
      <c r="AN74" s="663"/>
      <c r="AO74" s="663"/>
      <c r="AP74" s="671"/>
      <c r="AQ74" s="663"/>
      <c r="AR74" s="663"/>
      <c r="AS74" s="685"/>
      <c r="AT74" s="686"/>
      <c r="AU74" s="685"/>
      <c r="AV74" s="685"/>
      <c r="AW74" s="685"/>
      <c r="AX74" s="686"/>
      <c r="AY74" s="685"/>
      <c r="AZ74" s="685"/>
      <c r="BA74" s="685"/>
      <c r="BB74" s="685"/>
      <c r="BC74" s="1439"/>
      <c r="BD74" s="1514"/>
      <c r="BE74" s="1514"/>
      <c r="BF74" s="1440"/>
      <c r="BG74" s="1465"/>
      <c r="BH74" s="1465"/>
      <c r="BI74" s="1465"/>
      <c r="BJ74" s="1465"/>
      <c r="BK74" s="1464"/>
      <c r="BL74" s="1464"/>
      <c r="BM74" s="1464"/>
      <c r="BN74" s="1464"/>
      <c r="BO74" s="736"/>
      <c r="BP74" s="663"/>
      <c r="BQ74" s="685"/>
      <c r="BR74" s="686"/>
      <c r="BS74" s="685"/>
      <c r="BT74" s="685"/>
      <c r="BU74" s="685"/>
      <c r="BV74" s="686"/>
      <c r="BW74" s="736"/>
      <c r="BX74" s="736"/>
      <c r="BY74" s="736"/>
      <c r="BZ74" s="737"/>
      <c r="CA74" s="668"/>
      <c r="CB74" s="657"/>
      <c r="CC74" s="657"/>
      <c r="CD74" s="657"/>
      <c r="CE74" s="657"/>
      <c r="CF74" s="657"/>
      <c r="CG74" s="657"/>
      <c r="CH74" s="657"/>
      <c r="CI74" s="657"/>
    </row>
    <row r="75" spans="1:87" ht="9.9499999999999993" customHeight="1">
      <c r="A75" s="1474" t="str">
        <f>AU55</f>
        <v/>
      </c>
      <c r="B75" s="1474"/>
      <c r="C75" s="1474"/>
      <c r="D75" s="1390"/>
      <c r="E75" s="1390"/>
      <c r="F75" s="1390"/>
      <c r="G75" s="1398"/>
      <c r="H75" s="1399"/>
      <c r="I75" s="1399"/>
      <c r="J75" s="1399"/>
      <c r="K75" s="1399"/>
      <c r="L75" s="1399"/>
      <c r="M75" s="1399"/>
      <c r="N75" s="1399"/>
      <c r="O75" s="1399"/>
      <c r="P75" s="1399"/>
      <c r="Q75" s="1399"/>
      <c r="R75" s="1399"/>
      <c r="S75" s="1399"/>
      <c r="T75" s="1399"/>
      <c r="U75" s="1399"/>
      <c r="V75" s="1400"/>
      <c r="W75" s="669"/>
      <c r="X75" s="669"/>
      <c r="Y75" s="669"/>
      <c r="Z75" s="669"/>
      <c r="AA75" s="685"/>
      <c r="AB75" s="685"/>
      <c r="AC75" s="685"/>
      <c r="AD75" s="686"/>
      <c r="AE75" s="663"/>
      <c r="AF75" s="663"/>
      <c r="AG75" s="663"/>
      <c r="AH75" s="671"/>
      <c r="AI75" s="663"/>
      <c r="AJ75" s="663"/>
      <c r="AK75" s="663"/>
      <c r="AL75" s="671"/>
      <c r="AM75" s="663"/>
      <c r="AN75" s="663"/>
      <c r="AO75" s="663"/>
      <c r="AP75" s="671"/>
      <c r="AQ75" s="663"/>
      <c r="AR75" s="663"/>
      <c r="AS75" s="685"/>
      <c r="AT75" s="686"/>
      <c r="AU75" s="685"/>
      <c r="AV75" s="685"/>
      <c r="AW75" s="685"/>
      <c r="AX75" s="686"/>
      <c r="AY75" s="685"/>
      <c r="AZ75" s="685"/>
      <c r="BA75" s="685"/>
      <c r="BB75" s="685"/>
      <c r="BC75" s="1439"/>
      <c r="BD75" s="1514"/>
      <c r="BE75" s="1514"/>
      <c r="BF75" s="1440"/>
      <c r="BG75" s="1465"/>
      <c r="BH75" s="1465"/>
      <c r="BI75" s="1465"/>
      <c r="BJ75" s="1465"/>
      <c r="BK75" s="1464"/>
      <c r="BL75" s="1464"/>
      <c r="BM75" s="1464"/>
      <c r="BN75" s="1464"/>
      <c r="BO75" s="736"/>
      <c r="BP75" s="663"/>
      <c r="BQ75" s="685"/>
      <c r="BR75" s="686"/>
      <c r="BS75" s="685"/>
      <c r="BT75" s="685"/>
      <c r="BU75" s="685"/>
      <c r="BV75" s="686"/>
      <c r="BW75" s="736"/>
      <c r="BX75" s="736"/>
      <c r="BY75" s="736"/>
      <c r="BZ75" s="737"/>
      <c r="CA75" s="668"/>
      <c r="CB75" s="657"/>
      <c r="CC75" s="657"/>
      <c r="CD75" s="657"/>
      <c r="CE75" s="657"/>
      <c r="CF75" s="657"/>
      <c r="CG75" s="657"/>
      <c r="CH75" s="657"/>
      <c r="CI75" s="657"/>
    </row>
    <row r="76" spans="1:87" ht="9.9499999999999993" customHeight="1">
      <c r="A76" s="1475"/>
      <c r="B76" s="1475"/>
      <c r="C76" s="1475"/>
      <c r="D76" s="1390"/>
      <c r="E76" s="1390"/>
      <c r="F76" s="1390"/>
      <c r="G76" s="1398"/>
      <c r="H76" s="1399"/>
      <c r="I76" s="1399"/>
      <c r="J76" s="1399"/>
      <c r="K76" s="1399"/>
      <c r="L76" s="1399"/>
      <c r="M76" s="1399"/>
      <c r="N76" s="1399"/>
      <c r="O76" s="1399"/>
      <c r="P76" s="1399"/>
      <c r="Q76" s="1399"/>
      <c r="R76" s="1399"/>
      <c r="S76" s="1399"/>
      <c r="T76" s="1399"/>
      <c r="U76" s="1399"/>
      <c r="V76" s="1400"/>
      <c r="W76" s="669"/>
      <c r="X76" s="669"/>
      <c r="Y76" s="669"/>
      <c r="Z76" s="669"/>
      <c r="AA76" s="685"/>
      <c r="AB76" s="685"/>
      <c r="AC76" s="685"/>
      <c r="AD76" s="686"/>
      <c r="AE76" s="663"/>
      <c r="AF76" s="663"/>
      <c r="AG76" s="663"/>
      <c r="AH76" s="671"/>
      <c r="AI76" s="663"/>
      <c r="AJ76" s="663"/>
      <c r="AK76" s="663"/>
      <c r="AL76" s="671"/>
      <c r="AM76" s="663"/>
      <c r="AN76" s="663"/>
      <c r="AO76" s="663"/>
      <c r="AP76" s="671"/>
      <c r="AQ76" s="663"/>
      <c r="AR76" s="663"/>
      <c r="AS76" s="685"/>
      <c r="AT76" s="686"/>
      <c r="AU76" s="685"/>
      <c r="AV76" s="685"/>
      <c r="AW76" s="685"/>
      <c r="AX76" s="686"/>
      <c r="AY76" s="685"/>
      <c r="AZ76" s="685"/>
      <c r="BA76" s="685"/>
      <c r="BB76" s="685"/>
      <c r="BC76" s="1439"/>
      <c r="BD76" s="1514"/>
      <c r="BE76" s="1514"/>
      <c r="BF76" s="1440"/>
      <c r="BG76" s="1465"/>
      <c r="BH76" s="1465"/>
      <c r="BI76" s="1465"/>
      <c r="BJ76" s="1465"/>
      <c r="BK76" s="1464"/>
      <c r="BL76" s="1464"/>
      <c r="BM76" s="1464"/>
      <c r="BN76" s="1464"/>
      <c r="BO76" s="736"/>
      <c r="BP76" s="663"/>
      <c r="BQ76" s="685"/>
      <c r="BR76" s="686"/>
      <c r="BS76" s="685"/>
      <c r="BT76" s="685"/>
      <c r="BU76" s="685"/>
      <c r="BV76" s="686"/>
      <c r="BW76" s="736"/>
      <c r="BX76" s="736"/>
      <c r="BY76" s="736"/>
      <c r="BZ76" s="737"/>
      <c r="CA76" s="668"/>
      <c r="CB76" s="657"/>
      <c r="CC76" s="657"/>
      <c r="CD76" s="657"/>
      <c r="CE76" s="657"/>
      <c r="CF76" s="657"/>
      <c r="CG76" s="657"/>
      <c r="CH76" s="657"/>
      <c r="CI76" s="657"/>
    </row>
    <row r="77" spans="1:87" ht="9.9499999999999993" customHeight="1">
      <c r="A77" s="1486" t="s">
        <v>37</v>
      </c>
      <c r="B77" s="1487"/>
      <c r="C77" s="1488"/>
      <c r="D77" s="1390"/>
      <c r="E77" s="1390"/>
      <c r="F77" s="1390"/>
      <c r="G77" s="1401"/>
      <c r="H77" s="1402"/>
      <c r="I77" s="1402"/>
      <c r="J77" s="1402"/>
      <c r="K77" s="1402"/>
      <c r="L77" s="1402"/>
      <c r="M77" s="1402"/>
      <c r="N77" s="1402"/>
      <c r="O77" s="1402"/>
      <c r="P77" s="1402"/>
      <c r="Q77" s="1402"/>
      <c r="R77" s="1402"/>
      <c r="S77" s="1402"/>
      <c r="T77" s="1402"/>
      <c r="U77" s="1402"/>
      <c r="V77" s="1403"/>
      <c r="W77" s="673"/>
      <c r="X77" s="673"/>
      <c r="Y77" s="673"/>
      <c r="Z77" s="673"/>
      <c r="AA77" s="689"/>
      <c r="AB77" s="689"/>
      <c r="AC77" s="689"/>
      <c r="AD77" s="690"/>
      <c r="AE77" s="676"/>
      <c r="AF77" s="676"/>
      <c r="AG77" s="676"/>
      <c r="AH77" s="677"/>
      <c r="AI77" s="676"/>
      <c r="AJ77" s="676"/>
      <c r="AK77" s="676"/>
      <c r="AL77" s="677"/>
      <c r="AM77" s="676"/>
      <c r="AN77" s="676"/>
      <c r="AO77" s="676"/>
      <c r="AP77" s="677"/>
      <c r="AQ77" s="676"/>
      <c r="AR77" s="676"/>
      <c r="AS77" s="689"/>
      <c r="AT77" s="690"/>
      <c r="AU77" s="689"/>
      <c r="AV77" s="689"/>
      <c r="AW77" s="689"/>
      <c r="AX77" s="690"/>
      <c r="AY77" s="689"/>
      <c r="AZ77" s="689"/>
      <c r="BA77" s="689"/>
      <c r="BB77" s="689"/>
      <c r="BC77" s="1441"/>
      <c r="BD77" s="1515"/>
      <c r="BE77" s="1515"/>
      <c r="BF77" s="1442"/>
      <c r="BG77" s="1465"/>
      <c r="BH77" s="1465"/>
      <c r="BI77" s="1465"/>
      <c r="BJ77" s="1465"/>
      <c r="BK77" s="1464"/>
      <c r="BL77" s="1464"/>
      <c r="BM77" s="1464"/>
      <c r="BN77" s="1464"/>
      <c r="BO77" s="739"/>
      <c r="BP77" s="676"/>
      <c r="BQ77" s="689"/>
      <c r="BR77" s="690"/>
      <c r="BS77" s="689"/>
      <c r="BT77" s="689"/>
      <c r="BU77" s="689"/>
      <c r="BV77" s="690"/>
      <c r="BW77" s="689"/>
      <c r="BX77" s="689"/>
      <c r="BY77" s="689"/>
      <c r="BZ77" s="740"/>
      <c r="CA77" s="679"/>
      <c r="CB77" s="657"/>
      <c r="CC77" s="657"/>
      <c r="CD77" s="657"/>
      <c r="CE77" s="657"/>
      <c r="CF77" s="657"/>
      <c r="CG77" s="657"/>
      <c r="CH77" s="657"/>
      <c r="CI77" s="657"/>
    </row>
    <row r="78" spans="1:87" ht="9.9499999999999993" customHeight="1">
      <c r="A78" s="1386" t="str">
        <f>BA55</f>
        <v/>
      </c>
      <c r="B78" s="1387"/>
      <c r="C78" s="1388"/>
      <c r="D78" s="1389" t="s">
        <v>78</v>
      </c>
      <c r="E78" s="1389"/>
      <c r="F78" s="1389"/>
      <c r="G78" s="691"/>
      <c r="H78" s="692"/>
      <c r="I78" s="692"/>
      <c r="J78" s="687"/>
      <c r="K78" s="693"/>
      <c r="L78" s="736"/>
      <c r="M78" s="736"/>
      <c r="N78" s="670"/>
      <c r="O78" s="736"/>
      <c r="P78" s="736"/>
      <c r="Q78" s="663"/>
      <c r="R78" s="1405" t="s">
        <v>3015</v>
      </c>
      <c r="S78" s="1406"/>
      <c r="T78" s="1407"/>
      <c r="U78" s="685"/>
      <c r="V78" s="671"/>
      <c r="W78" s="663"/>
      <c r="X78" s="685"/>
      <c r="Y78" s="736"/>
      <c r="Z78" s="670"/>
      <c r="AA78" s="694"/>
      <c r="AB78" s="663"/>
      <c r="AC78" s="663"/>
      <c r="AD78" s="671"/>
      <c r="AE78" s="663"/>
      <c r="AF78" s="663"/>
      <c r="AG78" s="663"/>
      <c r="AH78" s="671"/>
      <c r="AI78" s="736"/>
      <c r="AJ78" s="736"/>
      <c r="AK78" s="685"/>
      <c r="AL78" s="686"/>
      <c r="AM78" s="685"/>
      <c r="AN78" s="685"/>
      <c r="AO78" s="685"/>
      <c r="AP78" s="686"/>
      <c r="AQ78" s="685"/>
      <c r="AR78" s="685"/>
      <c r="AS78" s="685"/>
      <c r="AT78" s="686"/>
      <c r="AU78" s="685"/>
      <c r="AV78" s="685"/>
      <c r="AW78" s="685"/>
      <c r="AX78" s="686"/>
      <c r="AY78" s="685"/>
      <c r="AZ78" s="685"/>
      <c r="BA78" s="685"/>
      <c r="BB78" s="686"/>
      <c r="BC78" s="685"/>
      <c r="BD78" s="685"/>
      <c r="BE78" s="685"/>
      <c r="BF78" s="686"/>
      <c r="BG78" s="685"/>
      <c r="BH78" s="685"/>
      <c r="BI78" s="685"/>
      <c r="BJ78" s="686"/>
      <c r="BK78" s="685"/>
      <c r="BL78" s="685"/>
      <c r="BM78" s="685"/>
      <c r="BN78" s="686"/>
      <c r="BO78" s="685"/>
      <c r="BP78" s="685"/>
      <c r="BQ78" s="685"/>
      <c r="BR78" s="686"/>
      <c r="BS78" s="685"/>
      <c r="BT78" s="685"/>
      <c r="BU78" s="685"/>
      <c r="BV78" s="686"/>
      <c r="BW78" s="685"/>
      <c r="BX78" s="685"/>
      <c r="BY78" s="685"/>
      <c r="BZ78" s="737"/>
      <c r="CA78" s="668"/>
      <c r="CB78" s="657"/>
      <c r="CC78" s="657"/>
      <c r="CD78" s="657"/>
      <c r="CE78" s="657"/>
      <c r="CF78" s="657"/>
      <c r="CG78" s="657"/>
      <c r="CH78" s="657"/>
      <c r="CI78" s="657"/>
    </row>
    <row r="79" spans="1:87" ht="9.9499999999999993" customHeight="1">
      <c r="A79" s="1386"/>
      <c r="B79" s="1387"/>
      <c r="C79" s="1388"/>
      <c r="D79" s="1390"/>
      <c r="E79" s="1390"/>
      <c r="F79" s="1390"/>
      <c r="G79" s="691"/>
      <c r="H79" s="692"/>
      <c r="I79" s="692"/>
      <c r="J79" s="687"/>
      <c r="K79" s="736"/>
      <c r="L79" s="736"/>
      <c r="M79" s="736"/>
      <c r="N79" s="670"/>
      <c r="O79" s="736"/>
      <c r="P79" s="736"/>
      <c r="Q79" s="663"/>
      <c r="R79" s="1408"/>
      <c r="S79" s="1409"/>
      <c r="T79" s="1410"/>
      <c r="U79" s="736"/>
      <c r="V79" s="670"/>
      <c r="W79" s="736"/>
      <c r="X79" s="736"/>
      <c r="Y79" s="736"/>
      <c r="Z79" s="670"/>
      <c r="AA79" s="663"/>
      <c r="AB79" s="663"/>
      <c r="AC79" s="663"/>
      <c r="AD79" s="671"/>
      <c r="AE79" s="663"/>
      <c r="AF79" s="663"/>
      <c r="AG79" s="663"/>
      <c r="AH79" s="671"/>
      <c r="AI79" s="736"/>
      <c r="AJ79" s="736"/>
      <c r="AK79" s="685"/>
      <c r="AL79" s="686"/>
      <c r="AM79" s="685"/>
      <c r="AN79" s="685"/>
      <c r="AO79" s="685"/>
      <c r="AP79" s="686"/>
      <c r="AQ79" s="685"/>
      <c r="AR79" s="685"/>
      <c r="AS79" s="685"/>
      <c r="AT79" s="686"/>
      <c r="AU79" s="685"/>
      <c r="AV79" s="685"/>
      <c r="AW79" s="685"/>
      <c r="AX79" s="686"/>
      <c r="AY79" s="685"/>
      <c r="AZ79" s="685"/>
      <c r="BA79" s="685"/>
      <c r="BB79" s="686"/>
      <c r="BC79" s="685"/>
      <c r="BD79" s="685"/>
      <c r="BE79" s="685"/>
      <c r="BF79" s="686"/>
      <c r="BG79" s="685"/>
      <c r="BH79" s="685"/>
      <c r="BI79" s="685"/>
      <c r="BJ79" s="686"/>
      <c r="BK79" s="685"/>
      <c r="BL79" s="685"/>
      <c r="BM79" s="685"/>
      <c r="BN79" s="686"/>
      <c r="BO79" s="685"/>
      <c r="BP79" s="685"/>
      <c r="BQ79" s="685"/>
      <c r="BR79" s="686"/>
      <c r="BS79" s="685"/>
      <c r="BT79" s="685"/>
      <c r="BU79" s="685"/>
      <c r="BV79" s="686"/>
      <c r="BW79" s="736"/>
      <c r="BX79" s="736"/>
      <c r="BY79" s="736"/>
      <c r="BZ79" s="737"/>
      <c r="CA79" s="668"/>
      <c r="CB79" s="657"/>
      <c r="CC79" s="657"/>
      <c r="CD79" s="657"/>
      <c r="CE79" s="657"/>
      <c r="CF79" s="657"/>
      <c r="CG79" s="657"/>
      <c r="CH79" s="657"/>
      <c r="CI79" s="657"/>
    </row>
    <row r="80" spans="1:87" ht="9.9499999999999993" customHeight="1">
      <c r="A80" s="1386"/>
      <c r="B80" s="1387"/>
      <c r="C80" s="1388"/>
      <c r="D80" s="1390"/>
      <c r="E80" s="1390"/>
      <c r="F80" s="1390"/>
      <c r="G80" s="691"/>
      <c r="H80" s="692"/>
      <c r="I80" s="692"/>
      <c r="J80" s="687"/>
      <c r="K80" s="736"/>
      <c r="L80" s="736"/>
      <c r="M80" s="736"/>
      <c r="N80" s="670"/>
      <c r="O80" s="736"/>
      <c r="P80" s="736"/>
      <c r="Q80" s="663"/>
      <c r="R80" s="1408"/>
      <c r="S80" s="1409"/>
      <c r="T80" s="1410"/>
      <c r="U80" s="736"/>
      <c r="V80" s="670"/>
      <c r="W80" s="736"/>
      <c r="X80" s="736"/>
      <c r="Y80" s="736"/>
      <c r="Z80" s="670"/>
      <c r="AA80" s="663"/>
      <c r="AB80" s="663"/>
      <c r="AC80" s="663"/>
      <c r="AD80" s="671"/>
      <c r="AE80" s="663"/>
      <c r="AF80" s="663"/>
      <c r="AG80" s="663"/>
      <c r="AH80" s="671"/>
      <c r="AI80" s="736"/>
      <c r="AJ80" s="736"/>
      <c r="AK80" s="685"/>
      <c r="AL80" s="686"/>
      <c r="AM80" s="685"/>
      <c r="AN80" s="685"/>
      <c r="AO80" s="685"/>
      <c r="AP80" s="686"/>
      <c r="AQ80" s="685"/>
      <c r="AR80" s="685"/>
      <c r="AS80" s="685"/>
      <c r="AT80" s="686"/>
      <c r="AU80" s="685"/>
      <c r="AV80" s="685"/>
      <c r="AW80" s="685"/>
      <c r="AX80" s="686"/>
      <c r="AY80" s="685"/>
      <c r="AZ80" s="685"/>
      <c r="BA80" s="685"/>
      <c r="BB80" s="686"/>
      <c r="BC80" s="685"/>
      <c r="BD80" s="685"/>
      <c r="BE80" s="663"/>
      <c r="BF80" s="687"/>
      <c r="BG80" s="688"/>
      <c r="BH80" s="688"/>
      <c r="BI80" s="688"/>
      <c r="BJ80" s="687"/>
      <c r="BK80" s="688"/>
      <c r="BL80" s="688"/>
      <c r="BM80" s="688"/>
      <c r="BN80" s="687"/>
      <c r="BO80" s="688"/>
      <c r="BP80" s="688"/>
      <c r="BQ80" s="688"/>
      <c r="BR80" s="687"/>
      <c r="BS80" s="688"/>
      <c r="BT80" s="688"/>
      <c r="BU80" s="688"/>
      <c r="BV80" s="687"/>
      <c r="BW80" s="736"/>
      <c r="BX80" s="736"/>
      <c r="BY80" s="736"/>
      <c r="BZ80" s="737"/>
      <c r="CA80" s="672"/>
      <c r="CB80" s="657"/>
      <c r="CC80" s="657"/>
      <c r="CD80" s="657"/>
      <c r="CE80" s="657"/>
      <c r="CF80" s="657"/>
      <c r="CG80" s="657"/>
      <c r="CH80" s="657"/>
      <c r="CI80" s="657"/>
    </row>
    <row r="81" spans="1:87" ht="9.9499999999999993" customHeight="1">
      <c r="A81" s="1468" t="s">
        <v>15</v>
      </c>
      <c r="B81" s="1468"/>
      <c r="C81" s="1468"/>
      <c r="D81" s="1390"/>
      <c r="E81" s="1390"/>
      <c r="F81" s="1390"/>
      <c r="G81" s="691"/>
      <c r="H81" s="692"/>
      <c r="I81" s="692"/>
      <c r="J81" s="687"/>
      <c r="K81" s="736"/>
      <c r="L81" s="736"/>
      <c r="M81" s="736"/>
      <c r="N81" s="670"/>
      <c r="O81" s="736"/>
      <c r="P81" s="736"/>
      <c r="Q81" s="663"/>
      <c r="R81" s="1408"/>
      <c r="S81" s="1409"/>
      <c r="T81" s="1410"/>
      <c r="U81" s="736"/>
      <c r="V81" s="670"/>
      <c r="W81" s="736"/>
      <c r="X81" s="736"/>
      <c r="Y81" s="736"/>
      <c r="Z81" s="670"/>
      <c r="AA81" s="663"/>
      <c r="AB81" s="663"/>
      <c r="AC81" s="663"/>
      <c r="AD81" s="671"/>
      <c r="AE81" s="663"/>
      <c r="AF81" s="663"/>
      <c r="AG81" s="663"/>
      <c r="AH81" s="671"/>
      <c r="AI81" s="736"/>
      <c r="AJ81" s="736"/>
      <c r="AK81" s="688"/>
      <c r="AL81" s="687"/>
      <c r="AM81" s="688"/>
      <c r="AN81" s="688"/>
      <c r="AO81" s="688"/>
      <c r="AP81" s="687"/>
      <c r="AQ81" s="688"/>
      <c r="AR81" s="688"/>
      <c r="AS81" s="688"/>
      <c r="AT81" s="687"/>
      <c r="AU81" s="688"/>
      <c r="AV81" s="688"/>
      <c r="AW81" s="688"/>
      <c r="AX81" s="687"/>
      <c r="AY81" s="688"/>
      <c r="AZ81" s="688"/>
      <c r="BA81" s="688"/>
      <c r="BB81" s="687"/>
      <c r="BC81" s="688"/>
      <c r="BD81" s="688"/>
      <c r="BE81" s="688"/>
      <c r="BF81" s="687"/>
      <c r="BG81" s="688"/>
      <c r="BH81" s="688"/>
      <c r="BI81" s="688"/>
      <c r="BJ81" s="687"/>
      <c r="BK81" s="688"/>
      <c r="BL81" s="688"/>
      <c r="BM81" s="688"/>
      <c r="BN81" s="687"/>
      <c r="BO81" s="688"/>
      <c r="BP81" s="688"/>
      <c r="BQ81" s="688"/>
      <c r="BR81" s="687"/>
      <c r="BS81" s="688"/>
      <c r="BT81" s="688"/>
      <c r="BU81" s="688"/>
      <c r="BV81" s="687"/>
      <c r="BW81" s="736"/>
      <c r="BX81" s="736"/>
      <c r="BY81" s="736"/>
      <c r="BZ81" s="737"/>
      <c r="CA81" s="672"/>
      <c r="CB81" s="657"/>
      <c r="CC81" s="657"/>
      <c r="CD81" s="657"/>
      <c r="CE81" s="657"/>
      <c r="CF81" s="657"/>
      <c r="CG81" s="657"/>
      <c r="CH81" s="657"/>
      <c r="CI81" s="657"/>
    </row>
    <row r="82" spans="1:87" ht="9.9499999999999993" customHeight="1">
      <c r="A82" s="1415"/>
      <c r="B82" s="1415"/>
      <c r="C82" s="1415"/>
      <c r="D82" s="1390"/>
      <c r="E82" s="1390"/>
      <c r="F82" s="1390"/>
      <c r="G82" s="691"/>
      <c r="H82" s="692"/>
      <c r="I82" s="692"/>
      <c r="J82" s="687"/>
      <c r="K82" s="736"/>
      <c r="L82" s="736"/>
      <c r="M82" s="736"/>
      <c r="N82" s="670"/>
      <c r="O82" s="736"/>
      <c r="P82" s="736"/>
      <c r="Q82" s="663"/>
      <c r="R82" s="1408"/>
      <c r="S82" s="1409"/>
      <c r="T82" s="1410"/>
      <c r="U82" s="736"/>
      <c r="V82" s="670"/>
      <c r="W82" s="736"/>
      <c r="X82" s="736"/>
      <c r="Y82" s="736"/>
      <c r="Z82" s="670"/>
      <c r="AA82" s="663"/>
      <c r="AB82" s="663"/>
      <c r="AC82" s="663"/>
      <c r="AD82" s="671"/>
      <c r="AE82" s="663"/>
      <c r="AF82" s="663"/>
      <c r="AG82" s="663"/>
      <c r="AH82" s="671"/>
      <c r="AI82" s="736"/>
      <c r="AJ82" s="736"/>
      <c r="AK82" s="685"/>
      <c r="AL82" s="686"/>
      <c r="AM82" s="685"/>
      <c r="AN82" s="685"/>
      <c r="AO82" s="685"/>
      <c r="AP82" s="686"/>
      <c r="AQ82" s="685"/>
      <c r="AR82" s="685"/>
      <c r="AS82" s="685"/>
      <c r="AT82" s="686"/>
      <c r="AU82" s="685"/>
      <c r="AV82" s="685"/>
      <c r="AW82" s="685"/>
      <c r="AX82" s="686"/>
      <c r="AY82" s="685"/>
      <c r="AZ82" s="685"/>
      <c r="BA82" s="685"/>
      <c r="BB82" s="686"/>
      <c r="BC82" s="685"/>
      <c r="BD82" s="685"/>
      <c r="BE82" s="685"/>
      <c r="BF82" s="686"/>
      <c r="BG82" s="685"/>
      <c r="BH82" s="685"/>
      <c r="BI82" s="685"/>
      <c r="BJ82" s="686"/>
      <c r="BK82" s="685"/>
      <c r="BL82" s="685"/>
      <c r="BM82" s="685"/>
      <c r="BN82" s="686"/>
      <c r="BO82" s="685"/>
      <c r="BP82" s="685"/>
      <c r="BQ82" s="685"/>
      <c r="BR82" s="686"/>
      <c r="BS82" s="685"/>
      <c r="BT82" s="685"/>
      <c r="BU82" s="685"/>
      <c r="BV82" s="686"/>
      <c r="BW82" s="736"/>
      <c r="BX82" s="736"/>
      <c r="BY82" s="736"/>
      <c r="BZ82" s="737"/>
      <c r="CA82" s="668"/>
      <c r="CB82" s="657"/>
      <c r="CC82" s="657"/>
      <c r="CD82" s="657"/>
      <c r="CE82" s="657"/>
      <c r="CF82" s="657"/>
      <c r="CG82" s="657"/>
      <c r="CH82" s="657"/>
      <c r="CI82" s="657"/>
    </row>
    <row r="83" spans="1:87" ht="9.9499999999999993" customHeight="1">
      <c r="A83" s="1469"/>
      <c r="B83" s="1469"/>
      <c r="C83" s="1469"/>
      <c r="D83" s="1390"/>
      <c r="E83" s="1390"/>
      <c r="F83" s="1390"/>
      <c r="G83" s="691"/>
      <c r="H83" s="692"/>
      <c r="I83" s="692"/>
      <c r="J83" s="687"/>
      <c r="K83" s="736"/>
      <c r="L83" s="736"/>
      <c r="M83" s="736"/>
      <c r="N83" s="670"/>
      <c r="O83" s="736"/>
      <c r="P83" s="736"/>
      <c r="Q83" s="663"/>
      <c r="R83" s="1408"/>
      <c r="S83" s="1409"/>
      <c r="T83" s="1410"/>
      <c r="U83" s="736"/>
      <c r="V83" s="670"/>
      <c r="W83" s="736"/>
      <c r="X83" s="736"/>
      <c r="Y83" s="736"/>
      <c r="Z83" s="670"/>
      <c r="AA83" s="663"/>
      <c r="AB83" s="663"/>
      <c r="AC83" s="663"/>
      <c r="AD83" s="671"/>
      <c r="AE83" s="663"/>
      <c r="AF83" s="663"/>
      <c r="AG83" s="663"/>
      <c r="AH83" s="671"/>
      <c r="AI83" s="736"/>
      <c r="AJ83" s="736"/>
      <c r="AK83" s="685"/>
      <c r="AL83" s="686"/>
      <c r="AM83" s="685"/>
      <c r="AN83" s="685"/>
      <c r="AO83" s="685"/>
      <c r="AP83" s="686"/>
      <c r="AQ83" s="685"/>
      <c r="AR83" s="685"/>
      <c r="AS83" s="685"/>
      <c r="AT83" s="686"/>
      <c r="AU83" s="685"/>
      <c r="AV83" s="685"/>
      <c r="AW83" s="685"/>
      <c r="AX83" s="686"/>
      <c r="AY83" s="685"/>
      <c r="AZ83" s="685"/>
      <c r="BA83" s="685"/>
      <c r="BB83" s="686"/>
      <c r="BC83" s="685"/>
      <c r="BD83" s="685"/>
      <c r="BE83" s="685"/>
      <c r="BF83" s="686"/>
      <c r="BG83" s="685"/>
      <c r="BH83" s="685"/>
      <c r="BI83" s="685"/>
      <c r="BJ83" s="686"/>
      <c r="BK83" s="685"/>
      <c r="BL83" s="685"/>
      <c r="BM83" s="685"/>
      <c r="BN83" s="686"/>
      <c r="BO83" s="685"/>
      <c r="BP83" s="685"/>
      <c r="BQ83" s="685"/>
      <c r="BR83" s="686"/>
      <c r="BS83" s="685"/>
      <c r="BT83" s="685"/>
      <c r="BU83" s="685"/>
      <c r="BV83" s="686"/>
      <c r="BW83" s="736"/>
      <c r="BX83" s="736"/>
      <c r="BY83" s="736"/>
      <c r="BZ83" s="737"/>
      <c r="CA83" s="668"/>
      <c r="CB83" s="657"/>
      <c r="CC83" s="657"/>
      <c r="CD83" s="657"/>
      <c r="CE83" s="657"/>
      <c r="CF83" s="657"/>
      <c r="CG83" s="657"/>
      <c r="CH83" s="657"/>
      <c r="CI83" s="657"/>
    </row>
    <row r="84" spans="1:87" ht="9.9499999999999993" customHeight="1" thickBot="1">
      <c r="A84" s="1470" t="str">
        <f>BE55</f>
        <v/>
      </c>
      <c r="B84" s="1471"/>
      <c r="C84" s="1472"/>
      <c r="D84" s="1467"/>
      <c r="E84" s="1467"/>
      <c r="F84" s="1467"/>
      <c r="G84" s="691"/>
      <c r="H84" s="692"/>
      <c r="I84" s="692"/>
      <c r="J84" s="687"/>
      <c r="K84" s="736"/>
      <c r="L84" s="736"/>
      <c r="M84" s="736"/>
      <c r="N84" s="670"/>
      <c r="O84" s="736"/>
      <c r="P84" s="736"/>
      <c r="Q84" s="663"/>
      <c r="R84" s="1408"/>
      <c r="S84" s="1409"/>
      <c r="T84" s="1410"/>
      <c r="U84" s="736"/>
      <c r="V84" s="670"/>
      <c r="W84" s="736"/>
      <c r="X84" s="736"/>
      <c r="Y84" s="736"/>
      <c r="Z84" s="670"/>
      <c r="AA84" s="663"/>
      <c r="AB84" s="663"/>
      <c r="AC84" s="663"/>
      <c r="AD84" s="671"/>
      <c r="AE84" s="663"/>
      <c r="AF84" s="663"/>
      <c r="AG84" s="663"/>
      <c r="AH84" s="671"/>
      <c r="AI84" s="736"/>
      <c r="AJ84" s="736"/>
      <c r="AK84" s="685"/>
      <c r="AL84" s="686"/>
      <c r="AM84" s="685"/>
      <c r="AN84" s="685"/>
      <c r="AO84" s="685"/>
      <c r="AP84" s="686"/>
      <c r="AQ84" s="685"/>
      <c r="AR84" s="685"/>
      <c r="AS84" s="685"/>
      <c r="AT84" s="686"/>
      <c r="AU84" s="685"/>
      <c r="AV84" s="685"/>
      <c r="AW84" s="685"/>
      <c r="AX84" s="686"/>
      <c r="AY84" s="685"/>
      <c r="AZ84" s="685"/>
      <c r="BA84" s="685"/>
      <c r="BB84" s="686"/>
      <c r="BC84" s="685"/>
      <c r="BD84" s="685"/>
      <c r="BE84" s="685"/>
      <c r="BF84" s="686"/>
      <c r="BG84" s="685"/>
      <c r="BH84" s="685"/>
      <c r="BI84" s="685"/>
      <c r="BJ84" s="686"/>
      <c r="BK84" s="685"/>
      <c r="BL84" s="685"/>
      <c r="BM84" s="685"/>
      <c r="BN84" s="686"/>
      <c r="BO84" s="685"/>
      <c r="BP84" s="685"/>
      <c r="BQ84" s="685"/>
      <c r="BR84" s="686"/>
      <c r="BS84" s="685"/>
      <c r="BT84" s="685"/>
      <c r="BU84" s="685"/>
      <c r="BV84" s="686"/>
      <c r="BW84" s="736"/>
      <c r="BX84" s="736"/>
      <c r="BY84" s="736"/>
      <c r="BZ84" s="737"/>
      <c r="CA84" s="668"/>
      <c r="CB84" s="657"/>
      <c r="CC84" s="657"/>
      <c r="CD84" s="657"/>
      <c r="CE84" s="657"/>
      <c r="CF84" s="657"/>
      <c r="CG84" s="657"/>
      <c r="CH84" s="657"/>
      <c r="CI84" s="657"/>
    </row>
    <row r="85" spans="1:87" ht="9.9499999999999993" customHeight="1">
      <c r="A85" s="1386"/>
      <c r="B85" s="1387"/>
      <c r="C85" s="1388"/>
      <c r="D85" s="1390"/>
      <c r="E85" s="1390"/>
      <c r="F85" s="1390"/>
      <c r="G85" s="695"/>
      <c r="H85" s="696"/>
      <c r="I85" s="696"/>
      <c r="J85" s="690"/>
      <c r="K85" s="739"/>
      <c r="L85" s="739"/>
      <c r="M85" s="739"/>
      <c r="N85" s="675"/>
      <c r="O85" s="739"/>
      <c r="P85" s="739"/>
      <c r="Q85" s="676"/>
      <c r="R85" s="1408"/>
      <c r="S85" s="1409"/>
      <c r="T85" s="1410"/>
      <c r="U85" s="739"/>
      <c r="V85" s="675"/>
      <c r="W85" s="739"/>
      <c r="X85" s="739"/>
      <c r="Y85" s="739"/>
      <c r="Z85" s="675"/>
      <c r="AA85" s="676"/>
      <c r="AB85" s="676"/>
      <c r="AC85" s="676"/>
      <c r="AD85" s="677"/>
      <c r="AE85" s="676"/>
      <c r="AF85" s="676"/>
      <c r="AG85" s="676"/>
      <c r="AH85" s="677"/>
      <c r="AI85" s="739"/>
      <c r="AJ85" s="739"/>
      <c r="AK85" s="689"/>
      <c r="AL85" s="690"/>
      <c r="AM85" s="689"/>
      <c r="AN85" s="689"/>
      <c r="AO85" s="689"/>
      <c r="AP85" s="690"/>
      <c r="AQ85" s="689"/>
      <c r="AR85" s="689"/>
      <c r="AS85" s="689"/>
      <c r="AT85" s="690"/>
      <c r="AU85" s="689"/>
      <c r="AV85" s="689"/>
      <c r="AW85" s="689"/>
      <c r="AX85" s="690"/>
      <c r="AY85" s="689"/>
      <c r="AZ85" s="689"/>
      <c r="BA85" s="689"/>
      <c r="BB85" s="690"/>
      <c r="BC85" s="689"/>
      <c r="BD85" s="689"/>
      <c r="BE85" s="689"/>
      <c r="BF85" s="690"/>
      <c r="BG85" s="689"/>
      <c r="BH85" s="689"/>
      <c r="BI85" s="689"/>
      <c r="BJ85" s="690"/>
      <c r="BK85" s="689"/>
      <c r="BL85" s="689"/>
      <c r="BM85" s="689"/>
      <c r="BN85" s="690"/>
      <c r="BO85" s="689"/>
      <c r="BP85" s="689"/>
      <c r="BQ85" s="689"/>
      <c r="BR85" s="690"/>
      <c r="BS85" s="689"/>
      <c r="BT85" s="689"/>
      <c r="BU85" s="689"/>
      <c r="BV85" s="690"/>
      <c r="BW85" s="689"/>
      <c r="BX85" s="689"/>
      <c r="BY85" s="689"/>
      <c r="BZ85" s="697"/>
      <c r="CA85" s="679"/>
      <c r="CB85" s="657"/>
      <c r="CC85" s="657"/>
      <c r="CD85" s="657"/>
      <c r="CE85" s="657"/>
      <c r="CF85" s="657"/>
      <c r="CG85" s="657"/>
      <c r="CH85" s="657"/>
      <c r="CI85" s="657"/>
    </row>
    <row r="86" spans="1:87" ht="9.9499999999999993" customHeight="1">
      <c r="A86" s="1386"/>
      <c r="B86" s="1387"/>
      <c r="C86" s="1388"/>
      <c r="D86" s="1390" t="s">
        <v>77</v>
      </c>
      <c r="E86" s="1390"/>
      <c r="F86" s="1390"/>
      <c r="G86" s="698"/>
      <c r="H86" s="699"/>
      <c r="I86" s="699"/>
      <c r="J86" s="700"/>
      <c r="K86" s="701"/>
      <c r="L86" s="701"/>
      <c r="M86" s="680"/>
      <c r="N86" s="681"/>
      <c r="O86" s="680"/>
      <c r="P86" s="680"/>
      <c r="Q86" s="680"/>
      <c r="R86" s="1408"/>
      <c r="S86" s="1409"/>
      <c r="T86" s="1410"/>
      <c r="U86" s="680"/>
      <c r="V86" s="681"/>
      <c r="W86" s="680"/>
      <c r="X86" s="680"/>
      <c r="Y86" s="682"/>
      <c r="Z86" s="683"/>
      <c r="AA86" s="662"/>
      <c r="AB86" s="662"/>
      <c r="AC86" s="662"/>
      <c r="AD86" s="683"/>
      <c r="AE86" s="662"/>
      <c r="AF86" s="662"/>
      <c r="AG86" s="735"/>
      <c r="AH86" s="702"/>
      <c r="AI86" s="735"/>
      <c r="AJ86" s="735"/>
      <c r="AK86" s="680"/>
      <c r="AL86" s="681"/>
      <c r="AM86" s="680"/>
      <c r="AN86" s="680"/>
      <c r="AO86" s="680"/>
      <c r="AP86" s="681"/>
      <c r="AQ86" s="680"/>
      <c r="AR86" s="680"/>
      <c r="AS86" s="680"/>
      <c r="AT86" s="681"/>
      <c r="AU86" s="680"/>
      <c r="AV86" s="680"/>
      <c r="AW86" s="680"/>
      <c r="AX86" s="681"/>
      <c r="AY86" s="680"/>
      <c r="AZ86" s="680"/>
      <c r="BA86" s="680"/>
      <c r="BB86" s="681"/>
      <c r="BC86" s="680"/>
      <c r="BD86" s="680"/>
      <c r="BE86" s="680"/>
      <c r="BF86" s="681"/>
      <c r="BG86" s="680"/>
      <c r="BH86" s="680"/>
      <c r="BI86" s="680"/>
      <c r="BJ86" s="681"/>
      <c r="BK86" s="680"/>
      <c r="BL86" s="680"/>
      <c r="BM86" s="680"/>
      <c r="BN86" s="681"/>
      <c r="BO86" s="680"/>
      <c r="BP86" s="680"/>
      <c r="BQ86" s="680"/>
      <c r="BR86" s="681"/>
      <c r="BS86" s="680"/>
      <c r="BT86" s="680"/>
      <c r="BU86" s="680"/>
      <c r="BV86" s="681"/>
      <c r="BW86" s="680"/>
      <c r="BX86" s="680"/>
      <c r="BY86" s="680"/>
      <c r="BZ86" s="684"/>
      <c r="CA86" s="668"/>
      <c r="CB86" s="657"/>
      <c r="CC86" s="657"/>
      <c r="CD86" s="657"/>
      <c r="CE86" s="657"/>
      <c r="CF86" s="657"/>
      <c r="CG86" s="657"/>
      <c r="CH86" s="657"/>
      <c r="CI86" s="657"/>
    </row>
    <row r="87" spans="1:87" ht="9.9499999999999993" customHeight="1">
      <c r="A87" s="1468" t="s">
        <v>14</v>
      </c>
      <c r="B87" s="1468"/>
      <c r="C87" s="1468"/>
      <c r="D87" s="1390"/>
      <c r="E87" s="1390"/>
      <c r="F87" s="1390"/>
      <c r="G87" s="691"/>
      <c r="H87" s="692"/>
      <c r="I87" s="692"/>
      <c r="J87" s="687"/>
      <c r="K87" s="688"/>
      <c r="L87" s="688"/>
      <c r="M87" s="685"/>
      <c r="N87" s="686"/>
      <c r="O87" s="685"/>
      <c r="P87" s="685"/>
      <c r="Q87" s="685"/>
      <c r="R87" s="1408"/>
      <c r="S87" s="1409"/>
      <c r="T87" s="1410"/>
      <c r="U87" s="685"/>
      <c r="V87" s="686"/>
      <c r="W87" s="685"/>
      <c r="X87" s="685"/>
      <c r="Y87" s="663"/>
      <c r="Z87" s="671"/>
      <c r="AA87" s="663"/>
      <c r="AB87" s="663"/>
      <c r="AC87" s="663"/>
      <c r="AD87" s="671"/>
      <c r="AE87" s="663"/>
      <c r="AF87" s="663"/>
      <c r="AG87" s="736"/>
      <c r="AH87" s="670"/>
      <c r="AI87" s="736"/>
      <c r="AJ87" s="736"/>
      <c r="AK87" s="685"/>
      <c r="AL87" s="686"/>
      <c r="AM87" s="685"/>
      <c r="AN87" s="685"/>
      <c r="AO87" s="685"/>
      <c r="AP87" s="686"/>
      <c r="AQ87" s="685"/>
      <c r="AR87" s="685"/>
      <c r="AS87" s="685"/>
      <c r="AT87" s="686"/>
      <c r="AU87" s="685"/>
      <c r="AV87" s="685"/>
      <c r="AW87" s="685"/>
      <c r="AX87" s="686"/>
      <c r="AY87" s="685"/>
      <c r="AZ87" s="685"/>
      <c r="BA87" s="685"/>
      <c r="BB87" s="686"/>
      <c r="BC87" s="685"/>
      <c r="BD87" s="685"/>
      <c r="BE87" s="685"/>
      <c r="BF87" s="686"/>
      <c r="BG87" s="685"/>
      <c r="BH87" s="685"/>
      <c r="BI87" s="685"/>
      <c r="BJ87" s="686"/>
      <c r="BK87" s="685"/>
      <c r="BL87" s="685"/>
      <c r="BM87" s="685"/>
      <c r="BN87" s="686"/>
      <c r="BO87" s="685"/>
      <c r="BP87" s="685"/>
      <c r="BQ87" s="685"/>
      <c r="BR87" s="686"/>
      <c r="BS87" s="685"/>
      <c r="BT87" s="685"/>
      <c r="BU87" s="685"/>
      <c r="BV87" s="686"/>
      <c r="BW87" s="736"/>
      <c r="BX87" s="736"/>
      <c r="BY87" s="736"/>
      <c r="BZ87" s="737"/>
      <c r="CA87" s="668"/>
      <c r="CB87" s="657"/>
      <c r="CC87" s="657"/>
      <c r="CD87" s="657"/>
      <c r="CE87" s="657"/>
      <c r="CF87" s="657"/>
      <c r="CG87" s="657"/>
      <c r="CH87" s="657"/>
      <c r="CI87" s="657"/>
    </row>
    <row r="88" spans="1:87" ht="9.9499999999999993" customHeight="1">
      <c r="A88" s="1415"/>
      <c r="B88" s="1415"/>
      <c r="C88" s="1415"/>
      <c r="D88" s="1390"/>
      <c r="E88" s="1390"/>
      <c r="F88" s="1390"/>
      <c r="G88" s="691"/>
      <c r="H88" s="692"/>
      <c r="I88" s="692"/>
      <c r="J88" s="687"/>
      <c r="K88" s="688"/>
      <c r="L88" s="688"/>
      <c r="M88" s="685"/>
      <c r="N88" s="686"/>
      <c r="O88" s="685"/>
      <c r="P88" s="685"/>
      <c r="Q88" s="685"/>
      <c r="R88" s="1408"/>
      <c r="S88" s="1409"/>
      <c r="T88" s="1410"/>
      <c r="U88" s="685"/>
      <c r="V88" s="686"/>
      <c r="W88" s="685"/>
      <c r="X88" s="685"/>
      <c r="Y88" s="663"/>
      <c r="Z88" s="671"/>
      <c r="AA88" s="663"/>
      <c r="AB88" s="663"/>
      <c r="AC88" s="663"/>
      <c r="AD88" s="671"/>
      <c r="AE88" s="663"/>
      <c r="AF88" s="663"/>
      <c r="AG88" s="736"/>
      <c r="AH88" s="670"/>
      <c r="AI88" s="736"/>
      <c r="AJ88" s="736"/>
      <c r="AK88" s="685"/>
      <c r="AL88" s="686"/>
      <c r="AM88" s="685"/>
      <c r="AN88" s="685"/>
      <c r="AO88" s="685"/>
      <c r="AP88" s="686"/>
      <c r="AQ88" s="685"/>
      <c r="AR88" s="685"/>
      <c r="AS88" s="685"/>
      <c r="AT88" s="686"/>
      <c r="AU88" s="685"/>
      <c r="AV88" s="685"/>
      <c r="AW88" s="685"/>
      <c r="AX88" s="686"/>
      <c r="AY88" s="685"/>
      <c r="AZ88" s="685"/>
      <c r="BA88" s="685"/>
      <c r="BB88" s="686"/>
      <c r="BC88" s="685"/>
      <c r="BD88" s="685"/>
      <c r="BE88" s="663"/>
      <c r="BF88" s="687"/>
      <c r="BG88" s="688"/>
      <c r="BH88" s="688"/>
      <c r="BI88" s="688"/>
      <c r="BJ88" s="687"/>
      <c r="BK88" s="688"/>
      <c r="BL88" s="688"/>
      <c r="BM88" s="688"/>
      <c r="BN88" s="687"/>
      <c r="BO88" s="688"/>
      <c r="BP88" s="688"/>
      <c r="BQ88" s="688"/>
      <c r="BR88" s="687"/>
      <c r="BS88" s="688"/>
      <c r="BT88" s="688"/>
      <c r="BU88" s="688"/>
      <c r="BV88" s="687"/>
      <c r="BW88" s="736"/>
      <c r="BX88" s="736"/>
      <c r="BY88" s="736"/>
      <c r="BZ88" s="737"/>
      <c r="CA88" s="672"/>
      <c r="CB88" s="657"/>
      <c r="CC88" s="657"/>
      <c r="CD88" s="657"/>
      <c r="CE88" s="657"/>
      <c r="CF88" s="657"/>
      <c r="CG88" s="657"/>
      <c r="CH88" s="657"/>
      <c r="CI88" s="657"/>
    </row>
    <row r="89" spans="1:87" ht="9.9499999999999993" customHeight="1">
      <c r="A89" s="1469"/>
      <c r="B89" s="1469"/>
      <c r="C89" s="1469"/>
      <c r="D89" s="1390"/>
      <c r="E89" s="1390"/>
      <c r="F89" s="1390"/>
      <c r="G89" s="691"/>
      <c r="H89" s="692"/>
      <c r="I89" s="692"/>
      <c r="J89" s="687"/>
      <c r="K89" s="688"/>
      <c r="L89" s="688"/>
      <c r="M89" s="688"/>
      <c r="N89" s="687"/>
      <c r="O89" s="703"/>
      <c r="P89" s="688"/>
      <c r="Q89" s="688"/>
      <c r="R89" s="1408"/>
      <c r="S89" s="1409"/>
      <c r="T89" s="1410"/>
      <c r="U89" s="688"/>
      <c r="V89" s="687"/>
      <c r="W89" s="688"/>
      <c r="X89" s="688"/>
      <c r="Y89" s="663"/>
      <c r="Z89" s="671"/>
      <c r="AA89" s="663"/>
      <c r="AB89" s="663"/>
      <c r="AC89" s="663"/>
      <c r="AD89" s="671"/>
      <c r="AE89" s="663"/>
      <c r="AF89" s="663"/>
      <c r="AG89" s="736"/>
      <c r="AH89" s="670"/>
      <c r="AI89" s="736"/>
      <c r="AJ89" s="736"/>
      <c r="AK89" s="688"/>
      <c r="AL89" s="687"/>
      <c r="AM89" s="688"/>
      <c r="AN89" s="688"/>
      <c r="AO89" s="688"/>
      <c r="AP89" s="687"/>
      <c r="AQ89" s="688"/>
      <c r="AR89" s="688"/>
      <c r="AS89" s="688"/>
      <c r="AT89" s="687"/>
      <c r="AU89" s="688"/>
      <c r="AV89" s="688"/>
      <c r="AW89" s="688"/>
      <c r="AX89" s="687"/>
      <c r="AY89" s="688"/>
      <c r="AZ89" s="688"/>
      <c r="BA89" s="688"/>
      <c r="BB89" s="687"/>
      <c r="BC89" s="688"/>
      <c r="BD89" s="688"/>
      <c r="BE89" s="688"/>
      <c r="BF89" s="687"/>
      <c r="BG89" s="688"/>
      <c r="BH89" s="688"/>
      <c r="BI89" s="688"/>
      <c r="BJ89" s="687"/>
      <c r="BK89" s="688"/>
      <c r="BL89" s="688"/>
      <c r="BM89" s="688"/>
      <c r="BN89" s="687"/>
      <c r="BO89" s="688"/>
      <c r="BP89" s="688"/>
      <c r="BQ89" s="688"/>
      <c r="BR89" s="687"/>
      <c r="BS89" s="688"/>
      <c r="BT89" s="688"/>
      <c r="BU89" s="688"/>
      <c r="BV89" s="687"/>
      <c r="BW89" s="736"/>
      <c r="BX89" s="736"/>
      <c r="BY89" s="736"/>
      <c r="BZ89" s="737"/>
      <c r="CA89" s="672"/>
      <c r="CB89" s="657"/>
      <c r="CC89" s="657"/>
      <c r="CD89" s="657"/>
      <c r="CE89" s="657"/>
      <c r="CF89" s="657"/>
      <c r="CG89" s="657"/>
      <c r="CH89" s="657"/>
      <c r="CI89" s="657"/>
    </row>
    <row r="90" spans="1:87" ht="9.9499999999999993" customHeight="1">
      <c r="A90" s="1473" t="s">
        <v>38</v>
      </c>
      <c r="B90" s="1473"/>
      <c r="C90" s="1473"/>
      <c r="D90" s="1390"/>
      <c r="E90" s="1390"/>
      <c r="F90" s="1390"/>
      <c r="G90" s="691"/>
      <c r="H90" s="692"/>
      <c r="I90" s="692"/>
      <c r="J90" s="687"/>
      <c r="K90" s="688"/>
      <c r="L90" s="688"/>
      <c r="M90" s="685"/>
      <c r="N90" s="686"/>
      <c r="O90" s="704"/>
      <c r="P90" s="685"/>
      <c r="Q90" s="685"/>
      <c r="R90" s="1408"/>
      <c r="S90" s="1409"/>
      <c r="T90" s="1410"/>
      <c r="U90" s="685"/>
      <c r="V90" s="686"/>
      <c r="W90" s="685"/>
      <c r="X90" s="685"/>
      <c r="Y90" s="663"/>
      <c r="Z90" s="671"/>
      <c r="AA90" s="663"/>
      <c r="AB90" s="663"/>
      <c r="AC90" s="663"/>
      <c r="AD90" s="671"/>
      <c r="AE90" s="663"/>
      <c r="AF90" s="663"/>
      <c r="AG90" s="736"/>
      <c r="AH90" s="670"/>
      <c r="AI90" s="736"/>
      <c r="AJ90" s="736"/>
      <c r="AK90" s="685"/>
      <c r="AL90" s="686"/>
      <c r="AM90" s="685"/>
      <c r="AN90" s="685"/>
      <c r="AO90" s="685"/>
      <c r="AP90" s="686"/>
      <c r="AQ90" s="685"/>
      <c r="AR90" s="685"/>
      <c r="AS90" s="685"/>
      <c r="AT90" s="686"/>
      <c r="AU90" s="685"/>
      <c r="AV90" s="685"/>
      <c r="AW90" s="685"/>
      <c r="AX90" s="686"/>
      <c r="AY90" s="685"/>
      <c r="AZ90" s="685"/>
      <c r="BA90" s="685"/>
      <c r="BB90" s="686"/>
      <c r="BC90" s="685"/>
      <c r="BD90" s="685"/>
      <c r="BE90" s="685"/>
      <c r="BF90" s="686"/>
      <c r="BG90" s="685"/>
      <c r="BH90" s="685"/>
      <c r="BI90" s="685"/>
      <c r="BJ90" s="686"/>
      <c r="BK90" s="685"/>
      <c r="BL90" s="685"/>
      <c r="BM90" s="685"/>
      <c r="BN90" s="686"/>
      <c r="BO90" s="685"/>
      <c r="BP90" s="685"/>
      <c r="BQ90" s="685"/>
      <c r="BR90" s="686"/>
      <c r="BS90" s="685"/>
      <c r="BT90" s="685"/>
      <c r="BU90" s="685"/>
      <c r="BV90" s="686"/>
      <c r="BW90" s="736"/>
      <c r="BX90" s="736"/>
      <c r="BY90" s="736"/>
      <c r="BZ90" s="737"/>
      <c r="CA90" s="668"/>
      <c r="CB90" s="657"/>
      <c r="CC90" s="657"/>
      <c r="CD90" s="657"/>
      <c r="CE90" s="657"/>
      <c r="CF90" s="657"/>
      <c r="CG90" s="657"/>
      <c r="CH90" s="657"/>
      <c r="CI90" s="657"/>
    </row>
    <row r="91" spans="1:87" ht="9.9499999999999993" customHeight="1">
      <c r="A91" s="1474" t="str">
        <f>BK55</f>
        <v/>
      </c>
      <c r="B91" s="1474"/>
      <c r="C91" s="1474"/>
      <c r="D91" s="1390"/>
      <c r="E91" s="1390"/>
      <c r="F91" s="1390"/>
      <c r="G91" s="691"/>
      <c r="H91" s="692"/>
      <c r="I91" s="692"/>
      <c r="J91" s="687"/>
      <c r="K91" s="688"/>
      <c r="L91" s="688"/>
      <c r="M91" s="685"/>
      <c r="N91" s="686"/>
      <c r="O91" s="704"/>
      <c r="P91" s="685"/>
      <c r="Q91" s="685"/>
      <c r="R91" s="1408"/>
      <c r="S91" s="1409"/>
      <c r="T91" s="1410"/>
      <c r="U91" s="685"/>
      <c r="V91" s="686"/>
      <c r="W91" s="685"/>
      <c r="X91" s="685"/>
      <c r="Y91" s="663"/>
      <c r="Z91" s="671"/>
      <c r="AA91" s="663"/>
      <c r="AB91" s="663"/>
      <c r="AC91" s="663"/>
      <c r="AD91" s="671"/>
      <c r="AE91" s="663"/>
      <c r="AF91" s="663"/>
      <c r="AG91" s="736"/>
      <c r="AH91" s="670"/>
      <c r="AI91" s="736"/>
      <c r="AJ91" s="736"/>
      <c r="AK91" s="685"/>
      <c r="AL91" s="686"/>
      <c r="AM91" s="685"/>
      <c r="AN91" s="685"/>
      <c r="AO91" s="685"/>
      <c r="AP91" s="686"/>
      <c r="AQ91" s="685"/>
      <c r="AR91" s="685"/>
      <c r="AS91" s="685"/>
      <c r="AT91" s="686"/>
      <c r="AU91" s="685"/>
      <c r="AV91" s="685"/>
      <c r="AW91" s="685"/>
      <c r="AX91" s="686"/>
      <c r="AY91" s="685"/>
      <c r="AZ91" s="685"/>
      <c r="BA91" s="685"/>
      <c r="BB91" s="686"/>
      <c r="BC91" s="685"/>
      <c r="BD91" s="685"/>
      <c r="BE91" s="685"/>
      <c r="BF91" s="686"/>
      <c r="BG91" s="685"/>
      <c r="BH91" s="685"/>
      <c r="BI91" s="685"/>
      <c r="BJ91" s="686"/>
      <c r="BK91" s="685"/>
      <c r="BL91" s="685"/>
      <c r="BM91" s="685"/>
      <c r="BN91" s="686"/>
      <c r="BO91" s="685"/>
      <c r="BP91" s="685"/>
      <c r="BQ91" s="685"/>
      <c r="BR91" s="686"/>
      <c r="BS91" s="685"/>
      <c r="BT91" s="685"/>
      <c r="BU91" s="685"/>
      <c r="BV91" s="686"/>
      <c r="BW91" s="736"/>
      <c r="BX91" s="736"/>
      <c r="BY91" s="736"/>
      <c r="BZ91" s="737"/>
      <c r="CA91" s="668"/>
      <c r="CB91" s="657"/>
      <c r="CC91" s="657"/>
      <c r="CD91" s="657"/>
      <c r="CE91" s="657"/>
      <c r="CF91" s="657"/>
      <c r="CG91" s="657"/>
      <c r="CH91" s="657"/>
      <c r="CI91" s="657"/>
    </row>
    <row r="92" spans="1:87" ht="9.9499999999999993" customHeight="1">
      <c r="A92" s="1475"/>
      <c r="B92" s="1475"/>
      <c r="C92" s="1475"/>
      <c r="D92" s="1390"/>
      <c r="E92" s="1390"/>
      <c r="F92" s="1390"/>
      <c r="G92" s="691"/>
      <c r="H92" s="692"/>
      <c r="I92" s="692"/>
      <c r="J92" s="687"/>
      <c r="K92" s="688"/>
      <c r="L92" s="688"/>
      <c r="M92" s="685"/>
      <c r="N92" s="686"/>
      <c r="O92" s="704"/>
      <c r="P92" s="685"/>
      <c r="Q92" s="685"/>
      <c r="R92" s="1408"/>
      <c r="S92" s="1409"/>
      <c r="T92" s="1410"/>
      <c r="U92" s="685"/>
      <c r="V92" s="686"/>
      <c r="W92" s="685"/>
      <c r="X92" s="685"/>
      <c r="Y92" s="663"/>
      <c r="Z92" s="671"/>
      <c r="AA92" s="663"/>
      <c r="AB92" s="663"/>
      <c r="AC92" s="663"/>
      <c r="AD92" s="671"/>
      <c r="AE92" s="663"/>
      <c r="AF92" s="663"/>
      <c r="AG92" s="736"/>
      <c r="AH92" s="670"/>
      <c r="AI92" s="736"/>
      <c r="AJ92" s="736"/>
      <c r="AK92" s="685"/>
      <c r="AL92" s="686"/>
      <c r="AM92" s="685"/>
      <c r="AN92" s="685"/>
      <c r="AO92" s="685"/>
      <c r="AP92" s="686"/>
      <c r="AQ92" s="685"/>
      <c r="AR92" s="685"/>
      <c r="AS92" s="685"/>
      <c r="AT92" s="686"/>
      <c r="AU92" s="685"/>
      <c r="AV92" s="685"/>
      <c r="AW92" s="685"/>
      <c r="AX92" s="686"/>
      <c r="AY92" s="685"/>
      <c r="AZ92" s="685"/>
      <c r="BA92" s="685"/>
      <c r="BB92" s="686"/>
      <c r="BC92" s="685"/>
      <c r="BD92" s="685"/>
      <c r="BE92" s="685"/>
      <c r="BF92" s="686"/>
      <c r="BG92" s="685"/>
      <c r="BH92" s="685"/>
      <c r="BI92" s="685"/>
      <c r="BJ92" s="686"/>
      <c r="BK92" s="685"/>
      <c r="BL92" s="685"/>
      <c r="BM92" s="685"/>
      <c r="BN92" s="686"/>
      <c r="BO92" s="685"/>
      <c r="BP92" s="685"/>
      <c r="BQ92" s="685"/>
      <c r="BR92" s="686"/>
      <c r="BS92" s="685"/>
      <c r="BT92" s="685"/>
      <c r="BU92" s="685"/>
      <c r="BV92" s="686"/>
      <c r="BW92" s="736"/>
      <c r="BX92" s="736"/>
      <c r="BY92" s="736"/>
      <c r="BZ92" s="737"/>
      <c r="CA92" s="668"/>
      <c r="CB92" s="657"/>
      <c r="CC92" s="657"/>
      <c r="CD92" s="657"/>
      <c r="CE92" s="657"/>
      <c r="CF92" s="657"/>
      <c r="CG92" s="657"/>
      <c r="CH92" s="657"/>
      <c r="CI92" s="657"/>
    </row>
    <row r="93" spans="1:87" ht="9.9499999999999993" customHeight="1">
      <c r="A93" s="1468" t="s">
        <v>37</v>
      </c>
      <c r="B93" s="1468"/>
      <c r="C93" s="1468"/>
      <c r="D93" s="1390"/>
      <c r="E93" s="1390"/>
      <c r="F93" s="1390"/>
      <c r="G93" s="695"/>
      <c r="H93" s="696"/>
      <c r="I93" s="696"/>
      <c r="J93" s="697"/>
      <c r="K93" s="689"/>
      <c r="L93" s="689"/>
      <c r="M93" s="689"/>
      <c r="N93" s="689"/>
      <c r="O93" s="705"/>
      <c r="P93" s="689"/>
      <c r="Q93" s="689"/>
      <c r="R93" s="1411"/>
      <c r="S93" s="1412"/>
      <c r="T93" s="1413"/>
      <c r="U93" s="689"/>
      <c r="V93" s="689"/>
      <c r="W93" s="705"/>
      <c r="X93" s="689"/>
      <c r="Y93" s="676"/>
      <c r="Z93" s="676"/>
      <c r="AA93" s="706"/>
      <c r="AB93" s="676"/>
      <c r="AC93" s="676"/>
      <c r="AD93" s="676"/>
      <c r="AE93" s="706"/>
      <c r="AF93" s="676"/>
      <c r="AG93" s="739"/>
      <c r="AH93" s="740"/>
      <c r="AI93" s="739"/>
      <c r="AJ93" s="739"/>
      <c r="AK93" s="689"/>
      <c r="AL93" s="689"/>
      <c r="AM93" s="705"/>
      <c r="AN93" s="689"/>
      <c r="AO93" s="689"/>
      <c r="AP93" s="689"/>
      <c r="AQ93" s="705"/>
      <c r="AR93" s="689"/>
      <c r="AS93" s="689"/>
      <c r="AT93" s="689"/>
      <c r="AU93" s="705"/>
      <c r="AV93" s="689"/>
      <c r="AW93" s="689"/>
      <c r="AX93" s="689"/>
      <c r="AY93" s="705"/>
      <c r="AZ93" s="689"/>
      <c r="BA93" s="689"/>
      <c r="BB93" s="689"/>
      <c r="BC93" s="705"/>
      <c r="BD93" s="689"/>
      <c r="BE93" s="689"/>
      <c r="BF93" s="689"/>
      <c r="BG93" s="705"/>
      <c r="BH93" s="689"/>
      <c r="BI93" s="689"/>
      <c r="BJ93" s="689"/>
      <c r="BK93" s="705"/>
      <c r="BL93" s="689"/>
      <c r="BM93" s="689"/>
      <c r="BN93" s="689"/>
      <c r="BO93" s="705"/>
      <c r="BP93" s="689"/>
      <c r="BQ93" s="689"/>
      <c r="BR93" s="689"/>
      <c r="BS93" s="705"/>
      <c r="BT93" s="689"/>
      <c r="BU93" s="689"/>
      <c r="BV93" s="689"/>
      <c r="BW93" s="738"/>
      <c r="BX93" s="739"/>
      <c r="BY93" s="739"/>
      <c r="BZ93" s="740"/>
      <c r="CA93" s="679"/>
      <c r="CB93" s="657"/>
      <c r="CC93" s="657"/>
      <c r="CD93" s="657"/>
      <c r="CE93" s="657"/>
      <c r="CF93" s="657"/>
      <c r="CG93" s="657"/>
      <c r="CH93" s="657"/>
      <c r="CI93" s="657"/>
    </row>
    <row r="94" spans="1:87" ht="13.5" customHeight="1">
      <c r="A94" s="708"/>
      <c r="B94" s="708"/>
      <c r="C94" s="708"/>
      <c r="D94" s="708"/>
      <c r="E94" s="708"/>
      <c r="F94" s="708"/>
      <c r="G94" s="1461"/>
      <c r="H94" s="1461"/>
      <c r="I94" s="1391">
        <v>0.25</v>
      </c>
      <c r="J94" s="1391"/>
      <c r="K94" s="1391"/>
      <c r="L94" s="1391"/>
      <c r="M94" s="1391">
        <v>0.29166666666666669</v>
      </c>
      <c r="N94" s="1391"/>
      <c r="O94" s="1391"/>
      <c r="P94" s="1391"/>
      <c r="Q94" s="1391">
        <v>0.33333333333333331</v>
      </c>
      <c r="R94" s="1391"/>
      <c r="S94" s="1391"/>
      <c r="T94" s="1391"/>
      <c r="U94" s="1391">
        <v>0.375</v>
      </c>
      <c r="V94" s="1391"/>
      <c r="W94" s="1391"/>
      <c r="X94" s="1391"/>
      <c r="Y94" s="1391">
        <v>0.41666666666666669</v>
      </c>
      <c r="Z94" s="1418"/>
      <c r="AA94" s="1391"/>
      <c r="AB94" s="1391"/>
      <c r="AC94" s="1391">
        <v>0.45833333333333331</v>
      </c>
      <c r="AD94" s="1391"/>
      <c r="AE94" s="1391"/>
      <c r="AF94" s="1391"/>
      <c r="AG94" s="1385">
        <v>0.5</v>
      </c>
      <c r="AH94" s="1385"/>
      <c r="AI94" s="1385"/>
      <c r="AJ94" s="1385"/>
      <c r="AK94" s="1385">
        <v>4.1666666666666664E-2</v>
      </c>
      <c r="AL94" s="1385"/>
      <c r="AM94" s="1385"/>
      <c r="AN94" s="1385"/>
      <c r="AO94" s="1385">
        <v>8.3333333333333329E-2</v>
      </c>
      <c r="AP94" s="1385"/>
      <c r="AQ94" s="1385"/>
      <c r="AR94" s="1385"/>
      <c r="AS94" s="1385">
        <v>0.125</v>
      </c>
      <c r="AT94" s="1385"/>
      <c r="AU94" s="1385"/>
      <c r="AV94" s="1385"/>
      <c r="AW94" s="1385">
        <v>0.16666666666666666</v>
      </c>
      <c r="AX94" s="1385"/>
      <c r="AY94" s="1385"/>
      <c r="AZ94" s="1385"/>
      <c r="BA94" s="1385">
        <v>0.20833333333333334</v>
      </c>
      <c r="BB94" s="1385"/>
      <c r="BC94" s="1385"/>
      <c r="BD94" s="1385"/>
      <c r="BE94" s="1385">
        <v>0.25</v>
      </c>
      <c r="BF94" s="1385"/>
      <c r="BG94" s="1385"/>
      <c r="BH94" s="1385"/>
      <c r="BI94" s="1385">
        <v>0.29166666666666669</v>
      </c>
      <c r="BJ94" s="1385"/>
      <c r="BK94" s="1385"/>
      <c r="BL94" s="1385"/>
      <c r="BM94" s="1385">
        <v>0.33333333333333331</v>
      </c>
      <c r="BN94" s="1385"/>
      <c r="BO94" s="1385"/>
      <c r="BP94" s="1385"/>
      <c r="BQ94" s="1385">
        <v>0.375</v>
      </c>
      <c r="BR94" s="1385"/>
      <c r="BS94" s="1385"/>
      <c r="BT94" s="1385"/>
      <c r="BU94" s="1385">
        <v>0.41666666666666669</v>
      </c>
      <c r="BV94" s="1414"/>
      <c r="BW94" s="1414"/>
      <c r="BX94" s="1414"/>
      <c r="BY94" s="652"/>
      <c r="BZ94" s="652"/>
      <c r="CA94" s="652"/>
      <c r="CB94" s="657"/>
      <c r="CC94" s="657"/>
      <c r="CD94" s="657"/>
      <c r="CE94" s="657"/>
      <c r="CF94" s="657"/>
      <c r="CG94" s="657"/>
      <c r="CH94" s="657"/>
      <c r="CI94" s="657"/>
    </row>
    <row r="95" spans="1:87" ht="13.5" customHeight="1">
      <c r="A95" s="1415" t="s">
        <v>75</v>
      </c>
      <c r="B95" s="1415"/>
      <c r="C95" s="1415"/>
      <c r="D95" s="1416"/>
      <c r="E95" s="1416"/>
      <c r="F95" s="1416"/>
      <c r="G95" s="1416"/>
      <c r="H95" s="1416"/>
      <c r="I95" s="1416"/>
      <c r="J95" s="1416"/>
      <c r="K95" s="1416"/>
      <c r="L95" s="1416"/>
      <c r="M95" s="1416"/>
      <c r="N95" s="1416"/>
      <c r="O95" s="1416"/>
      <c r="P95" s="1416"/>
      <c r="Q95" s="1416"/>
      <c r="R95" s="1416"/>
      <c r="S95" s="1416"/>
      <c r="T95" s="1416"/>
      <c r="U95" s="1416"/>
      <c r="V95" s="1416"/>
      <c r="W95" s="1416"/>
      <c r="X95" s="1416"/>
      <c r="Y95" s="1416"/>
      <c r="Z95" s="1416"/>
      <c r="AA95" s="1416"/>
      <c r="AB95" s="1416"/>
      <c r="AC95" s="1416"/>
      <c r="AD95" s="1416"/>
      <c r="AE95" s="1416"/>
      <c r="AF95" s="1416"/>
      <c r="AG95" s="1416"/>
      <c r="AH95" s="1416"/>
      <c r="AI95" s="1416"/>
      <c r="AJ95" s="1416"/>
      <c r="AK95" s="1416"/>
      <c r="AL95" s="1416"/>
      <c r="AM95" s="1416"/>
      <c r="AN95" s="1416"/>
      <c r="AO95" s="1416"/>
      <c r="AP95" s="1416"/>
      <c r="AQ95" s="1416"/>
      <c r="AR95" s="1416"/>
      <c r="AS95" s="1416"/>
      <c r="AT95" s="1416"/>
      <c r="AU95" s="1416"/>
      <c r="AV95" s="1416"/>
      <c r="AW95" s="1416"/>
      <c r="AX95" s="1416"/>
      <c r="AY95" s="1416"/>
      <c r="AZ95" s="1416"/>
      <c r="BA95" s="1416"/>
      <c r="BB95" s="1416"/>
      <c r="BC95" s="1416"/>
      <c r="BD95" s="1416"/>
      <c r="BE95" s="1416"/>
      <c r="BF95" s="1416"/>
      <c r="BG95" s="1416"/>
      <c r="BH95" s="1416"/>
      <c r="BI95" s="1416"/>
      <c r="BJ95" s="1416"/>
      <c r="BK95" s="1416"/>
      <c r="BL95" s="1416"/>
      <c r="BM95" s="1416"/>
      <c r="BN95" s="1416"/>
      <c r="BO95" s="1416"/>
      <c r="BP95" s="1416"/>
      <c r="BQ95" s="1416"/>
      <c r="BR95" s="1416"/>
      <c r="BS95" s="1416"/>
      <c r="BT95" s="1416"/>
      <c r="BU95" s="1416"/>
      <c r="BV95" s="1416"/>
      <c r="BW95" s="1416"/>
      <c r="BX95" s="1416"/>
      <c r="BY95" s="1416"/>
      <c r="BZ95" s="1416"/>
      <c r="CA95" s="672"/>
      <c r="CB95" s="709"/>
      <c r="CC95" s="709"/>
      <c r="CD95" s="709"/>
      <c r="CE95" s="709"/>
      <c r="CF95" s="709"/>
      <c r="CG95" s="709"/>
      <c r="CH95" s="709"/>
      <c r="CI95" s="709"/>
    </row>
    <row r="96" spans="1:87">
      <c r="A96" s="1415"/>
      <c r="B96" s="1415"/>
      <c r="C96" s="1415"/>
      <c r="D96" s="1416"/>
      <c r="E96" s="1416"/>
      <c r="F96" s="1416"/>
      <c r="G96" s="1416"/>
      <c r="H96" s="1416"/>
      <c r="I96" s="1416"/>
      <c r="J96" s="1416"/>
      <c r="K96" s="1416"/>
      <c r="L96" s="1416"/>
      <c r="M96" s="1416"/>
      <c r="N96" s="1416"/>
      <c r="O96" s="1416"/>
      <c r="P96" s="1416"/>
      <c r="Q96" s="1416"/>
      <c r="R96" s="1416"/>
      <c r="S96" s="1416"/>
      <c r="T96" s="1416"/>
      <c r="U96" s="1416"/>
      <c r="V96" s="1416"/>
      <c r="W96" s="1416"/>
      <c r="X96" s="1416"/>
      <c r="Y96" s="1416"/>
      <c r="Z96" s="1416"/>
      <c r="AA96" s="1416"/>
      <c r="AB96" s="1416"/>
      <c r="AC96" s="1416"/>
      <c r="AD96" s="1416"/>
      <c r="AE96" s="1416"/>
      <c r="AF96" s="1416"/>
      <c r="AG96" s="1416"/>
      <c r="AH96" s="1416"/>
      <c r="AI96" s="1416"/>
      <c r="AJ96" s="1416"/>
      <c r="AK96" s="1416"/>
      <c r="AL96" s="1416"/>
      <c r="AM96" s="1416"/>
      <c r="AN96" s="1416"/>
      <c r="AO96" s="1416"/>
      <c r="AP96" s="1416"/>
      <c r="AQ96" s="1416"/>
      <c r="AR96" s="1416"/>
      <c r="AS96" s="1416"/>
      <c r="AT96" s="1416"/>
      <c r="AU96" s="1416"/>
      <c r="AV96" s="1416"/>
      <c r="AW96" s="1416"/>
      <c r="AX96" s="1416"/>
      <c r="AY96" s="1416"/>
      <c r="AZ96" s="1416"/>
      <c r="BA96" s="1416"/>
      <c r="BB96" s="1416"/>
      <c r="BC96" s="1416"/>
      <c r="BD96" s="1416"/>
      <c r="BE96" s="1416"/>
      <c r="BF96" s="1416"/>
      <c r="BG96" s="1416"/>
      <c r="BH96" s="1416"/>
      <c r="BI96" s="1416"/>
      <c r="BJ96" s="1416"/>
      <c r="BK96" s="1416"/>
      <c r="BL96" s="1416"/>
      <c r="BM96" s="1416"/>
      <c r="BN96" s="1416"/>
      <c r="BO96" s="1416"/>
      <c r="BP96" s="1416"/>
      <c r="BQ96" s="1416"/>
      <c r="BR96" s="1416"/>
      <c r="BS96" s="1416"/>
      <c r="BT96" s="1416"/>
      <c r="BU96" s="1416"/>
      <c r="BV96" s="1416"/>
      <c r="BW96" s="1416"/>
      <c r="BX96" s="1416"/>
      <c r="BY96" s="1416"/>
      <c r="BZ96" s="1416"/>
      <c r="CA96" s="672"/>
      <c r="CB96" s="709"/>
      <c r="CC96" s="709"/>
      <c r="CD96" s="709"/>
      <c r="CE96" s="709"/>
      <c r="CF96" s="709"/>
      <c r="CG96" s="709"/>
      <c r="CH96" s="709"/>
      <c r="CI96" s="709"/>
    </row>
    <row r="97" spans="1:87">
      <c r="A97" s="1415"/>
      <c r="B97" s="1415"/>
      <c r="C97" s="1415"/>
      <c r="D97" s="1416"/>
      <c r="E97" s="1416"/>
      <c r="F97" s="1416"/>
      <c r="G97" s="1416"/>
      <c r="H97" s="1416"/>
      <c r="I97" s="1416"/>
      <c r="J97" s="1416"/>
      <c r="K97" s="1416"/>
      <c r="L97" s="1416"/>
      <c r="M97" s="1416"/>
      <c r="N97" s="1416"/>
      <c r="O97" s="1416"/>
      <c r="P97" s="1416"/>
      <c r="Q97" s="1416"/>
      <c r="R97" s="1416"/>
      <c r="S97" s="1416"/>
      <c r="T97" s="1416"/>
      <c r="U97" s="1416"/>
      <c r="V97" s="1416"/>
      <c r="W97" s="1416"/>
      <c r="X97" s="1416"/>
      <c r="Y97" s="1416"/>
      <c r="Z97" s="1416"/>
      <c r="AA97" s="1416"/>
      <c r="AB97" s="1416"/>
      <c r="AC97" s="1416"/>
      <c r="AD97" s="1416"/>
      <c r="AE97" s="1416"/>
      <c r="AF97" s="1416"/>
      <c r="AG97" s="1416"/>
      <c r="AH97" s="1416"/>
      <c r="AI97" s="1416"/>
      <c r="AJ97" s="1416"/>
      <c r="AK97" s="1416"/>
      <c r="AL97" s="1416"/>
      <c r="AM97" s="1416"/>
      <c r="AN97" s="1416"/>
      <c r="AO97" s="1416"/>
      <c r="AP97" s="1416"/>
      <c r="AQ97" s="1416"/>
      <c r="AR97" s="1416"/>
      <c r="AS97" s="1416"/>
      <c r="AT97" s="1416"/>
      <c r="AU97" s="1416"/>
      <c r="AV97" s="1416"/>
      <c r="AW97" s="1416"/>
      <c r="AX97" s="1416"/>
      <c r="AY97" s="1416"/>
      <c r="AZ97" s="1416"/>
      <c r="BA97" s="1416"/>
      <c r="BB97" s="1416"/>
      <c r="BC97" s="1416"/>
      <c r="BD97" s="1416"/>
      <c r="BE97" s="1416"/>
      <c r="BF97" s="1416"/>
      <c r="BG97" s="1416"/>
      <c r="BH97" s="1416"/>
      <c r="BI97" s="1416"/>
      <c r="BJ97" s="1416"/>
      <c r="BK97" s="1416"/>
      <c r="BL97" s="1416"/>
      <c r="BM97" s="1416"/>
      <c r="BN97" s="1416"/>
      <c r="BO97" s="1416"/>
      <c r="BP97" s="1416"/>
      <c r="BQ97" s="1416"/>
      <c r="BR97" s="1416"/>
      <c r="BS97" s="1416"/>
      <c r="BT97" s="1416"/>
      <c r="BU97" s="1416"/>
      <c r="BV97" s="1416"/>
      <c r="BW97" s="1416"/>
      <c r="BX97" s="1416"/>
      <c r="BY97" s="1416"/>
      <c r="BZ97" s="1416"/>
      <c r="CA97" s="672"/>
      <c r="CB97" s="709"/>
      <c r="CC97" s="709"/>
      <c r="CD97" s="709"/>
      <c r="CE97" s="709"/>
      <c r="CF97" s="709"/>
      <c r="CG97" s="709"/>
      <c r="CH97" s="709"/>
      <c r="CI97" s="709"/>
    </row>
    <row r="98" spans="1:87">
      <c r="A98" s="1415"/>
      <c r="B98" s="1415"/>
      <c r="C98" s="1415"/>
      <c r="D98" s="1416"/>
      <c r="E98" s="1416"/>
      <c r="F98" s="1416"/>
      <c r="G98" s="1416"/>
      <c r="H98" s="1416"/>
      <c r="I98" s="1416"/>
      <c r="J98" s="1416"/>
      <c r="K98" s="1416"/>
      <c r="L98" s="1416"/>
      <c r="M98" s="1416"/>
      <c r="N98" s="1416"/>
      <c r="O98" s="1416"/>
      <c r="P98" s="1416"/>
      <c r="Q98" s="1416"/>
      <c r="R98" s="1416"/>
      <c r="S98" s="1416"/>
      <c r="T98" s="1416"/>
      <c r="U98" s="1416"/>
      <c r="V98" s="1416"/>
      <c r="W98" s="1416"/>
      <c r="X98" s="1416"/>
      <c r="Y98" s="1416"/>
      <c r="Z98" s="1416"/>
      <c r="AA98" s="1416"/>
      <c r="AB98" s="1416"/>
      <c r="AC98" s="1416"/>
      <c r="AD98" s="1416"/>
      <c r="AE98" s="1416"/>
      <c r="AF98" s="1416"/>
      <c r="AG98" s="1416"/>
      <c r="AH98" s="1416"/>
      <c r="AI98" s="1416"/>
      <c r="AJ98" s="1416"/>
      <c r="AK98" s="1416"/>
      <c r="AL98" s="1416"/>
      <c r="AM98" s="1416"/>
      <c r="AN98" s="1416"/>
      <c r="AO98" s="1416"/>
      <c r="AP98" s="1416"/>
      <c r="AQ98" s="1416"/>
      <c r="AR98" s="1416"/>
      <c r="AS98" s="1416"/>
      <c r="AT98" s="1416"/>
      <c r="AU98" s="1416"/>
      <c r="AV98" s="1416"/>
      <c r="AW98" s="1416"/>
      <c r="AX98" s="1416"/>
      <c r="AY98" s="1416"/>
      <c r="AZ98" s="1416"/>
      <c r="BA98" s="1416"/>
      <c r="BB98" s="1416"/>
      <c r="BC98" s="1416"/>
      <c r="BD98" s="1416"/>
      <c r="BE98" s="1416"/>
      <c r="BF98" s="1416"/>
      <c r="BG98" s="1416"/>
      <c r="BH98" s="1416"/>
      <c r="BI98" s="1416"/>
      <c r="BJ98" s="1416"/>
      <c r="BK98" s="1416"/>
      <c r="BL98" s="1416"/>
      <c r="BM98" s="1416"/>
      <c r="BN98" s="1416"/>
      <c r="BO98" s="1416"/>
      <c r="BP98" s="1416"/>
      <c r="BQ98" s="1416"/>
      <c r="BR98" s="1416"/>
      <c r="BS98" s="1416"/>
      <c r="BT98" s="1416"/>
      <c r="BU98" s="1416"/>
      <c r="BV98" s="1416"/>
      <c r="BW98" s="1416"/>
      <c r="BX98" s="1416"/>
      <c r="BY98" s="1416"/>
      <c r="BZ98" s="1416"/>
      <c r="CA98" s="672"/>
      <c r="CB98" s="709"/>
      <c r="CC98" s="709"/>
      <c r="CD98" s="709"/>
      <c r="CE98" s="709"/>
      <c r="CF98" s="709"/>
      <c r="CG98" s="709"/>
      <c r="CH98" s="709"/>
      <c r="CI98" s="709"/>
    </row>
    <row r="99" spans="1:87">
      <c r="A99" s="1415"/>
      <c r="B99" s="1415"/>
      <c r="C99" s="1415"/>
      <c r="D99" s="1416"/>
      <c r="E99" s="1416"/>
      <c r="F99" s="1416"/>
      <c r="G99" s="1416"/>
      <c r="H99" s="1416"/>
      <c r="I99" s="1416"/>
      <c r="J99" s="1416"/>
      <c r="K99" s="1416"/>
      <c r="L99" s="1416"/>
      <c r="M99" s="1416"/>
      <c r="N99" s="1416"/>
      <c r="O99" s="1416"/>
      <c r="P99" s="1416"/>
      <c r="Q99" s="1416"/>
      <c r="R99" s="1416"/>
      <c r="S99" s="1416"/>
      <c r="T99" s="1416"/>
      <c r="U99" s="1416"/>
      <c r="V99" s="1416"/>
      <c r="W99" s="1416"/>
      <c r="X99" s="1416"/>
      <c r="Y99" s="1416"/>
      <c r="Z99" s="1416"/>
      <c r="AA99" s="1416"/>
      <c r="AB99" s="1416"/>
      <c r="AC99" s="1416"/>
      <c r="AD99" s="1416"/>
      <c r="AE99" s="1416"/>
      <c r="AF99" s="1416"/>
      <c r="AG99" s="1416"/>
      <c r="AH99" s="1416"/>
      <c r="AI99" s="1416"/>
      <c r="AJ99" s="1416"/>
      <c r="AK99" s="1416"/>
      <c r="AL99" s="1416"/>
      <c r="AM99" s="1416"/>
      <c r="AN99" s="1416"/>
      <c r="AO99" s="1416"/>
      <c r="AP99" s="1416"/>
      <c r="AQ99" s="1416"/>
      <c r="AR99" s="1416"/>
      <c r="AS99" s="1416"/>
      <c r="AT99" s="1416"/>
      <c r="AU99" s="1416"/>
      <c r="AV99" s="1416"/>
      <c r="AW99" s="1416"/>
      <c r="AX99" s="1416"/>
      <c r="AY99" s="1416"/>
      <c r="AZ99" s="1416"/>
      <c r="BA99" s="1416"/>
      <c r="BB99" s="1416"/>
      <c r="BC99" s="1416"/>
      <c r="BD99" s="1416"/>
      <c r="BE99" s="1416"/>
      <c r="BF99" s="1416"/>
      <c r="BG99" s="1416"/>
      <c r="BH99" s="1416"/>
      <c r="BI99" s="1416"/>
      <c r="BJ99" s="1416"/>
      <c r="BK99" s="1416"/>
      <c r="BL99" s="1416"/>
      <c r="BM99" s="1416"/>
      <c r="BN99" s="1416"/>
      <c r="BO99" s="1416"/>
      <c r="BP99" s="1416"/>
      <c r="BQ99" s="1416"/>
      <c r="BR99" s="1416"/>
      <c r="BS99" s="1416"/>
      <c r="BT99" s="1416"/>
      <c r="BU99" s="1416"/>
      <c r="BV99" s="1416"/>
      <c r="BW99" s="1416"/>
      <c r="BX99" s="1416"/>
      <c r="BY99" s="1416"/>
      <c r="BZ99" s="1416"/>
      <c r="CA99" s="672"/>
      <c r="CB99" s="709"/>
      <c r="CC99" s="709"/>
      <c r="CD99" s="709"/>
      <c r="CE99" s="709"/>
      <c r="CF99" s="709"/>
      <c r="CG99" s="709"/>
      <c r="CH99" s="709"/>
      <c r="CI99" s="709"/>
    </row>
    <row r="100" spans="1:87">
      <c r="A100" s="1417" t="s">
        <v>88</v>
      </c>
      <c r="B100" s="1417"/>
      <c r="C100" s="1417"/>
      <c r="D100" s="1417"/>
      <c r="E100" s="1417"/>
      <c r="F100" s="1417"/>
      <c r="G100" s="1417"/>
      <c r="H100" s="1417"/>
      <c r="I100" s="1417"/>
      <c r="J100" s="1417"/>
      <c r="K100" s="1417"/>
      <c r="L100" s="1417"/>
      <c r="M100" s="1417"/>
      <c r="N100" s="1417"/>
      <c r="O100" s="1417"/>
      <c r="P100" s="1417"/>
      <c r="Q100" s="1417"/>
      <c r="R100" s="1417"/>
      <c r="S100" s="1417"/>
      <c r="T100" s="1417"/>
      <c r="U100" s="1417"/>
      <c r="V100" s="1417"/>
      <c r="W100" s="1417"/>
      <c r="X100" s="1417"/>
      <c r="Y100" s="1417"/>
      <c r="Z100" s="1417"/>
      <c r="AA100" s="1417"/>
      <c r="AB100" s="1417"/>
      <c r="AC100" s="1417"/>
      <c r="AD100" s="1417"/>
      <c r="AE100" s="1417"/>
      <c r="AF100" s="1417"/>
      <c r="AG100" s="1417"/>
      <c r="AH100" s="1417"/>
      <c r="AI100" s="1417"/>
      <c r="AJ100" s="1417"/>
      <c r="AK100" s="1417"/>
      <c r="AL100" s="1417"/>
      <c r="AM100" s="1417"/>
      <c r="AN100" s="1417"/>
      <c r="AO100" s="1417"/>
      <c r="AP100" s="1417"/>
      <c r="AQ100" s="1417"/>
      <c r="AR100" s="1417"/>
      <c r="AS100" s="1417"/>
      <c r="AT100" s="1417"/>
      <c r="AU100" s="1417"/>
      <c r="AV100" s="1417"/>
      <c r="AW100" s="1417"/>
      <c r="AX100" s="1417"/>
      <c r="AY100" s="1417"/>
      <c r="AZ100" s="1417"/>
      <c r="BA100" s="1417"/>
      <c r="BB100" s="1417"/>
      <c r="BC100" s="1417"/>
      <c r="BD100" s="1417"/>
      <c r="BE100" s="1417"/>
      <c r="BF100" s="1417"/>
      <c r="BG100" s="1417"/>
      <c r="BH100" s="1417"/>
      <c r="BI100" s="1417"/>
      <c r="BJ100" s="1417"/>
      <c r="BK100" s="1417"/>
      <c r="BL100" s="1417"/>
      <c r="BM100" s="1417"/>
      <c r="BN100" s="1417"/>
      <c r="BO100" s="1417"/>
      <c r="BP100" s="1417"/>
      <c r="BQ100" s="1417"/>
      <c r="BR100" s="1417"/>
      <c r="BS100" s="1417"/>
      <c r="BT100" s="1417"/>
      <c r="BU100" s="1417"/>
      <c r="BV100" s="1417"/>
      <c r="BW100" s="1417"/>
      <c r="BX100" s="1417"/>
      <c r="BY100" s="1417"/>
      <c r="BZ100" s="1417"/>
      <c r="CA100" s="652"/>
      <c r="CB100" s="657"/>
      <c r="CC100" s="657"/>
      <c r="CD100" s="657"/>
      <c r="CE100" s="657"/>
      <c r="CF100" s="657"/>
      <c r="CG100" s="657"/>
      <c r="CH100" s="657"/>
      <c r="CI100" s="657"/>
    </row>
    <row r="101" spans="1:87">
      <c r="A101" s="1404" t="s">
        <v>87</v>
      </c>
      <c r="B101" s="1404"/>
      <c r="C101" s="1404"/>
      <c r="D101" s="1404"/>
      <c r="E101" s="1404"/>
      <c r="F101" s="1404"/>
      <c r="G101" s="1404"/>
      <c r="H101" s="1404"/>
      <c r="I101" s="1404"/>
      <c r="J101" s="1404"/>
      <c r="K101" s="1404"/>
      <c r="L101" s="1404"/>
      <c r="M101" s="1404"/>
      <c r="N101" s="1404"/>
      <c r="O101" s="1404"/>
      <c r="P101" s="1404"/>
      <c r="Q101" s="1404"/>
      <c r="R101" s="1404"/>
      <c r="S101" s="1404"/>
      <c r="T101" s="1404"/>
      <c r="U101" s="1404"/>
      <c r="V101" s="1404"/>
      <c r="W101" s="1404"/>
      <c r="X101" s="1404"/>
      <c r="Y101" s="1404"/>
      <c r="Z101" s="1404"/>
      <c r="AA101" s="1404"/>
      <c r="AB101" s="1404"/>
      <c r="AC101" s="1404"/>
      <c r="AD101" s="1404"/>
      <c r="AE101" s="1404"/>
      <c r="AF101" s="1404"/>
      <c r="AG101" s="1404"/>
      <c r="AH101" s="1404"/>
      <c r="AI101" s="1404"/>
      <c r="AJ101" s="1404"/>
      <c r="AK101" s="1404"/>
      <c r="AL101" s="1404"/>
      <c r="AM101" s="1404"/>
      <c r="AN101" s="1404"/>
      <c r="AO101" s="1404"/>
      <c r="AP101" s="1404"/>
      <c r="AQ101" s="1404"/>
      <c r="AR101" s="1404"/>
      <c r="AS101" s="1404"/>
      <c r="AT101" s="1404"/>
      <c r="AU101" s="1404"/>
      <c r="AV101" s="1404"/>
      <c r="AW101" s="1404"/>
      <c r="AX101" s="1404"/>
      <c r="AY101" s="1404"/>
      <c r="AZ101" s="1404"/>
      <c r="BA101" s="1404"/>
      <c r="BB101" s="1404"/>
      <c r="BC101" s="1404"/>
      <c r="BD101" s="1404"/>
      <c r="BE101" s="1404"/>
      <c r="BF101" s="1404"/>
      <c r="BG101" s="1404"/>
      <c r="BH101" s="1404"/>
      <c r="BI101" s="1404"/>
      <c r="BJ101" s="1404"/>
      <c r="BK101" s="1404"/>
      <c r="BL101" s="1404"/>
      <c r="BM101" s="1404"/>
      <c r="BN101" s="1404"/>
      <c r="BO101" s="1404"/>
      <c r="BP101" s="1404"/>
      <c r="BQ101" s="1404"/>
      <c r="BR101" s="1404"/>
      <c r="BS101" s="1404"/>
      <c r="BT101" s="1404"/>
      <c r="BU101" s="1404"/>
      <c r="BV101" s="1404"/>
      <c r="BW101" s="1404"/>
      <c r="BX101" s="1404"/>
      <c r="BY101" s="1404"/>
      <c r="BZ101" s="1404"/>
      <c r="CA101" s="652"/>
      <c r="CB101" s="657"/>
      <c r="CC101" s="657"/>
      <c r="CD101" s="657"/>
      <c r="CE101" s="657"/>
      <c r="CF101" s="657"/>
      <c r="CG101" s="657"/>
      <c r="CH101" s="657"/>
      <c r="CI101" s="657"/>
    </row>
    <row r="102" spans="1:87">
      <c r="A102" s="1404" t="s">
        <v>86</v>
      </c>
      <c r="B102" s="1404"/>
      <c r="C102" s="1404"/>
      <c r="D102" s="1404"/>
      <c r="E102" s="1404"/>
      <c r="F102" s="1404"/>
      <c r="G102" s="1404"/>
      <c r="H102" s="1404"/>
      <c r="I102" s="1404"/>
      <c r="J102" s="1404"/>
      <c r="K102" s="1404"/>
      <c r="L102" s="1404"/>
      <c r="M102" s="1404"/>
      <c r="N102" s="1404"/>
      <c r="O102" s="1404"/>
      <c r="P102" s="1404"/>
      <c r="Q102" s="1404"/>
      <c r="R102" s="1404"/>
      <c r="S102" s="1404"/>
      <c r="T102" s="1404"/>
      <c r="U102" s="1404"/>
      <c r="V102" s="1404"/>
      <c r="W102" s="1404"/>
      <c r="X102" s="1404"/>
      <c r="Y102" s="1404"/>
      <c r="Z102" s="1404"/>
      <c r="AA102" s="1404"/>
      <c r="AB102" s="1404"/>
      <c r="AC102" s="1404"/>
      <c r="AD102" s="1404"/>
      <c r="AE102" s="1404"/>
      <c r="AF102" s="1404"/>
      <c r="AG102" s="1404"/>
      <c r="AH102" s="1404"/>
      <c r="AI102" s="1404"/>
      <c r="AJ102" s="1404"/>
      <c r="AK102" s="1404"/>
      <c r="AL102" s="1404"/>
      <c r="AM102" s="1404"/>
      <c r="AN102" s="1404"/>
      <c r="AO102" s="1404"/>
      <c r="AP102" s="1404"/>
      <c r="AQ102" s="1404"/>
      <c r="AR102" s="1404"/>
      <c r="AS102" s="1404"/>
      <c r="AT102" s="1404"/>
      <c r="AU102" s="1404"/>
      <c r="AV102" s="1404"/>
      <c r="AW102" s="1404"/>
      <c r="AX102" s="1404"/>
      <c r="AY102" s="1404"/>
      <c r="AZ102" s="1404"/>
      <c r="BA102" s="1404"/>
      <c r="BB102" s="1404"/>
      <c r="BC102" s="1404"/>
      <c r="BD102" s="1404"/>
      <c r="BE102" s="1404"/>
      <c r="BF102" s="1404"/>
      <c r="BG102" s="1404"/>
      <c r="BH102" s="1404"/>
      <c r="BI102" s="1404"/>
      <c r="BJ102" s="1404"/>
      <c r="BK102" s="1404"/>
      <c r="BL102" s="1404"/>
      <c r="BM102" s="1404"/>
      <c r="BN102" s="1404"/>
      <c r="BO102" s="1404"/>
      <c r="BP102" s="1404"/>
      <c r="BQ102" s="1404"/>
      <c r="BR102" s="1404"/>
      <c r="BS102" s="1404"/>
      <c r="BT102" s="1404"/>
      <c r="BU102" s="1404"/>
      <c r="BV102" s="1404"/>
      <c r="BW102" s="1404"/>
      <c r="BX102" s="1404"/>
      <c r="BY102" s="1404"/>
      <c r="BZ102" s="1404"/>
      <c r="CA102" s="652"/>
      <c r="CB102" s="657"/>
      <c r="CC102" s="657"/>
      <c r="CD102" s="657"/>
      <c r="CE102" s="657"/>
      <c r="CF102" s="657"/>
      <c r="CG102" s="657"/>
      <c r="CH102" s="657"/>
      <c r="CI102" s="657"/>
    </row>
    <row r="103" spans="1:87" s="252" customFormat="1" ht="23.25">
      <c r="A103" s="1510" t="s">
        <v>3117</v>
      </c>
      <c r="B103" s="1510"/>
      <c r="C103" s="1510"/>
      <c r="D103" s="1510"/>
      <c r="E103" s="1510"/>
      <c r="F103" s="1510"/>
      <c r="G103" s="1510"/>
      <c r="H103" s="1510"/>
      <c r="I103" s="1510"/>
      <c r="J103" s="1510"/>
      <c r="K103" s="1510"/>
      <c r="L103" s="1510"/>
      <c r="M103" s="1510"/>
      <c r="N103" s="1510"/>
      <c r="O103" s="1510"/>
      <c r="P103" s="1510"/>
      <c r="Q103" s="1510"/>
      <c r="R103" s="1510"/>
      <c r="S103" s="1510"/>
      <c r="T103" s="1510"/>
      <c r="U103" s="1510"/>
      <c r="V103" s="1510"/>
      <c r="W103" s="1510"/>
      <c r="X103" s="1510"/>
      <c r="Y103" s="1510"/>
      <c r="Z103" s="1510"/>
      <c r="AA103" s="1510"/>
      <c r="AB103" s="1510"/>
      <c r="AC103" s="1510"/>
      <c r="AD103" s="1510"/>
      <c r="AE103" s="1510"/>
      <c r="AF103" s="1510"/>
      <c r="AG103" s="1510"/>
      <c r="AH103" s="1510"/>
      <c r="AI103" s="1510"/>
      <c r="AJ103" s="1510"/>
      <c r="AK103" s="1510"/>
      <c r="AL103" s="1510"/>
      <c r="AM103" s="1510"/>
      <c r="AN103" s="1510"/>
      <c r="AO103" s="1510"/>
      <c r="AP103" s="1510"/>
      <c r="AQ103" s="1510"/>
      <c r="AR103" s="1510"/>
      <c r="AS103" s="1510"/>
      <c r="AT103" s="1510"/>
      <c r="AU103" s="1510"/>
      <c r="AV103" s="1510"/>
      <c r="AW103" s="1510"/>
      <c r="AX103" s="1510"/>
      <c r="AY103" s="1510"/>
      <c r="AZ103" s="1510"/>
      <c r="BA103" s="1510"/>
      <c r="BB103" s="1510"/>
      <c r="BC103" s="1510"/>
      <c r="BD103" s="1510"/>
      <c r="BE103" s="1510"/>
      <c r="BF103" s="1510"/>
      <c r="BG103" s="1510"/>
      <c r="BH103" s="1510"/>
      <c r="BI103" s="1510"/>
      <c r="BJ103" s="1510"/>
      <c r="BK103" s="1510"/>
      <c r="BL103" s="1510"/>
      <c r="BM103" s="1510"/>
      <c r="BN103" s="1510"/>
      <c r="BO103" s="1510"/>
      <c r="BP103" s="1510"/>
      <c r="BQ103" s="1510"/>
      <c r="BR103" s="1510"/>
      <c r="BS103" s="1510"/>
      <c r="BT103" s="1510"/>
      <c r="BU103" s="1510"/>
      <c r="BV103" s="1510"/>
      <c r="BW103" s="1510"/>
      <c r="BX103" s="1510"/>
      <c r="BY103" s="1510"/>
      <c r="BZ103" s="1510"/>
      <c r="CA103" s="643"/>
      <c r="CB103" s="644"/>
      <c r="CC103" s="644"/>
      <c r="CD103" s="644"/>
      <c r="CE103" s="644"/>
      <c r="CF103" s="644"/>
      <c r="CG103" s="644"/>
      <c r="CH103" s="644"/>
      <c r="CI103" s="644"/>
    </row>
    <row r="104" spans="1:87" s="252" customFormat="1" ht="9.9499999999999993" customHeight="1">
      <c r="A104" s="238"/>
      <c r="B104" s="285"/>
      <c r="C104" s="285"/>
      <c r="D104" s="285"/>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38"/>
      <c r="AV104" s="238"/>
      <c r="AW104" s="285"/>
      <c r="AX104" s="294"/>
      <c r="AY104" s="294"/>
      <c r="AZ104" s="294"/>
      <c r="BA104" s="294"/>
      <c r="BB104" s="294"/>
      <c r="BC104" s="294"/>
      <c r="BD104" s="294"/>
      <c r="BE104" s="294"/>
      <c r="BF104" s="294"/>
      <c r="BG104" s="294"/>
      <c r="BH104" s="294"/>
      <c r="BI104" s="294"/>
      <c r="BJ104" s="294"/>
      <c r="BK104" s="294"/>
      <c r="BL104" s="294"/>
      <c r="BM104" s="294"/>
      <c r="BN104" s="294"/>
      <c r="BO104" s="294"/>
      <c r="BP104" s="294"/>
      <c r="BQ104" s="294"/>
      <c r="BR104" s="294"/>
      <c r="BS104" s="294"/>
      <c r="BT104" s="294"/>
      <c r="BU104" s="294"/>
      <c r="BV104" s="294"/>
      <c r="BW104" s="1525" t="s">
        <v>85</v>
      </c>
      <c r="BX104" s="1525"/>
      <c r="BY104" s="1517">
        <v>1</v>
      </c>
      <c r="BZ104" s="1517"/>
      <c r="CA104" s="294"/>
    </row>
    <row r="105" spans="1:87" s="252" customFormat="1" ht="9.9499999999999993" customHeight="1">
      <c r="A105" s="238"/>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38"/>
      <c r="AV105" s="238"/>
      <c r="AW105" s="285"/>
      <c r="AX105" s="294"/>
      <c r="AY105" s="294"/>
      <c r="AZ105" s="294"/>
      <c r="BA105" s="294"/>
      <c r="BB105" s="294"/>
      <c r="BC105" s="294"/>
      <c r="BD105" s="294"/>
      <c r="BE105" s="294"/>
      <c r="BF105" s="294"/>
      <c r="BG105" s="294"/>
      <c r="BH105" s="294"/>
      <c r="BI105" s="294"/>
      <c r="BJ105" s="294"/>
      <c r="BK105" s="294"/>
      <c r="BL105" s="294"/>
      <c r="BM105" s="294"/>
      <c r="BN105" s="294"/>
      <c r="BO105" s="294"/>
      <c r="BP105" s="294"/>
      <c r="BQ105" s="294"/>
      <c r="BR105" s="294"/>
      <c r="BS105" s="294"/>
      <c r="BT105" s="294"/>
      <c r="BU105" s="294"/>
      <c r="BV105" s="294"/>
      <c r="BW105" s="294"/>
      <c r="BX105" s="294"/>
      <c r="BY105" s="294"/>
      <c r="BZ105" s="294"/>
      <c r="CA105" s="294"/>
    </row>
    <row r="106" spans="1:87" s="252" customFormat="1" ht="12" customHeight="1">
      <c r="A106" s="1526" t="s">
        <v>84</v>
      </c>
      <c r="B106" s="1526"/>
      <c r="C106" s="1526"/>
      <c r="D106" s="1526"/>
      <c r="E106" s="1526"/>
      <c r="F106" s="1526"/>
      <c r="G106" s="1526"/>
      <c r="H106" s="1527" t="str">
        <f>CONCATENATE('01 使用承認申請書'!D55)</f>
        <v/>
      </c>
      <c r="I106" s="1527"/>
      <c r="J106" s="1527"/>
      <c r="K106" s="1527"/>
      <c r="L106" s="1527"/>
      <c r="M106" s="1527"/>
      <c r="N106" s="1527"/>
      <c r="O106" s="1527"/>
      <c r="P106" s="1527"/>
      <c r="Q106" s="1527"/>
      <c r="R106" s="1527"/>
      <c r="S106" s="1527"/>
      <c r="T106" s="1527"/>
      <c r="U106" s="1527"/>
      <c r="V106" s="1527"/>
      <c r="W106" s="1527"/>
      <c r="X106" s="1526" t="s">
        <v>82</v>
      </c>
      <c r="Y106" s="1526"/>
      <c r="Z106" s="1526"/>
      <c r="AA106" s="1526"/>
      <c r="AB106" s="1526"/>
      <c r="AC106" s="1526"/>
      <c r="AD106" s="1526"/>
      <c r="AE106" s="1518" t="str">
        <f>CONCATENATE('01 使用承認申請書'!B63)</f>
        <v/>
      </c>
      <c r="AF106" s="1518"/>
      <c r="AG106" s="1518"/>
      <c r="AH106" s="1518"/>
      <c r="AI106" s="1516" t="s">
        <v>16</v>
      </c>
      <c r="AJ106" s="1516"/>
      <c r="AK106" s="1518" t="str">
        <f>CONCATENATE('01 使用承認申請書'!C65)</f>
        <v/>
      </c>
      <c r="AL106" s="1518"/>
      <c r="AM106" s="1516" t="s">
        <v>15</v>
      </c>
      <c r="AN106" s="1516"/>
      <c r="AO106" s="1518" t="str">
        <f>CONCATENATE('01 使用承認申請書'!F65)</f>
        <v/>
      </c>
      <c r="AP106" s="1518"/>
      <c r="AQ106" s="1516" t="s">
        <v>14</v>
      </c>
      <c r="AR106" s="1516"/>
      <c r="AS106" s="1516" t="s">
        <v>38</v>
      </c>
      <c r="AT106" s="1516"/>
      <c r="AU106" s="1518" t="str">
        <f>CONCATENATE('01 使用承認申請書'!J65)</f>
        <v/>
      </c>
      <c r="AV106" s="1518"/>
      <c r="AW106" s="1516" t="s">
        <v>37</v>
      </c>
      <c r="AX106" s="1516"/>
      <c r="AY106" s="1516" t="s">
        <v>35</v>
      </c>
      <c r="AZ106" s="1516"/>
      <c r="BA106" s="1518" t="str">
        <f>CONCATENATE('01 使用承認申請書'!C67)</f>
        <v/>
      </c>
      <c r="BB106" s="1518"/>
      <c r="BC106" s="1516" t="s">
        <v>15</v>
      </c>
      <c r="BD106" s="1516"/>
      <c r="BE106" s="1518" t="str">
        <f>CONCATENATE('01 使用承認申請書'!F67)</f>
        <v/>
      </c>
      <c r="BF106" s="1518"/>
      <c r="BG106" s="1516" t="s">
        <v>14</v>
      </c>
      <c r="BH106" s="1516"/>
      <c r="BI106" s="1516" t="s">
        <v>38</v>
      </c>
      <c r="BJ106" s="1516"/>
      <c r="BK106" s="1518" t="str">
        <f>CONCATENATE('01 使用承認申請書'!J67)</f>
        <v/>
      </c>
      <c r="BL106" s="1518"/>
      <c r="BM106" s="1516" t="s">
        <v>37</v>
      </c>
      <c r="BN106" s="1516"/>
      <c r="BO106" s="1516"/>
      <c r="BP106" s="1520"/>
      <c r="BQ106" s="1516"/>
      <c r="BR106" s="1516"/>
      <c r="BS106" s="1524" t="str">
        <f>CONCATENATE('01 使用承認申請書'!L64)</f>
        <v/>
      </c>
      <c r="BT106" s="1524"/>
      <c r="BU106" s="1516" t="s">
        <v>46</v>
      </c>
      <c r="BV106" s="1516"/>
      <c r="BW106" s="1524" t="str">
        <f>CONCATENATE('01 使用承認申請書'!Q64)</f>
        <v/>
      </c>
      <c r="BX106" s="1524"/>
      <c r="BY106" s="1516" t="s">
        <v>14</v>
      </c>
      <c r="BZ106" s="1516"/>
      <c r="CA106" s="294"/>
    </row>
    <row r="107" spans="1:87" s="252" customFormat="1" ht="12" customHeight="1">
      <c r="A107" s="1162"/>
      <c r="B107" s="1162"/>
      <c r="C107" s="1162"/>
      <c r="D107" s="1162"/>
      <c r="E107" s="1162"/>
      <c r="F107" s="1162"/>
      <c r="G107" s="1162"/>
      <c r="H107" s="1528"/>
      <c r="I107" s="1528"/>
      <c r="J107" s="1528"/>
      <c r="K107" s="1528"/>
      <c r="L107" s="1528"/>
      <c r="M107" s="1528"/>
      <c r="N107" s="1528"/>
      <c r="O107" s="1528"/>
      <c r="P107" s="1528"/>
      <c r="Q107" s="1528"/>
      <c r="R107" s="1528"/>
      <c r="S107" s="1528"/>
      <c r="T107" s="1528"/>
      <c r="U107" s="1528"/>
      <c r="V107" s="1528"/>
      <c r="W107" s="1528"/>
      <c r="X107" s="1162"/>
      <c r="Y107" s="1162"/>
      <c r="Z107" s="1162"/>
      <c r="AA107" s="1162"/>
      <c r="AB107" s="1162"/>
      <c r="AC107" s="1162"/>
      <c r="AD107" s="1162"/>
      <c r="AE107" s="1519"/>
      <c r="AF107" s="1519"/>
      <c r="AG107" s="1519"/>
      <c r="AH107" s="1519"/>
      <c r="AI107" s="1517"/>
      <c r="AJ107" s="1517"/>
      <c r="AK107" s="1519"/>
      <c r="AL107" s="1519"/>
      <c r="AM107" s="1517"/>
      <c r="AN107" s="1517"/>
      <c r="AO107" s="1519"/>
      <c r="AP107" s="1519"/>
      <c r="AQ107" s="1517"/>
      <c r="AR107" s="1517"/>
      <c r="AS107" s="1517"/>
      <c r="AT107" s="1517"/>
      <c r="AU107" s="1519"/>
      <c r="AV107" s="1519"/>
      <c r="AW107" s="1517"/>
      <c r="AX107" s="1517"/>
      <c r="AY107" s="1517"/>
      <c r="AZ107" s="1517"/>
      <c r="BA107" s="1519"/>
      <c r="BB107" s="1519"/>
      <c r="BC107" s="1517"/>
      <c r="BD107" s="1517"/>
      <c r="BE107" s="1519"/>
      <c r="BF107" s="1519"/>
      <c r="BG107" s="1517"/>
      <c r="BH107" s="1517"/>
      <c r="BI107" s="1517"/>
      <c r="BJ107" s="1517"/>
      <c r="BK107" s="1519"/>
      <c r="BL107" s="1519"/>
      <c r="BM107" s="1517"/>
      <c r="BN107" s="1517"/>
      <c r="BO107" s="1291"/>
      <c r="BP107" s="1291"/>
      <c r="BQ107" s="1517"/>
      <c r="BR107" s="1517"/>
      <c r="BS107" s="1517" t="s">
        <v>47</v>
      </c>
      <c r="BT107" s="1517"/>
      <c r="BU107" s="1517"/>
      <c r="BV107" s="1517"/>
      <c r="BW107" s="1529" t="str">
        <f>CONCATENATE('01 使用承認申請書'!V64)</f>
        <v/>
      </c>
      <c r="BX107" s="1529"/>
      <c r="BY107" s="1517" t="s">
        <v>14</v>
      </c>
      <c r="BZ107" s="1517"/>
      <c r="CA107" s="294"/>
    </row>
    <row r="108" spans="1:87" s="252" customFormat="1" ht="12" customHeight="1">
      <c r="A108" s="744"/>
      <c r="B108" s="744"/>
      <c r="C108" s="744"/>
      <c r="D108" s="744"/>
      <c r="E108" s="744"/>
      <c r="F108" s="744"/>
      <c r="G108" s="744"/>
      <c r="H108" s="745"/>
      <c r="I108" s="745"/>
      <c r="J108" s="745"/>
      <c r="K108" s="745"/>
      <c r="L108" s="745"/>
      <c r="M108" s="745"/>
      <c r="N108" s="745"/>
      <c r="O108" s="745"/>
      <c r="P108" s="745"/>
      <c r="Q108" s="745"/>
      <c r="R108" s="745"/>
      <c r="S108" s="745"/>
      <c r="T108" s="745"/>
      <c r="U108" s="745"/>
      <c r="V108" s="745"/>
      <c r="W108" s="745"/>
      <c r="X108" s="744"/>
      <c r="Y108" s="744"/>
      <c r="Z108" s="744"/>
      <c r="AA108" s="744"/>
      <c r="AB108" s="744"/>
      <c r="AC108" s="744"/>
      <c r="AD108" s="744"/>
      <c r="AE108" s="741"/>
      <c r="AF108" s="741"/>
      <c r="AG108" s="742"/>
      <c r="AH108" s="648"/>
      <c r="AI108" s="746"/>
      <c r="AJ108" s="741"/>
      <c r="AK108" s="742"/>
      <c r="AL108" s="742"/>
      <c r="AM108" s="741"/>
      <c r="AN108" s="741"/>
      <c r="AO108" s="742"/>
      <c r="AP108" s="742"/>
      <c r="AQ108" s="741"/>
      <c r="AR108" s="741"/>
      <c r="AS108" s="741"/>
      <c r="AT108" s="741"/>
      <c r="AU108" s="742"/>
      <c r="AV108" s="742"/>
      <c r="AW108" s="741"/>
      <c r="AX108" s="741"/>
      <c r="AY108" s="741"/>
      <c r="AZ108" s="741"/>
      <c r="BA108" s="742"/>
      <c r="BB108" s="742"/>
      <c r="BC108" s="741"/>
      <c r="BD108" s="741"/>
      <c r="BE108" s="742"/>
      <c r="BF108" s="742"/>
      <c r="BG108" s="741"/>
      <c r="BH108" s="741"/>
      <c r="BI108" s="741"/>
      <c r="BJ108" s="741"/>
      <c r="BK108" s="742"/>
      <c r="BL108" s="742"/>
      <c r="BM108" s="741"/>
      <c r="BN108" s="741"/>
      <c r="BO108" s="743"/>
      <c r="BP108" s="743"/>
      <c r="BQ108" s="741"/>
      <c r="BR108" s="741"/>
      <c r="BS108" s="741"/>
      <c r="BT108" s="741"/>
      <c r="BU108" s="741"/>
      <c r="BV108" s="741"/>
      <c r="BW108" s="649"/>
      <c r="BX108" s="649"/>
      <c r="BY108" s="741"/>
      <c r="BZ108" s="741"/>
      <c r="CA108" s="294"/>
    </row>
    <row r="109" spans="1:87" ht="10.5" customHeight="1">
      <c r="A109" s="650"/>
      <c r="B109" s="650"/>
      <c r="C109" s="650"/>
      <c r="D109" s="650"/>
      <c r="E109" s="650"/>
      <c r="F109" s="650"/>
      <c r="G109" s="651"/>
      <c r="H109" s="650"/>
      <c r="I109" s="650"/>
      <c r="J109" s="650"/>
      <c r="K109" s="650"/>
      <c r="L109" s="650"/>
      <c r="M109" s="1505">
        <v>0.28125</v>
      </c>
      <c r="N109" s="1506"/>
      <c r="O109" s="1506"/>
      <c r="P109" s="1506"/>
      <c r="Q109" s="1507" t="s">
        <v>1901</v>
      </c>
      <c r="R109" s="1507"/>
      <c r="S109" s="1507"/>
      <c r="T109" s="1505">
        <v>0.36458333333333331</v>
      </c>
      <c r="U109" s="1506"/>
      <c r="V109" s="1506"/>
      <c r="W109" s="1506"/>
      <c r="X109" s="650"/>
      <c r="Y109" s="650"/>
      <c r="Z109" s="650"/>
      <c r="AA109" s="652"/>
      <c r="AB109" s="652"/>
      <c r="AC109" s="652"/>
      <c r="AD109" s="652"/>
      <c r="AE109" s="652"/>
      <c r="AF109" s="1505">
        <v>0.47916666666666669</v>
      </c>
      <c r="AG109" s="1506"/>
      <c r="AH109" s="1506"/>
      <c r="AI109" s="1506"/>
      <c r="AJ109" s="1507" t="s">
        <v>1901</v>
      </c>
      <c r="AK109" s="1507"/>
      <c r="AL109" s="1507"/>
      <c r="AM109" s="1505">
        <v>6.25E-2</v>
      </c>
      <c r="AN109" s="1506"/>
      <c r="AO109" s="1506"/>
      <c r="AP109" s="1506"/>
      <c r="AQ109" s="652"/>
      <c r="AR109" s="652"/>
      <c r="AS109" s="652"/>
      <c r="AT109" s="652"/>
      <c r="AU109" s="652"/>
      <c r="AV109" s="652"/>
      <c r="AW109" s="652"/>
      <c r="AX109" s="652"/>
      <c r="AY109" s="652"/>
      <c r="AZ109" s="652"/>
      <c r="BA109" s="1505">
        <v>0.20833333333333334</v>
      </c>
      <c r="BB109" s="1506"/>
      <c r="BC109" s="1506"/>
      <c r="BD109" s="1506"/>
      <c r="BE109" s="1507" t="s">
        <v>1901</v>
      </c>
      <c r="BF109" s="1507"/>
      <c r="BG109" s="1507"/>
      <c r="BH109" s="1507"/>
      <c r="BI109" s="1505">
        <v>0.29166666666666669</v>
      </c>
      <c r="BJ109" s="1506"/>
      <c r="BK109" s="1506"/>
      <c r="BL109" s="1506"/>
      <c r="BM109" s="652"/>
      <c r="BN109" s="652"/>
      <c r="BO109" s="652"/>
      <c r="BP109" s="652"/>
      <c r="BQ109" s="652"/>
      <c r="BR109" s="652"/>
      <c r="BS109" s="652"/>
      <c r="BT109" s="652"/>
      <c r="BU109" s="652"/>
      <c r="BV109" s="652"/>
      <c r="BW109" s="652"/>
      <c r="BX109" s="652"/>
      <c r="BY109" s="652"/>
      <c r="BZ109" s="652"/>
      <c r="CA109" s="652"/>
    </row>
    <row r="110" spans="1:87" ht="10.5" customHeight="1">
      <c r="A110" s="650"/>
      <c r="B110" s="650"/>
      <c r="C110" s="650"/>
      <c r="D110" s="650"/>
      <c r="E110" s="650"/>
      <c r="F110" s="650"/>
      <c r="G110" s="651"/>
      <c r="H110" s="650"/>
      <c r="I110" s="650"/>
      <c r="J110" s="650"/>
      <c r="K110" s="650"/>
      <c r="L110" s="650"/>
      <c r="M110" s="650"/>
      <c r="N110" s="650"/>
      <c r="O110" s="1491" t="s">
        <v>1837</v>
      </c>
      <c r="P110" s="1492"/>
      <c r="Q110" s="1492"/>
      <c r="R110" s="1492"/>
      <c r="S110" s="1492"/>
      <c r="T110" s="1493"/>
      <c r="U110" s="650"/>
      <c r="V110" s="650"/>
      <c r="W110" s="650"/>
      <c r="X110" s="650"/>
      <c r="Y110" s="650"/>
      <c r="Z110" s="650"/>
      <c r="AA110" s="652"/>
      <c r="AB110" s="652"/>
      <c r="AC110" s="652"/>
      <c r="AD110" s="652"/>
      <c r="AE110" s="652"/>
      <c r="AF110" s="654"/>
      <c r="AG110" s="654"/>
      <c r="AH110" s="1491" t="s">
        <v>1837</v>
      </c>
      <c r="AI110" s="1494"/>
      <c r="AJ110" s="1494"/>
      <c r="AK110" s="1494"/>
      <c r="AL110" s="1494"/>
      <c r="AM110" s="1494"/>
      <c r="AN110" s="1495"/>
      <c r="AO110" s="652"/>
      <c r="AP110" s="652"/>
      <c r="AQ110" s="652"/>
      <c r="AR110" s="652"/>
      <c r="AS110" s="652"/>
      <c r="AT110" s="652"/>
      <c r="AU110" s="652"/>
      <c r="AV110" s="652"/>
      <c r="AW110" s="652"/>
      <c r="AX110" s="652"/>
      <c r="AY110" s="652"/>
      <c r="AZ110" s="652"/>
      <c r="BA110" s="652"/>
      <c r="BB110" s="652"/>
      <c r="BC110" s="1496" t="s">
        <v>1837</v>
      </c>
      <c r="BD110" s="1494"/>
      <c r="BE110" s="1494"/>
      <c r="BF110" s="1494"/>
      <c r="BG110" s="1494"/>
      <c r="BH110" s="1494"/>
      <c r="BI110" s="1494"/>
      <c r="BJ110" s="1495"/>
      <c r="BK110" s="652"/>
      <c r="BL110" s="652"/>
      <c r="BM110" s="652"/>
      <c r="BN110" s="652"/>
      <c r="BO110" s="652"/>
      <c r="BP110" s="652"/>
      <c r="BQ110" s="652"/>
      <c r="BR110" s="652"/>
      <c r="BS110" s="652"/>
      <c r="BT110" s="652"/>
      <c r="BU110" s="652"/>
      <c r="BV110" s="652"/>
      <c r="BW110" s="652"/>
      <c r="BX110" s="652"/>
      <c r="BY110" s="652"/>
      <c r="BZ110" s="652"/>
      <c r="CA110" s="652"/>
    </row>
    <row r="111" spans="1:87" ht="10.5" customHeight="1">
      <c r="A111" s="1497" t="s">
        <v>80</v>
      </c>
      <c r="B111" s="1497"/>
      <c r="C111" s="1497"/>
      <c r="D111" s="1497" t="s">
        <v>79</v>
      </c>
      <c r="E111" s="1497"/>
      <c r="F111" s="1497"/>
      <c r="G111" s="651"/>
      <c r="H111" s="650"/>
      <c r="I111" s="650"/>
      <c r="J111" s="650"/>
      <c r="K111" s="650"/>
      <c r="L111" s="650"/>
      <c r="M111" s="650"/>
      <c r="N111" s="650"/>
      <c r="O111" s="650"/>
      <c r="P111" s="650"/>
      <c r="Q111" s="650"/>
      <c r="R111" s="650"/>
      <c r="S111" s="650"/>
      <c r="T111" s="650"/>
      <c r="U111" s="650"/>
      <c r="V111" s="650"/>
      <c r="W111" s="650"/>
      <c r="X111" s="650"/>
      <c r="Y111" s="650"/>
      <c r="Z111" s="650"/>
      <c r="AA111" s="652"/>
      <c r="AB111" s="652"/>
      <c r="AC111" s="652"/>
      <c r="AD111" s="652"/>
      <c r="AE111" s="652"/>
      <c r="AF111" s="654"/>
      <c r="AG111" s="654"/>
      <c r="AH111" s="655"/>
      <c r="AI111" s="1498" t="s">
        <v>1404</v>
      </c>
      <c r="AJ111" s="1498"/>
      <c r="AK111" s="1498"/>
      <c r="AL111" s="1498"/>
      <c r="AM111" s="1498"/>
      <c r="AN111" s="1498"/>
      <c r="AO111" s="1498"/>
      <c r="AP111" s="1498"/>
      <c r="AQ111" s="1498"/>
      <c r="AR111" s="1498"/>
      <c r="AS111" s="1498"/>
      <c r="AT111" s="1498"/>
      <c r="AU111" s="1498"/>
      <c r="AV111" s="1498"/>
      <c r="AW111" s="1498"/>
      <c r="AX111" s="1498"/>
      <c r="AY111" s="1499" t="s">
        <v>1405</v>
      </c>
      <c r="AZ111" s="1500"/>
      <c r="BA111" s="1500"/>
      <c r="BB111" s="1500"/>
      <c r="BC111" s="1500"/>
      <c r="BD111" s="1500"/>
      <c r="BE111" s="1500"/>
      <c r="BF111" s="1500"/>
      <c r="BG111" s="1500"/>
      <c r="BH111" s="1500"/>
      <c r="BI111" s="1500"/>
      <c r="BJ111" s="1500"/>
      <c r="BK111" s="1500"/>
      <c r="BL111" s="1500"/>
      <c r="BM111" s="1500"/>
      <c r="BN111" s="1500"/>
      <c r="BO111" s="1500"/>
      <c r="BP111" s="1500"/>
      <c r="BQ111" s="1500"/>
      <c r="BR111" s="1500"/>
      <c r="BS111" s="1500"/>
      <c r="BT111" s="1501"/>
      <c r="BU111" s="1502" t="s">
        <v>76</v>
      </c>
      <c r="BV111" s="1503"/>
      <c r="BW111" s="1503"/>
      <c r="BX111" s="1503"/>
      <c r="BY111" s="1503"/>
      <c r="BZ111" s="1504"/>
      <c r="CA111" s="652"/>
    </row>
    <row r="112" spans="1:87" ht="10.5" customHeight="1">
      <c r="A112" s="1497"/>
      <c r="B112" s="1497"/>
      <c r="C112" s="1497"/>
      <c r="D112" s="1497"/>
      <c r="E112" s="1497"/>
      <c r="F112" s="1497"/>
      <c r="G112" s="1461"/>
      <c r="H112" s="1461"/>
      <c r="I112" s="1391">
        <v>0.25</v>
      </c>
      <c r="J112" s="1391"/>
      <c r="K112" s="1391"/>
      <c r="L112" s="1391"/>
      <c r="M112" s="1391">
        <v>0.29166666666666669</v>
      </c>
      <c r="N112" s="1391"/>
      <c r="O112" s="1391"/>
      <c r="P112" s="1391"/>
      <c r="Q112" s="1391">
        <v>0.33333333333333331</v>
      </c>
      <c r="R112" s="1391"/>
      <c r="S112" s="1391"/>
      <c r="T112" s="1391"/>
      <c r="U112" s="1391">
        <v>0.375</v>
      </c>
      <c r="V112" s="1391"/>
      <c r="W112" s="1391"/>
      <c r="X112" s="1391"/>
      <c r="Y112" s="1391">
        <v>0.41666666666666669</v>
      </c>
      <c r="Z112" s="1418"/>
      <c r="AA112" s="1391"/>
      <c r="AB112" s="1391"/>
      <c r="AC112" s="1391">
        <v>0.45833333333333331</v>
      </c>
      <c r="AD112" s="1391"/>
      <c r="AE112" s="1391"/>
      <c r="AF112" s="1391"/>
      <c r="AG112" s="1385">
        <v>0.5</v>
      </c>
      <c r="AH112" s="1385"/>
      <c r="AI112" s="1385"/>
      <c r="AJ112" s="1385"/>
      <c r="AK112" s="1385">
        <v>4.1666666666666664E-2</v>
      </c>
      <c r="AL112" s="1385"/>
      <c r="AM112" s="1385"/>
      <c r="AN112" s="1385"/>
      <c r="AO112" s="1385">
        <v>8.3333333333333329E-2</v>
      </c>
      <c r="AP112" s="1385"/>
      <c r="AQ112" s="1385"/>
      <c r="AR112" s="1385"/>
      <c r="AS112" s="1385">
        <v>0.125</v>
      </c>
      <c r="AT112" s="1385"/>
      <c r="AU112" s="1385"/>
      <c r="AV112" s="1385"/>
      <c r="AW112" s="1385">
        <v>0.16666666666666666</v>
      </c>
      <c r="AX112" s="1385"/>
      <c r="AY112" s="1385"/>
      <c r="AZ112" s="1385"/>
      <c r="BA112" s="1385">
        <v>0.20833333333333334</v>
      </c>
      <c r="BB112" s="1385"/>
      <c r="BC112" s="1385"/>
      <c r="BD112" s="1385"/>
      <c r="BE112" s="1385">
        <v>0.25</v>
      </c>
      <c r="BF112" s="1385"/>
      <c r="BG112" s="1385"/>
      <c r="BH112" s="1385"/>
      <c r="BI112" s="1385">
        <v>0.29166666666666669</v>
      </c>
      <c r="BJ112" s="1385"/>
      <c r="BK112" s="1385"/>
      <c r="BL112" s="1385"/>
      <c r="BM112" s="1385">
        <v>0.33333333333333331</v>
      </c>
      <c r="BN112" s="1385"/>
      <c r="BO112" s="1385"/>
      <c r="BP112" s="1385"/>
      <c r="BQ112" s="1385">
        <v>0.375</v>
      </c>
      <c r="BR112" s="1385"/>
      <c r="BS112" s="1385"/>
      <c r="BT112" s="1385"/>
      <c r="BU112" s="1385">
        <v>0.41666666666666669</v>
      </c>
      <c r="BV112" s="1414"/>
      <c r="BW112" s="1414"/>
      <c r="BX112" s="1414"/>
      <c r="BY112" s="1385"/>
      <c r="BZ112" s="1385"/>
      <c r="CA112" s="656"/>
      <c r="CB112" s="657"/>
      <c r="CC112" s="657"/>
      <c r="CD112" s="657"/>
      <c r="CE112" s="657"/>
      <c r="CF112" s="657"/>
      <c r="CG112" s="657"/>
      <c r="CH112" s="657"/>
      <c r="CI112" s="657"/>
    </row>
    <row r="113" spans="1:87" ht="9.9499999999999993" customHeight="1">
      <c r="A113" s="1482" t="str">
        <f>AK106</f>
        <v/>
      </c>
      <c r="B113" s="1482"/>
      <c r="C113" s="1482"/>
      <c r="D113" s="1390" t="s">
        <v>78</v>
      </c>
      <c r="E113" s="1390"/>
      <c r="F113" s="1390"/>
      <c r="G113" s="1395" t="s">
        <v>3026</v>
      </c>
      <c r="H113" s="1396"/>
      <c r="I113" s="1396"/>
      <c r="J113" s="1396"/>
      <c r="K113" s="1396"/>
      <c r="L113" s="1396"/>
      <c r="M113" s="1396"/>
      <c r="N113" s="1396"/>
      <c r="O113" s="1396"/>
      <c r="P113" s="1396"/>
      <c r="Q113" s="1396"/>
      <c r="R113" s="1396"/>
      <c r="S113" s="1396"/>
      <c r="T113" s="1396"/>
      <c r="U113" s="1396"/>
      <c r="V113" s="1397"/>
      <c r="W113" s="658"/>
      <c r="X113" s="658"/>
      <c r="Y113" s="658"/>
      <c r="Z113" s="658"/>
      <c r="AA113" s="1464" t="s">
        <v>3027</v>
      </c>
      <c r="AB113" s="1464"/>
      <c r="AC113" s="1451" t="s">
        <v>3115</v>
      </c>
      <c r="AD113" s="1451"/>
      <c r="AE113" s="1451"/>
      <c r="AF113" s="1451"/>
      <c r="AG113" s="1451"/>
      <c r="AH113" s="1451"/>
      <c r="AI113" s="1451"/>
      <c r="AJ113" s="1451"/>
      <c r="AK113" s="1451"/>
      <c r="AL113" s="1451"/>
      <c r="AM113" s="1451"/>
      <c r="AN113" s="1451"/>
      <c r="AO113" s="1451"/>
      <c r="AP113" s="1451"/>
      <c r="AQ113" s="1465" t="s">
        <v>3114</v>
      </c>
      <c r="AR113" s="1465"/>
      <c r="AS113" s="1451" t="s">
        <v>3116</v>
      </c>
      <c r="AT113" s="1451"/>
      <c r="AU113" s="1451"/>
      <c r="AV113" s="1451"/>
      <c r="AW113" s="1451"/>
      <c r="AX113" s="1451"/>
      <c r="AY113" s="1464" t="s">
        <v>3119</v>
      </c>
      <c r="AZ113" s="1464"/>
      <c r="BA113" s="1464"/>
      <c r="BB113" s="1464"/>
      <c r="BC113" s="1464" t="s">
        <v>3036</v>
      </c>
      <c r="BD113" s="1464"/>
      <c r="BE113" s="1464"/>
      <c r="BF113" s="1464"/>
      <c r="BG113" s="1465" t="s">
        <v>3016</v>
      </c>
      <c r="BH113" s="1465"/>
      <c r="BI113" s="1465"/>
      <c r="BJ113" s="1465"/>
      <c r="BK113" s="1464" t="s">
        <v>3014</v>
      </c>
      <c r="BL113" s="1464"/>
      <c r="BM113" s="1464"/>
      <c r="BN113" s="1464"/>
      <c r="BO113" s="1466" t="s">
        <v>3035</v>
      </c>
      <c r="BP113" s="1466"/>
      <c r="BQ113" s="1466"/>
      <c r="BR113" s="1466"/>
      <c r="BS113" s="1466"/>
      <c r="BT113" s="1466"/>
      <c r="BU113" s="1464" t="s">
        <v>3028</v>
      </c>
      <c r="BV113" s="1464"/>
      <c r="BW113" s="1464"/>
      <c r="BX113" s="1464"/>
      <c r="BY113" s="1464"/>
      <c r="BZ113" s="1464"/>
      <c r="CA113" s="668"/>
      <c r="CB113" s="657"/>
      <c r="CC113" s="657"/>
      <c r="CD113" s="657"/>
      <c r="CE113" s="657"/>
      <c r="CF113" s="657"/>
      <c r="CG113" s="657"/>
      <c r="CH113" s="657"/>
      <c r="CI113" s="657"/>
    </row>
    <row r="114" spans="1:87" ht="9.9499999999999993" customHeight="1">
      <c r="A114" s="1482"/>
      <c r="B114" s="1482"/>
      <c r="C114" s="1482"/>
      <c r="D114" s="1390"/>
      <c r="E114" s="1390"/>
      <c r="F114" s="1390"/>
      <c r="G114" s="1398"/>
      <c r="H114" s="1399"/>
      <c r="I114" s="1399"/>
      <c r="J114" s="1399"/>
      <c r="K114" s="1399"/>
      <c r="L114" s="1399"/>
      <c r="M114" s="1399"/>
      <c r="N114" s="1399"/>
      <c r="O114" s="1399"/>
      <c r="P114" s="1399"/>
      <c r="Q114" s="1399"/>
      <c r="R114" s="1399"/>
      <c r="S114" s="1399"/>
      <c r="T114" s="1399"/>
      <c r="U114" s="1399"/>
      <c r="V114" s="1400"/>
      <c r="W114" s="669"/>
      <c r="X114" s="669"/>
      <c r="Y114" s="669"/>
      <c r="Z114" s="669"/>
      <c r="AA114" s="1464"/>
      <c r="AB114" s="1464"/>
      <c r="AC114" s="1451"/>
      <c r="AD114" s="1451"/>
      <c r="AE114" s="1451"/>
      <c r="AF114" s="1451"/>
      <c r="AG114" s="1451"/>
      <c r="AH114" s="1451"/>
      <c r="AI114" s="1451"/>
      <c r="AJ114" s="1451"/>
      <c r="AK114" s="1451"/>
      <c r="AL114" s="1451"/>
      <c r="AM114" s="1451"/>
      <c r="AN114" s="1451"/>
      <c r="AO114" s="1451"/>
      <c r="AP114" s="1451"/>
      <c r="AQ114" s="1465"/>
      <c r="AR114" s="1465"/>
      <c r="AS114" s="1451"/>
      <c r="AT114" s="1451"/>
      <c r="AU114" s="1451"/>
      <c r="AV114" s="1451"/>
      <c r="AW114" s="1451"/>
      <c r="AX114" s="1451"/>
      <c r="AY114" s="1464"/>
      <c r="AZ114" s="1464"/>
      <c r="BA114" s="1464"/>
      <c r="BB114" s="1464"/>
      <c r="BC114" s="1464"/>
      <c r="BD114" s="1464"/>
      <c r="BE114" s="1464"/>
      <c r="BF114" s="1464"/>
      <c r="BG114" s="1465"/>
      <c r="BH114" s="1465"/>
      <c r="BI114" s="1465"/>
      <c r="BJ114" s="1465"/>
      <c r="BK114" s="1464"/>
      <c r="BL114" s="1464"/>
      <c r="BM114" s="1464"/>
      <c r="BN114" s="1464"/>
      <c r="BO114" s="1466"/>
      <c r="BP114" s="1466"/>
      <c r="BQ114" s="1466"/>
      <c r="BR114" s="1466"/>
      <c r="BS114" s="1466"/>
      <c r="BT114" s="1466"/>
      <c r="BU114" s="1464"/>
      <c r="BV114" s="1464"/>
      <c r="BW114" s="1464"/>
      <c r="BX114" s="1464"/>
      <c r="BY114" s="1464"/>
      <c r="BZ114" s="1464"/>
      <c r="CA114" s="668"/>
      <c r="CB114" s="657"/>
      <c r="CC114" s="657"/>
      <c r="CD114" s="657"/>
      <c r="CE114" s="657"/>
      <c r="CF114" s="657"/>
      <c r="CG114" s="657"/>
      <c r="CH114" s="657"/>
      <c r="CI114" s="657"/>
    </row>
    <row r="115" spans="1:87" ht="9.9499999999999993" customHeight="1">
      <c r="A115" s="1483"/>
      <c r="B115" s="1483"/>
      <c r="C115" s="1483"/>
      <c r="D115" s="1390"/>
      <c r="E115" s="1390"/>
      <c r="F115" s="1390"/>
      <c r="G115" s="1398"/>
      <c r="H115" s="1399"/>
      <c r="I115" s="1399"/>
      <c r="J115" s="1399"/>
      <c r="K115" s="1399"/>
      <c r="L115" s="1399"/>
      <c r="M115" s="1399"/>
      <c r="N115" s="1399"/>
      <c r="O115" s="1399"/>
      <c r="P115" s="1399"/>
      <c r="Q115" s="1399"/>
      <c r="R115" s="1399"/>
      <c r="S115" s="1399"/>
      <c r="T115" s="1399"/>
      <c r="U115" s="1399"/>
      <c r="V115" s="1400"/>
      <c r="W115" s="669"/>
      <c r="X115" s="669"/>
      <c r="Y115" s="669"/>
      <c r="Z115" s="669"/>
      <c r="AA115" s="1464"/>
      <c r="AB115" s="1464"/>
      <c r="AC115" s="1451"/>
      <c r="AD115" s="1451"/>
      <c r="AE115" s="1451"/>
      <c r="AF115" s="1451"/>
      <c r="AG115" s="1451"/>
      <c r="AH115" s="1451"/>
      <c r="AI115" s="1451"/>
      <c r="AJ115" s="1451"/>
      <c r="AK115" s="1451"/>
      <c r="AL115" s="1451"/>
      <c r="AM115" s="1451"/>
      <c r="AN115" s="1451"/>
      <c r="AO115" s="1451"/>
      <c r="AP115" s="1451"/>
      <c r="AQ115" s="1465"/>
      <c r="AR115" s="1465"/>
      <c r="AS115" s="1451"/>
      <c r="AT115" s="1451"/>
      <c r="AU115" s="1451"/>
      <c r="AV115" s="1451"/>
      <c r="AW115" s="1451"/>
      <c r="AX115" s="1451"/>
      <c r="AY115" s="1464"/>
      <c r="AZ115" s="1464"/>
      <c r="BA115" s="1464"/>
      <c r="BB115" s="1464"/>
      <c r="BC115" s="1464"/>
      <c r="BD115" s="1464"/>
      <c r="BE115" s="1464"/>
      <c r="BF115" s="1464"/>
      <c r="BG115" s="1465"/>
      <c r="BH115" s="1465"/>
      <c r="BI115" s="1465"/>
      <c r="BJ115" s="1465"/>
      <c r="BK115" s="1464"/>
      <c r="BL115" s="1464"/>
      <c r="BM115" s="1464"/>
      <c r="BN115" s="1464"/>
      <c r="BO115" s="1466"/>
      <c r="BP115" s="1466"/>
      <c r="BQ115" s="1466"/>
      <c r="BR115" s="1466"/>
      <c r="BS115" s="1466"/>
      <c r="BT115" s="1466"/>
      <c r="BU115" s="1464"/>
      <c r="BV115" s="1464"/>
      <c r="BW115" s="1464"/>
      <c r="BX115" s="1464"/>
      <c r="BY115" s="1464"/>
      <c r="BZ115" s="1464"/>
      <c r="CA115" s="672"/>
      <c r="CB115" s="657"/>
      <c r="CC115" s="657"/>
      <c r="CD115" s="657"/>
      <c r="CE115" s="657"/>
      <c r="CF115" s="657"/>
      <c r="CG115" s="657"/>
      <c r="CH115" s="657"/>
      <c r="CI115" s="657"/>
    </row>
    <row r="116" spans="1:87" ht="9.9499999999999993" customHeight="1">
      <c r="A116" s="1389" t="s">
        <v>15</v>
      </c>
      <c r="B116" s="1389"/>
      <c r="C116" s="1389"/>
      <c r="D116" s="1390"/>
      <c r="E116" s="1390"/>
      <c r="F116" s="1390"/>
      <c r="G116" s="1398"/>
      <c r="H116" s="1399"/>
      <c r="I116" s="1399"/>
      <c r="J116" s="1399"/>
      <c r="K116" s="1399"/>
      <c r="L116" s="1399"/>
      <c r="M116" s="1399"/>
      <c r="N116" s="1399"/>
      <c r="O116" s="1399"/>
      <c r="P116" s="1399"/>
      <c r="Q116" s="1399"/>
      <c r="R116" s="1399"/>
      <c r="S116" s="1399"/>
      <c r="T116" s="1399"/>
      <c r="U116" s="1399"/>
      <c r="V116" s="1400"/>
      <c r="W116" s="669"/>
      <c r="X116" s="669"/>
      <c r="Y116" s="669"/>
      <c r="Z116" s="669"/>
      <c r="AA116" s="1464"/>
      <c r="AB116" s="1464"/>
      <c r="AC116" s="1451"/>
      <c r="AD116" s="1451"/>
      <c r="AE116" s="1451"/>
      <c r="AF116" s="1451"/>
      <c r="AG116" s="1451"/>
      <c r="AH116" s="1451"/>
      <c r="AI116" s="1451"/>
      <c r="AJ116" s="1451"/>
      <c r="AK116" s="1451"/>
      <c r="AL116" s="1451"/>
      <c r="AM116" s="1451"/>
      <c r="AN116" s="1451"/>
      <c r="AO116" s="1451"/>
      <c r="AP116" s="1451"/>
      <c r="AQ116" s="1465"/>
      <c r="AR116" s="1465"/>
      <c r="AS116" s="1451"/>
      <c r="AT116" s="1451"/>
      <c r="AU116" s="1451"/>
      <c r="AV116" s="1451"/>
      <c r="AW116" s="1451"/>
      <c r="AX116" s="1451"/>
      <c r="AY116" s="1464"/>
      <c r="AZ116" s="1464"/>
      <c r="BA116" s="1464"/>
      <c r="BB116" s="1464"/>
      <c r="BC116" s="1464"/>
      <c r="BD116" s="1464"/>
      <c r="BE116" s="1464"/>
      <c r="BF116" s="1464"/>
      <c r="BG116" s="1465"/>
      <c r="BH116" s="1465"/>
      <c r="BI116" s="1465"/>
      <c r="BJ116" s="1465"/>
      <c r="BK116" s="1464"/>
      <c r="BL116" s="1464"/>
      <c r="BM116" s="1464"/>
      <c r="BN116" s="1464"/>
      <c r="BO116" s="1466"/>
      <c r="BP116" s="1466"/>
      <c r="BQ116" s="1466"/>
      <c r="BR116" s="1466"/>
      <c r="BS116" s="1466"/>
      <c r="BT116" s="1466"/>
      <c r="BU116" s="1464"/>
      <c r="BV116" s="1464"/>
      <c r="BW116" s="1464"/>
      <c r="BX116" s="1464"/>
      <c r="BY116" s="1464"/>
      <c r="BZ116" s="1464"/>
      <c r="CA116" s="672"/>
      <c r="CB116" s="657"/>
      <c r="CC116" s="657"/>
      <c r="CD116" s="657"/>
      <c r="CE116" s="657"/>
      <c r="CF116" s="657"/>
      <c r="CG116" s="657"/>
      <c r="CH116" s="657"/>
      <c r="CI116" s="657"/>
    </row>
    <row r="117" spans="1:87" ht="9.9499999999999993" customHeight="1">
      <c r="A117" s="1390"/>
      <c r="B117" s="1390"/>
      <c r="C117" s="1390"/>
      <c r="D117" s="1390"/>
      <c r="E117" s="1390"/>
      <c r="F117" s="1390"/>
      <c r="G117" s="1398"/>
      <c r="H117" s="1399"/>
      <c r="I117" s="1399"/>
      <c r="J117" s="1399"/>
      <c r="K117" s="1399"/>
      <c r="L117" s="1399"/>
      <c r="M117" s="1399"/>
      <c r="N117" s="1399"/>
      <c r="O117" s="1399"/>
      <c r="P117" s="1399"/>
      <c r="Q117" s="1399"/>
      <c r="R117" s="1399"/>
      <c r="S117" s="1399"/>
      <c r="T117" s="1399"/>
      <c r="U117" s="1399"/>
      <c r="V117" s="1400"/>
      <c r="W117" s="669"/>
      <c r="X117" s="669"/>
      <c r="Y117" s="669"/>
      <c r="Z117" s="669"/>
      <c r="AA117" s="1464"/>
      <c r="AB117" s="1464"/>
      <c r="AC117" s="1451"/>
      <c r="AD117" s="1451"/>
      <c r="AE117" s="1451"/>
      <c r="AF117" s="1451"/>
      <c r="AG117" s="1451"/>
      <c r="AH117" s="1451"/>
      <c r="AI117" s="1451"/>
      <c r="AJ117" s="1451"/>
      <c r="AK117" s="1451"/>
      <c r="AL117" s="1451"/>
      <c r="AM117" s="1451"/>
      <c r="AN117" s="1451"/>
      <c r="AO117" s="1451"/>
      <c r="AP117" s="1451"/>
      <c r="AQ117" s="1465"/>
      <c r="AR117" s="1465"/>
      <c r="AS117" s="1451"/>
      <c r="AT117" s="1451"/>
      <c r="AU117" s="1451"/>
      <c r="AV117" s="1451"/>
      <c r="AW117" s="1451"/>
      <c r="AX117" s="1451"/>
      <c r="AY117" s="1464"/>
      <c r="AZ117" s="1464"/>
      <c r="BA117" s="1464"/>
      <c r="BB117" s="1464"/>
      <c r="BC117" s="1464"/>
      <c r="BD117" s="1464"/>
      <c r="BE117" s="1464"/>
      <c r="BF117" s="1464"/>
      <c r="BG117" s="1465"/>
      <c r="BH117" s="1465"/>
      <c r="BI117" s="1465"/>
      <c r="BJ117" s="1465"/>
      <c r="BK117" s="1464"/>
      <c r="BL117" s="1464"/>
      <c r="BM117" s="1464"/>
      <c r="BN117" s="1464"/>
      <c r="BO117" s="1466"/>
      <c r="BP117" s="1466"/>
      <c r="BQ117" s="1466"/>
      <c r="BR117" s="1466"/>
      <c r="BS117" s="1466"/>
      <c r="BT117" s="1466"/>
      <c r="BU117" s="1464"/>
      <c r="BV117" s="1464"/>
      <c r="BW117" s="1464"/>
      <c r="BX117" s="1464"/>
      <c r="BY117" s="1464"/>
      <c r="BZ117" s="1464"/>
      <c r="CA117" s="668"/>
      <c r="CB117" s="657"/>
      <c r="CC117" s="657"/>
      <c r="CD117" s="657"/>
      <c r="CE117" s="657"/>
      <c r="CF117" s="657"/>
      <c r="CG117" s="657"/>
      <c r="CH117" s="657"/>
      <c r="CI117" s="657"/>
    </row>
    <row r="118" spans="1:87" ht="9.9499999999999993" customHeight="1">
      <c r="A118" s="1484"/>
      <c r="B118" s="1484"/>
      <c r="C118" s="1484"/>
      <c r="D118" s="1390"/>
      <c r="E118" s="1390"/>
      <c r="F118" s="1390"/>
      <c r="G118" s="1398"/>
      <c r="H118" s="1399"/>
      <c r="I118" s="1399"/>
      <c r="J118" s="1399"/>
      <c r="K118" s="1399"/>
      <c r="L118" s="1399"/>
      <c r="M118" s="1399"/>
      <c r="N118" s="1399"/>
      <c r="O118" s="1399"/>
      <c r="P118" s="1399"/>
      <c r="Q118" s="1399"/>
      <c r="R118" s="1399"/>
      <c r="S118" s="1399"/>
      <c r="T118" s="1399"/>
      <c r="U118" s="1399"/>
      <c r="V118" s="1400"/>
      <c r="W118" s="669"/>
      <c r="X118" s="669"/>
      <c r="Y118" s="669"/>
      <c r="Z118" s="669"/>
      <c r="AA118" s="1464"/>
      <c r="AB118" s="1464"/>
      <c r="AC118" s="1451"/>
      <c r="AD118" s="1451"/>
      <c r="AE118" s="1451"/>
      <c r="AF118" s="1451"/>
      <c r="AG118" s="1451"/>
      <c r="AH118" s="1451"/>
      <c r="AI118" s="1451"/>
      <c r="AJ118" s="1451"/>
      <c r="AK118" s="1451"/>
      <c r="AL118" s="1451"/>
      <c r="AM118" s="1451"/>
      <c r="AN118" s="1451"/>
      <c r="AO118" s="1451"/>
      <c r="AP118" s="1451"/>
      <c r="AQ118" s="1465"/>
      <c r="AR118" s="1465"/>
      <c r="AS118" s="1451"/>
      <c r="AT118" s="1451"/>
      <c r="AU118" s="1451"/>
      <c r="AV118" s="1451"/>
      <c r="AW118" s="1451"/>
      <c r="AX118" s="1451"/>
      <c r="AY118" s="1464"/>
      <c r="AZ118" s="1464"/>
      <c r="BA118" s="1464"/>
      <c r="BB118" s="1464"/>
      <c r="BC118" s="1464"/>
      <c r="BD118" s="1464"/>
      <c r="BE118" s="1464"/>
      <c r="BF118" s="1464"/>
      <c r="BG118" s="1465"/>
      <c r="BH118" s="1465"/>
      <c r="BI118" s="1465"/>
      <c r="BJ118" s="1465"/>
      <c r="BK118" s="1464"/>
      <c r="BL118" s="1464"/>
      <c r="BM118" s="1464"/>
      <c r="BN118" s="1464"/>
      <c r="BO118" s="1466"/>
      <c r="BP118" s="1466"/>
      <c r="BQ118" s="1466"/>
      <c r="BR118" s="1466"/>
      <c r="BS118" s="1466"/>
      <c r="BT118" s="1466"/>
      <c r="BU118" s="1464"/>
      <c r="BV118" s="1464"/>
      <c r="BW118" s="1464"/>
      <c r="BX118" s="1464"/>
      <c r="BY118" s="1464"/>
      <c r="BZ118" s="1464"/>
      <c r="CA118" s="668"/>
      <c r="CB118" s="657"/>
      <c r="CC118" s="657"/>
      <c r="CD118" s="657"/>
      <c r="CE118" s="657"/>
      <c r="CF118" s="657"/>
      <c r="CG118" s="657"/>
      <c r="CH118" s="657"/>
      <c r="CI118" s="657"/>
    </row>
    <row r="119" spans="1:87" ht="9.9499999999999993" customHeight="1">
      <c r="A119" s="1485" t="str">
        <f>AO106</f>
        <v/>
      </c>
      <c r="B119" s="1485"/>
      <c r="C119" s="1485"/>
      <c r="D119" s="1390"/>
      <c r="E119" s="1390"/>
      <c r="F119" s="1390"/>
      <c r="G119" s="1398"/>
      <c r="H119" s="1399"/>
      <c r="I119" s="1399"/>
      <c r="J119" s="1399"/>
      <c r="K119" s="1399"/>
      <c r="L119" s="1399"/>
      <c r="M119" s="1399"/>
      <c r="N119" s="1399"/>
      <c r="O119" s="1399"/>
      <c r="P119" s="1399"/>
      <c r="Q119" s="1399"/>
      <c r="R119" s="1399"/>
      <c r="S119" s="1399"/>
      <c r="T119" s="1399"/>
      <c r="U119" s="1399"/>
      <c r="V119" s="1400"/>
      <c r="W119" s="669"/>
      <c r="X119" s="669"/>
      <c r="Y119" s="669"/>
      <c r="Z119" s="669"/>
      <c r="AA119" s="1464"/>
      <c r="AB119" s="1464"/>
      <c r="AC119" s="1451"/>
      <c r="AD119" s="1451"/>
      <c r="AE119" s="1451"/>
      <c r="AF119" s="1451"/>
      <c r="AG119" s="1451"/>
      <c r="AH119" s="1451"/>
      <c r="AI119" s="1451"/>
      <c r="AJ119" s="1451"/>
      <c r="AK119" s="1451"/>
      <c r="AL119" s="1451"/>
      <c r="AM119" s="1451"/>
      <c r="AN119" s="1451"/>
      <c r="AO119" s="1451"/>
      <c r="AP119" s="1451"/>
      <c r="AQ119" s="1465"/>
      <c r="AR119" s="1465"/>
      <c r="AS119" s="1451"/>
      <c r="AT119" s="1451"/>
      <c r="AU119" s="1451"/>
      <c r="AV119" s="1451"/>
      <c r="AW119" s="1451"/>
      <c r="AX119" s="1451"/>
      <c r="AY119" s="1464"/>
      <c r="AZ119" s="1464"/>
      <c r="BA119" s="1464"/>
      <c r="BB119" s="1464"/>
      <c r="BC119" s="1464"/>
      <c r="BD119" s="1464"/>
      <c r="BE119" s="1464"/>
      <c r="BF119" s="1464"/>
      <c r="BG119" s="1465"/>
      <c r="BH119" s="1465"/>
      <c r="BI119" s="1465"/>
      <c r="BJ119" s="1465"/>
      <c r="BK119" s="1464"/>
      <c r="BL119" s="1464"/>
      <c r="BM119" s="1464"/>
      <c r="BN119" s="1464"/>
      <c r="BO119" s="1466"/>
      <c r="BP119" s="1466"/>
      <c r="BQ119" s="1466"/>
      <c r="BR119" s="1466"/>
      <c r="BS119" s="1466"/>
      <c r="BT119" s="1466"/>
      <c r="BU119" s="1464"/>
      <c r="BV119" s="1464"/>
      <c r="BW119" s="1464"/>
      <c r="BX119" s="1464"/>
      <c r="BY119" s="1464"/>
      <c r="BZ119" s="1464"/>
      <c r="CA119" s="668"/>
      <c r="CB119" s="657"/>
      <c r="CC119" s="657"/>
      <c r="CD119" s="657"/>
      <c r="CE119" s="657"/>
      <c r="CF119" s="657"/>
      <c r="CG119" s="657"/>
      <c r="CH119" s="657"/>
      <c r="CI119" s="657"/>
    </row>
    <row r="120" spans="1:87" ht="9.9499999999999993" customHeight="1">
      <c r="A120" s="1482"/>
      <c r="B120" s="1482"/>
      <c r="C120" s="1482"/>
      <c r="D120" s="1390"/>
      <c r="E120" s="1390"/>
      <c r="F120" s="1390"/>
      <c r="G120" s="1398"/>
      <c r="H120" s="1399"/>
      <c r="I120" s="1399"/>
      <c r="J120" s="1399"/>
      <c r="K120" s="1399"/>
      <c r="L120" s="1399"/>
      <c r="M120" s="1399"/>
      <c r="N120" s="1399"/>
      <c r="O120" s="1399"/>
      <c r="P120" s="1399"/>
      <c r="Q120" s="1399"/>
      <c r="R120" s="1399"/>
      <c r="S120" s="1399"/>
      <c r="T120" s="1399"/>
      <c r="U120" s="1399"/>
      <c r="V120" s="1400"/>
      <c r="W120" s="673"/>
      <c r="X120" s="673"/>
      <c r="Y120" s="673"/>
      <c r="Z120" s="673"/>
      <c r="AA120" s="1464"/>
      <c r="AB120" s="1464"/>
      <c r="AC120" s="1451"/>
      <c r="AD120" s="1451"/>
      <c r="AE120" s="1451"/>
      <c r="AF120" s="1451"/>
      <c r="AG120" s="1451"/>
      <c r="AH120" s="1451"/>
      <c r="AI120" s="1451"/>
      <c r="AJ120" s="1451"/>
      <c r="AK120" s="1451"/>
      <c r="AL120" s="1451"/>
      <c r="AM120" s="1451"/>
      <c r="AN120" s="1451"/>
      <c r="AO120" s="1451"/>
      <c r="AP120" s="1451"/>
      <c r="AQ120" s="1465"/>
      <c r="AR120" s="1465"/>
      <c r="AS120" s="1451"/>
      <c r="AT120" s="1451"/>
      <c r="AU120" s="1451"/>
      <c r="AV120" s="1451"/>
      <c r="AW120" s="1451"/>
      <c r="AX120" s="1451"/>
      <c r="AY120" s="1464"/>
      <c r="AZ120" s="1464"/>
      <c r="BA120" s="1464"/>
      <c r="BB120" s="1464"/>
      <c r="BC120" s="1464"/>
      <c r="BD120" s="1464"/>
      <c r="BE120" s="1464"/>
      <c r="BF120" s="1464"/>
      <c r="BG120" s="1465"/>
      <c r="BH120" s="1465"/>
      <c r="BI120" s="1465"/>
      <c r="BJ120" s="1465"/>
      <c r="BK120" s="1464"/>
      <c r="BL120" s="1464"/>
      <c r="BM120" s="1464"/>
      <c r="BN120" s="1464"/>
      <c r="BO120" s="1466"/>
      <c r="BP120" s="1466"/>
      <c r="BQ120" s="1466"/>
      <c r="BR120" s="1466"/>
      <c r="BS120" s="1466"/>
      <c r="BT120" s="1466"/>
      <c r="BU120" s="1464"/>
      <c r="BV120" s="1464"/>
      <c r="BW120" s="1464"/>
      <c r="BX120" s="1464"/>
      <c r="BY120" s="1464"/>
      <c r="BZ120" s="1464"/>
      <c r="CA120" s="679"/>
      <c r="CB120" s="657"/>
      <c r="CC120" s="657"/>
      <c r="CD120" s="657"/>
      <c r="CE120" s="657"/>
      <c r="CF120" s="657"/>
      <c r="CG120" s="657"/>
      <c r="CH120" s="657"/>
      <c r="CI120" s="657"/>
    </row>
    <row r="121" spans="1:87" ht="9.9499999999999993" customHeight="1">
      <c r="A121" s="1483"/>
      <c r="B121" s="1483"/>
      <c r="C121" s="1483"/>
      <c r="D121" s="1390" t="s">
        <v>77</v>
      </c>
      <c r="E121" s="1390"/>
      <c r="F121" s="1390"/>
      <c r="G121" s="1398"/>
      <c r="H121" s="1399"/>
      <c r="I121" s="1399"/>
      <c r="J121" s="1399"/>
      <c r="K121" s="1399"/>
      <c r="L121" s="1399"/>
      <c r="M121" s="1399"/>
      <c r="N121" s="1399"/>
      <c r="O121" s="1399"/>
      <c r="P121" s="1399"/>
      <c r="Q121" s="1399"/>
      <c r="R121" s="1399"/>
      <c r="S121" s="1399"/>
      <c r="T121" s="1399"/>
      <c r="U121" s="1399"/>
      <c r="V121" s="1400"/>
      <c r="W121" s="669"/>
      <c r="X121" s="669"/>
      <c r="Y121" s="669"/>
      <c r="Z121" s="669"/>
      <c r="AA121" s="1464"/>
      <c r="AB121" s="1464"/>
      <c r="AC121" s="1451"/>
      <c r="AD121" s="1451"/>
      <c r="AE121" s="1451"/>
      <c r="AF121" s="1451"/>
      <c r="AG121" s="1451"/>
      <c r="AH121" s="1451"/>
      <c r="AI121" s="1451"/>
      <c r="AJ121" s="1451"/>
      <c r="AK121" s="1451"/>
      <c r="AL121" s="1451"/>
      <c r="AM121" s="1451"/>
      <c r="AN121" s="1451"/>
      <c r="AO121" s="1451"/>
      <c r="AP121" s="1451"/>
      <c r="AQ121" s="1465"/>
      <c r="AR121" s="1465"/>
      <c r="AS121" s="1451" t="s">
        <v>3050</v>
      </c>
      <c r="AT121" s="1451"/>
      <c r="AU121" s="1451"/>
      <c r="AV121" s="1451"/>
      <c r="AW121" s="1451"/>
      <c r="AX121" s="1451"/>
      <c r="AY121" s="1464"/>
      <c r="AZ121" s="1464"/>
      <c r="BA121" s="1464"/>
      <c r="BB121" s="1464"/>
      <c r="BC121" s="1464"/>
      <c r="BD121" s="1464"/>
      <c r="BE121" s="1464"/>
      <c r="BF121" s="1464"/>
      <c r="BG121" s="1465"/>
      <c r="BH121" s="1465"/>
      <c r="BI121" s="1465"/>
      <c r="BJ121" s="1465"/>
      <c r="BK121" s="1464"/>
      <c r="BL121" s="1464"/>
      <c r="BM121" s="1464"/>
      <c r="BN121" s="1464"/>
      <c r="BO121" s="1466"/>
      <c r="BP121" s="1466"/>
      <c r="BQ121" s="1466"/>
      <c r="BR121" s="1466"/>
      <c r="BS121" s="1466"/>
      <c r="BT121" s="1466"/>
      <c r="BU121" s="1464"/>
      <c r="BV121" s="1464"/>
      <c r="BW121" s="1464"/>
      <c r="BX121" s="1464"/>
      <c r="BY121" s="1464"/>
      <c r="BZ121" s="1464"/>
      <c r="CA121" s="668"/>
      <c r="CB121" s="657"/>
      <c r="CC121" s="657"/>
      <c r="CD121" s="657"/>
      <c r="CE121" s="657"/>
      <c r="CF121" s="657"/>
      <c r="CG121" s="657"/>
      <c r="CH121" s="657"/>
      <c r="CI121" s="657"/>
    </row>
    <row r="122" spans="1:87" ht="9.9499999999999993" customHeight="1">
      <c r="A122" s="1468" t="s">
        <v>14</v>
      </c>
      <c r="B122" s="1468"/>
      <c r="C122" s="1468"/>
      <c r="D122" s="1390"/>
      <c r="E122" s="1390"/>
      <c r="F122" s="1390"/>
      <c r="G122" s="1398"/>
      <c r="H122" s="1399"/>
      <c r="I122" s="1399"/>
      <c r="J122" s="1399"/>
      <c r="K122" s="1399"/>
      <c r="L122" s="1399"/>
      <c r="M122" s="1399"/>
      <c r="N122" s="1399"/>
      <c r="O122" s="1399"/>
      <c r="P122" s="1399"/>
      <c r="Q122" s="1399"/>
      <c r="R122" s="1399"/>
      <c r="S122" s="1399"/>
      <c r="T122" s="1399"/>
      <c r="U122" s="1399"/>
      <c r="V122" s="1400"/>
      <c r="W122" s="669"/>
      <c r="X122" s="669"/>
      <c r="Y122" s="669"/>
      <c r="Z122" s="669"/>
      <c r="AA122" s="1464"/>
      <c r="AB122" s="1464"/>
      <c r="AC122" s="1451"/>
      <c r="AD122" s="1451"/>
      <c r="AE122" s="1451"/>
      <c r="AF122" s="1451"/>
      <c r="AG122" s="1451"/>
      <c r="AH122" s="1451"/>
      <c r="AI122" s="1451"/>
      <c r="AJ122" s="1451"/>
      <c r="AK122" s="1451"/>
      <c r="AL122" s="1451"/>
      <c r="AM122" s="1451"/>
      <c r="AN122" s="1451"/>
      <c r="AO122" s="1451"/>
      <c r="AP122" s="1451"/>
      <c r="AQ122" s="1465"/>
      <c r="AR122" s="1465"/>
      <c r="AS122" s="1451"/>
      <c r="AT122" s="1451"/>
      <c r="AU122" s="1451"/>
      <c r="AV122" s="1451"/>
      <c r="AW122" s="1451"/>
      <c r="AX122" s="1451"/>
      <c r="AY122" s="1464"/>
      <c r="AZ122" s="1464"/>
      <c r="BA122" s="1464"/>
      <c r="BB122" s="1464"/>
      <c r="BC122" s="1464"/>
      <c r="BD122" s="1464"/>
      <c r="BE122" s="1464"/>
      <c r="BF122" s="1464"/>
      <c r="BG122" s="1465"/>
      <c r="BH122" s="1465"/>
      <c r="BI122" s="1465"/>
      <c r="BJ122" s="1465"/>
      <c r="BK122" s="1464"/>
      <c r="BL122" s="1464"/>
      <c r="BM122" s="1464"/>
      <c r="BN122" s="1464"/>
      <c r="BO122" s="1466"/>
      <c r="BP122" s="1466"/>
      <c r="BQ122" s="1466"/>
      <c r="BR122" s="1466"/>
      <c r="BS122" s="1466"/>
      <c r="BT122" s="1466"/>
      <c r="BU122" s="1464"/>
      <c r="BV122" s="1464"/>
      <c r="BW122" s="1464"/>
      <c r="BX122" s="1464"/>
      <c r="BY122" s="1464"/>
      <c r="BZ122" s="1464"/>
      <c r="CA122" s="668"/>
      <c r="CB122" s="657"/>
      <c r="CC122" s="657"/>
      <c r="CD122" s="657"/>
      <c r="CE122" s="657"/>
      <c r="CF122" s="657"/>
      <c r="CG122" s="657"/>
      <c r="CH122" s="657"/>
      <c r="CI122" s="657"/>
    </row>
    <row r="123" spans="1:87" ht="9.9499999999999993" customHeight="1">
      <c r="A123" s="1415"/>
      <c r="B123" s="1415"/>
      <c r="C123" s="1415"/>
      <c r="D123" s="1390"/>
      <c r="E123" s="1390"/>
      <c r="F123" s="1390"/>
      <c r="G123" s="1398"/>
      <c r="H123" s="1399"/>
      <c r="I123" s="1399"/>
      <c r="J123" s="1399"/>
      <c r="K123" s="1399"/>
      <c r="L123" s="1399"/>
      <c r="M123" s="1399"/>
      <c r="N123" s="1399"/>
      <c r="O123" s="1399"/>
      <c r="P123" s="1399"/>
      <c r="Q123" s="1399"/>
      <c r="R123" s="1399"/>
      <c r="S123" s="1399"/>
      <c r="T123" s="1399"/>
      <c r="U123" s="1399"/>
      <c r="V123" s="1400"/>
      <c r="W123" s="669"/>
      <c r="X123" s="669"/>
      <c r="Y123" s="669"/>
      <c r="Z123" s="669"/>
      <c r="AA123" s="1464"/>
      <c r="AB123" s="1464"/>
      <c r="AC123" s="1451"/>
      <c r="AD123" s="1451"/>
      <c r="AE123" s="1451"/>
      <c r="AF123" s="1451"/>
      <c r="AG123" s="1451"/>
      <c r="AH123" s="1451"/>
      <c r="AI123" s="1451"/>
      <c r="AJ123" s="1451"/>
      <c r="AK123" s="1451"/>
      <c r="AL123" s="1451"/>
      <c r="AM123" s="1451"/>
      <c r="AN123" s="1451"/>
      <c r="AO123" s="1451"/>
      <c r="AP123" s="1451"/>
      <c r="AQ123" s="1465"/>
      <c r="AR123" s="1465"/>
      <c r="AS123" s="1451"/>
      <c r="AT123" s="1451"/>
      <c r="AU123" s="1451"/>
      <c r="AV123" s="1451"/>
      <c r="AW123" s="1451"/>
      <c r="AX123" s="1451"/>
      <c r="AY123" s="1464"/>
      <c r="AZ123" s="1464"/>
      <c r="BA123" s="1464"/>
      <c r="BB123" s="1464"/>
      <c r="BC123" s="1464"/>
      <c r="BD123" s="1464"/>
      <c r="BE123" s="1464"/>
      <c r="BF123" s="1464"/>
      <c r="BG123" s="1465"/>
      <c r="BH123" s="1465"/>
      <c r="BI123" s="1465"/>
      <c r="BJ123" s="1465"/>
      <c r="BK123" s="1464"/>
      <c r="BL123" s="1464"/>
      <c r="BM123" s="1464"/>
      <c r="BN123" s="1464"/>
      <c r="BO123" s="1466"/>
      <c r="BP123" s="1466"/>
      <c r="BQ123" s="1466"/>
      <c r="BR123" s="1466"/>
      <c r="BS123" s="1466"/>
      <c r="BT123" s="1466"/>
      <c r="BU123" s="1464"/>
      <c r="BV123" s="1464"/>
      <c r="BW123" s="1464"/>
      <c r="BX123" s="1464"/>
      <c r="BY123" s="1464"/>
      <c r="BZ123" s="1464"/>
      <c r="CA123" s="672"/>
      <c r="CB123" s="657"/>
      <c r="CC123" s="657"/>
      <c r="CD123" s="657"/>
      <c r="CE123" s="657"/>
      <c r="CF123" s="657"/>
      <c r="CG123" s="657"/>
      <c r="CH123" s="657"/>
      <c r="CI123" s="657"/>
    </row>
    <row r="124" spans="1:87" ht="9.9499999999999993" customHeight="1">
      <c r="A124" s="1469"/>
      <c r="B124" s="1469"/>
      <c r="C124" s="1469"/>
      <c r="D124" s="1390"/>
      <c r="E124" s="1390"/>
      <c r="F124" s="1390"/>
      <c r="G124" s="1398"/>
      <c r="H124" s="1399"/>
      <c r="I124" s="1399"/>
      <c r="J124" s="1399"/>
      <c r="K124" s="1399"/>
      <c r="L124" s="1399"/>
      <c r="M124" s="1399"/>
      <c r="N124" s="1399"/>
      <c r="O124" s="1399"/>
      <c r="P124" s="1399"/>
      <c r="Q124" s="1399"/>
      <c r="R124" s="1399"/>
      <c r="S124" s="1399"/>
      <c r="T124" s="1399"/>
      <c r="U124" s="1399"/>
      <c r="V124" s="1400"/>
      <c r="W124" s="669"/>
      <c r="X124" s="669"/>
      <c r="Y124" s="669"/>
      <c r="Z124" s="669"/>
      <c r="AA124" s="1464"/>
      <c r="AB124" s="1464"/>
      <c r="AC124" s="1451"/>
      <c r="AD124" s="1451"/>
      <c r="AE124" s="1451"/>
      <c r="AF124" s="1451"/>
      <c r="AG124" s="1451"/>
      <c r="AH124" s="1451"/>
      <c r="AI124" s="1451"/>
      <c r="AJ124" s="1451"/>
      <c r="AK124" s="1451"/>
      <c r="AL124" s="1451"/>
      <c r="AM124" s="1451"/>
      <c r="AN124" s="1451"/>
      <c r="AO124" s="1451"/>
      <c r="AP124" s="1451"/>
      <c r="AQ124" s="1465"/>
      <c r="AR124" s="1465"/>
      <c r="AS124" s="1451"/>
      <c r="AT124" s="1451"/>
      <c r="AU124" s="1451"/>
      <c r="AV124" s="1451"/>
      <c r="AW124" s="1451"/>
      <c r="AX124" s="1451"/>
      <c r="AY124" s="1464"/>
      <c r="AZ124" s="1464"/>
      <c r="BA124" s="1464"/>
      <c r="BB124" s="1464"/>
      <c r="BC124" s="1464"/>
      <c r="BD124" s="1464"/>
      <c r="BE124" s="1464"/>
      <c r="BF124" s="1464"/>
      <c r="BG124" s="1465"/>
      <c r="BH124" s="1465"/>
      <c r="BI124" s="1465"/>
      <c r="BJ124" s="1465"/>
      <c r="BK124" s="1464"/>
      <c r="BL124" s="1464"/>
      <c r="BM124" s="1464"/>
      <c r="BN124" s="1464"/>
      <c r="BO124" s="1466"/>
      <c r="BP124" s="1466"/>
      <c r="BQ124" s="1466"/>
      <c r="BR124" s="1466"/>
      <c r="BS124" s="1466"/>
      <c r="BT124" s="1466"/>
      <c r="BU124" s="1464"/>
      <c r="BV124" s="1464"/>
      <c r="BW124" s="1464"/>
      <c r="BX124" s="1464"/>
      <c r="BY124" s="1464"/>
      <c r="BZ124" s="1464"/>
      <c r="CA124" s="672"/>
      <c r="CB124" s="657"/>
      <c r="CC124" s="657"/>
      <c r="CD124" s="657"/>
      <c r="CE124" s="657"/>
      <c r="CF124" s="657"/>
      <c r="CG124" s="657"/>
      <c r="CH124" s="657"/>
      <c r="CI124" s="657"/>
    </row>
    <row r="125" spans="1:87" ht="9.9499999999999993" customHeight="1">
      <c r="A125" s="1473" t="s">
        <v>38</v>
      </c>
      <c r="B125" s="1473"/>
      <c r="C125" s="1473"/>
      <c r="D125" s="1390"/>
      <c r="E125" s="1390"/>
      <c r="F125" s="1390"/>
      <c r="G125" s="1398"/>
      <c r="H125" s="1399"/>
      <c r="I125" s="1399"/>
      <c r="J125" s="1399"/>
      <c r="K125" s="1399"/>
      <c r="L125" s="1399"/>
      <c r="M125" s="1399"/>
      <c r="N125" s="1399"/>
      <c r="O125" s="1399"/>
      <c r="P125" s="1399"/>
      <c r="Q125" s="1399"/>
      <c r="R125" s="1399"/>
      <c r="S125" s="1399"/>
      <c r="T125" s="1399"/>
      <c r="U125" s="1399"/>
      <c r="V125" s="1400"/>
      <c r="W125" s="669"/>
      <c r="X125" s="669"/>
      <c r="Y125" s="669"/>
      <c r="Z125" s="669"/>
      <c r="AA125" s="1464"/>
      <c r="AB125" s="1464"/>
      <c r="AC125" s="1451"/>
      <c r="AD125" s="1451"/>
      <c r="AE125" s="1451"/>
      <c r="AF125" s="1451"/>
      <c r="AG125" s="1451"/>
      <c r="AH125" s="1451"/>
      <c r="AI125" s="1451"/>
      <c r="AJ125" s="1451"/>
      <c r="AK125" s="1451"/>
      <c r="AL125" s="1451"/>
      <c r="AM125" s="1451"/>
      <c r="AN125" s="1451"/>
      <c r="AO125" s="1451"/>
      <c r="AP125" s="1451"/>
      <c r="AQ125" s="1465"/>
      <c r="AR125" s="1465"/>
      <c r="AS125" s="1451"/>
      <c r="AT125" s="1451"/>
      <c r="AU125" s="1451"/>
      <c r="AV125" s="1451"/>
      <c r="AW125" s="1451"/>
      <c r="AX125" s="1451"/>
      <c r="AY125" s="1464"/>
      <c r="AZ125" s="1464"/>
      <c r="BA125" s="1464"/>
      <c r="BB125" s="1464"/>
      <c r="BC125" s="1464"/>
      <c r="BD125" s="1464"/>
      <c r="BE125" s="1464"/>
      <c r="BF125" s="1464"/>
      <c r="BG125" s="1465"/>
      <c r="BH125" s="1465"/>
      <c r="BI125" s="1465"/>
      <c r="BJ125" s="1465"/>
      <c r="BK125" s="1464"/>
      <c r="BL125" s="1464"/>
      <c r="BM125" s="1464"/>
      <c r="BN125" s="1464"/>
      <c r="BO125" s="1466"/>
      <c r="BP125" s="1466"/>
      <c r="BQ125" s="1466"/>
      <c r="BR125" s="1466"/>
      <c r="BS125" s="1466"/>
      <c r="BT125" s="1466"/>
      <c r="BU125" s="1464"/>
      <c r="BV125" s="1464"/>
      <c r="BW125" s="1464"/>
      <c r="BX125" s="1464"/>
      <c r="BY125" s="1464"/>
      <c r="BZ125" s="1464"/>
      <c r="CA125" s="668"/>
      <c r="CB125" s="657"/>
      <c r="CC125" s="657"/>
      <c r="CD125" s="657"/>
      <c r="CE125" s="657"/>
      <c r="CF125" s="657"/>
      <c r="CG125" s="657"/>
      <c r="CH125" s="657"/>
      <c r="CI125" s="657"/>
    </row>
    <row r="126" spans="1:87" ht="9.9499999999999993" customHeight="1">
      <c r="A126" s="1474" t="str">
        <f>AU106</f>
        <v/>
      </c>
      <c r="B126" s="1474"/>
      <c r="C126" s="1474"/>
      <c r="D126" s="1390"/>
      <c r="E126" s="1390"/>
      <c r="F126" s="1390"/>
      <c r="G126" s="1398"/>
      <c r="H126" s="1399"/>
      <c r="I126" s="1399"/>
      <c r="J126" s="1399"/>
      <c r="K126" s="1399"/>
      <c r="L126" s="1399"/>
      <c r="M126" s="1399"/>
      <c r="N126" s="1399"/>
      <c r="O126" s="1399"/>
      <c r="P126" s="1399"/>
      <c r="Q126" s="1399"/>
      <c r="R126" s="1399"/>
      <c r="S126" s="1399"/>
      <c r="T126" s="1399"/>
      <c r="U126" s="1399"/>
      <c r="V126" s="1400"/>
      <c r="W126" s="669"/>
      <c r="X126" s="669"/>
      <c r="Y126" s="669"/>
      <c r="Z126" s="669"/>
      <c r="AA126" s="1464"/>
      <c r="AB126" s="1464"/>
      <c r="AC126" s="1451"/>
      <c r="AD126" s="1451"/>
      <c r="AE126" s="1451"/>
      <c r="AF126" s="1451"/>
      <c r="AG126" s="1451"/>
      <c r="AH126" s="1451"/>
      <c r="AI126" s="1451"/>
      <c r="AJ126" s="1451"/>
      <c r="AK126" s="1451"/>
      <c r="AL126" s="1451"/>
      <c r="AM126" s="1451"/>
      <c r="AN126" s="1451"/>
      <c r="AO126" s="1451"/>
      <c r="AP126" s="1451"/>
      <c r="AQ126" s="1465"/>
      <c r="AR126" s="1465"/>
      <c r="AS126" s="1451"/>
      <c r="AT126" s="1451"/>
      <c r="AU126" s="1451"/>
      <c r="AV126" s="1451"/>
      <c r="AW126" s="1451"/>
      <c r="AX126" s="1451"/>
      <c r="AY126" s="1464"/>
      <c r="AZ126" s="1464"/>
      <c r="BA126" s="1464"/>
      <c r="BB126" s="1464"/>
      <c r="BC126" s="1464"/>
      <c r="BD126" s="1464"/>
      <c r="BE126" s="1464"/>
      <c r="BF126" s="1464"/>
      <c r="BG126" s="1465"/>
      <c r="BH126" s="1465"/>
      <c r="BI126" s="1465"/>
      <c r="BJ126" s="1465"/>
      <c r="BK126" s="1464"/>
      <c r="BL126" s="1464"/>
      <c r="BM126" s="1464"/>
      <c r="BN126" s="1464"/>
      <c r="BO126" s="1466"/>
      <c r="BP126" s="1466"/>
      <c r="BQ126" s="1466"/>
      <c r="BR126" s="1466"/>
      <c r="BS126" s="1466"/>
      <c r="BT126" s="1466"/>
      <c r="BU126" s="1464"/>
      <c r="BV126" s="1464"/>
      <c r="BW126" s="1464"/>
      <c r="BX126" s="1464"/>
      <c r="BY126" s="1464"/>
      <c r="BZ126" s="1464"/>
      <c r="CA126" s="668"/>
      <c r="CB126" s="657"/>
      <c r="CC126" s="657"/>
      <c r="CD126" s="657"/>
      <c r="CE126" s="657"/>
      <c r="CF126" s="657"/>
      <c r="CG126" s="657"/>
      <c r="CH126" s="657"/>
      <c r="CI126" s="657"/>
    </row>
    <row r="127" spans="1:87" ht="9.9499999999999993" customHeight="1">
      <c r="A127" s="1475"/>
      <c r="B127" s="1475"/>
      <c r="C127" s="1475"/>
      <c r="D127" s="1390"/>
      <c r="E127" s="1390"/>
      <c r="F127" s="1390"/>
      <c r="G127" s="1398"/>
      <c r="H127" s="1399"/>
      <c r="I127" s="1399"/>
      <c r="J127" s="1399"/>
      <c r="K127" s="1399"/>
      <c r="L127" s="1399"/>
      <c r="M127" s="1399"/>
      <c r="N127" s="1399"/>
      <c r="O127" s="1399"/>
      <c r="P127" s="1399"/>
      <c r="Q127" s="1399"/>
      <c r="R127" s="1399"/>
      <c r="S127" s="1399"/>
      <c r="T127" s="1399"/>
      <c r="U127" s="1399"/>
      <c r="V127" s="1400"/>
      <c r="W127" s="669"/>
      <c r="X127" s="669"/>
      <c r="Y127" s="669"/>
      <c r="Z127" s="669"/>
      <c r="AA127" s="1464"/>
      <c r="AB127" s="1464"/>
      <c r="AC127" s="1451"/>
      <c r="AD127" s="1451"/>
      <c r="AE127" s="1451"/>
      <c r="AF127" s="1451"/>
      <c r="AG127" s="1451"/>
      <c r="AH127" s="1451"/>
      <c r="AI127" s="1451"/>
      <c r="AJ127" s="1451"/>
      <c r="AK127" s="1451"/>
      <c r="AL127" s="1451"/>
      <c r="AM127" s="1451"/>
      <c r="AN127" s="1451"/>
      <c r="AO127" s="1451"/>
      <c r="AP127" s="1451"/>
      <c r="AQ127" s="1465"/>
      <c r="AR127" s="1465"/>
      <c r="AS127" s="1451"/>
      <c r="AT127" s="1451"/>
      <c r="AU127" s="1451"/>
      <c r="AV127" s="1451"/>
      <c r="AW127" s="1451"/>
      <c r="AX127" s="1451"/>
      <c r="AY127" s="1464"/>
      <c r="AZ127" s="1464"/>
      <c r="BA127" s="1464"/>
      <c r="BB127" s="1464"/>
      <c r="BC127" s="1464"/>
      <c r="BD127" s="1464"/>
      <c r="BE127" s="1464"/>
      <c r="BF127" s="1464"/>
      <c r="BG127" s="1465"/>
      <c r="BH127" s="1465"/>
      <c r="BI127" s="1465"/>
      <c r="BJ127" s="1465"/>
      <c r="BK127" s="1464"/>
      <c r="BL127" s="1464"/>
      <c r="BM127" s="1464"/>
      <c r="BN127" s="1464"/>
      <c r="BO127" s="1466"/>
      <c r="BP127" s="1466"/>
      <c r="BQ127" s="1466"/>
      <c r="BR127" s="1466"/>
      <c r="BS127" s="1466"/>
      <c r="BT127" s="1466"/>
      <c r="BU127" s="1464"/>
      <c r="BV127" s="1464"/>
      <c r="BW127" s="1464"/>
      <c r="BX127" s="1464"/>
      <c r="BY127" s="1464"/>
      <c r="BZ127" s="1464"/>
      <c r="CA127" s="668"/>
      <c r="CB127" s="657"/>
      <c r="CC127" s="657"/>
      <c r="CD127" s="657"/>
      <c r="CE127" s="657"/>
      <c r="CF127" s="657"/>
      <c r="CG127" s="657"/>
      <c r="CH127" s="657"/>
      <c r="CI127" s="657"/>
    </row>
    <row r="128" spans="1:87" ht="9.9499999999999993" customHeight="1">
      <c r="A128" s="1486" t="s">
        <v>37</v>
      </c>
      <c r="B128" s="1487"/>
      <c r="C128" s="1488"/>
      <c r="D128" s="1390"/>
      <c r="E128" s="1390"/>
      <c r="F128" s="1390"/>
      <c r="G128" s="1401"/>
      <c r="H128" s="1402"/>
      <c r="I128" s="1402"/>
      <c r="J128" s="1402"/>
      <c r="K128" s="1402"/>
      <c r="L128" s="1402"/>
      <c r="M128" s="1402"/>
      <c r="N128" s="1402"/>
      <c r="O128" s="1402"/>
      <c r="P128" s="1402"/>
      <c r="Q128" s="1402"/>
      <c r="R128" s="1402"/>
      <c r="S128" s="1402"/>
      <c r="T128" s="1402"/>
      <c r="U128" s="1402"/>
      <c r="V128" s="1403"/>
      <c r="W128" s="673"/>
      <c r="X128" s="673"/>
      <c r="Y128" s="673"/>
      <c r="Z128" s="673"/>
      <c r="AA128" s="1464"/>
      <c r="AB128" s="1464"/>
      <c r="AC128" s="1451"/>
      <c r="AD128" s="1451"/>
      <c r="AE128" s="1451"/>
      <c r="AF128" s="1451"/>
      <c r="AG128" s="1451"/>
      <c r="AH128" s="1451"/>
      <c r="AI128" s="1451"/>
      <c r="AJ128" s="1451"/>
      <c r="AK128" s="1451"/>
      <c r="AL128" s="1451"/>
      <c r="AM128" s="1451"/>
      <c r="AN128" s="1451"/>
      <c r="AO128" s="1451"/>
      <c r="AP128" s="1451"/>
      <c r="AQ128" s="1465"/>
      <c r="AR128" s="1465"/>
      <c r="AS128" s="1451"/>
      <c r="AT128" s="1451"/>
      <c r="AU128" s="1451"/>
      <c r="AV128" s="1451"/>
      <c r="AW128" s="1451"/>
      <c r="AX128" s="1451"/>
      <c r="AY128" s="1464"/>
      <c r="AZ128" s="1464"/>
      <c r="BA128" s="1464"/>
      <c r="BB128" s="1464"/>
      <c r="BC128" s="1464"/>
      <c r="BD128" s="1464"/>
      <c r="BE128" s="1464"/>
      <c r="BF128" s="1464"/>
      <c r="BG128" s="1465"/>
      <c r="BH128" s="1465"/>
      <c r="BI128" s="1465"/>
      <c r="BJ128" s="1465"/>
      <c r="BK128" s="1464"/>
      <c r="BL128" s="1464"/>
      <c r="BM128" s="1464"/>
      <c r="BN128" s="1464"/>
      <c r="BO128" s="1466"/>
      <c r="BP128" s="1466"/>
      <c r="BQ128" s="1466"/>
      <c r="BR128" s="1466"/>
      <c r="BS128" s="1466"/>
      <c r="BT128" s="1466"/>
      <c r="BU128" s="1464"/>
      <c r="BV128" s="1464"/>
      <c r="BW128" s="1464"/>
      <c r="BX128" s="1464"/>
      <c r="BY128" s="1464"/>
      <c r="BZ128" s="1464"/>
      <c r="CA128" s="679"/>
      <c r="CB128" s="657"/>
      <c r="CC128" s="657"/>
      <c r="CD128" s="657"/>
      <c r="CE128" s="657"/>
      <c r="CF128" s="657"/>
      <c r="CG128" s="657"/>
      <c r="CH128" s="657"/>
      <c r="CI128" s="657"/>
    </row>
    <row r="129" spans="1:87" ht="9.9499999999999993" customHeight="1">
      <c r="A129" s="1386" t="str">
        <f>BA106</f>
        <v/>
      </c>
      <c r="B129" s="1387"/>
      <c r="C129" s="1388"/>
      <c r="D129" s="1389" t="s">
        <v>78</v>
      </c>
      <c r="E129" s="1389"/>
      <c r="F129" s="1389"/>
      <c r="G129" s="691"/>
      <c r="H129" s="692"/>
      <c r="I129" s="692"/>
      <c r="J129" s="688"/>
      <c r="K129" s="1466" t="s">
        <v>3029</v>
      </c>
      <c r="L129" s="1466"/>
      <c r="M129" s="1466"/>
      <c r="N129" s="1466"/>
      <c r="O129" s="1464" t="s">
        <v>3030</v>
      </c>
      <c r="P129" s="1464"/>
      <c r="Q129" s="1464"/>
      <c r="R129" s="1464" t="s">
        <v>3015</v>
      </c>
      <c r="S129" s="1464"/>
      <c r="T129" s="1464"/>
      <c r="U129" s="1464" t="s">
        <v>3031</v>
      </c>
      <c r="V129" s="1464"/>
      <c r="W129" s="1464" t="s">
        <v>384</v>
      </c>
      <c r="X129" s="1464"/>
      <c r="Y129" s="1422" t="s">
        <v>3118</v>
      </c>
      <c r="Z129" s="1443"/>
      <c r="AA129" s="1443"/>
      <c r="AB129" s="1443"/>
      <c r="AC129" s="1443"/>
      <c r="AD129" s="1443"/>
      <c r="AE129" s="1443"/>
      <c r="AF129" s="1443"/>
      <c r="AG129" s="1443"/>
      <c r="AH129" s="1443"/>
      <c r="AI129" s="1443"/>
      <c r="AJ129" s="1444"/>
      <c r="AK129" s="685"/>
      <c r="AL129" s="686"/>
      <c r="AM129" s="685"/>
      <c r="AN129" s="685"/>
      <c r="AO129" s="685"/>
      <c r="AP129" s="686"/>
      <c r="AQ129" s="685"/>
      <c r="AR129" s="685"/>
      <c r="AS129" s="685"/>
      <c r="AT129" s="686"/>
      <c r="AU129" s="685"/>
      <c r="AV129" s="685"/>
      <c r="AW129" s="685"/>
      <c r="AX129" s="686"/>
      <c r="AY129" s="685"/>
      <c r="AZ129" s="685"/>
      <c r="BA129" s="685"/>
      <c r="BB129" s="686"/>
      <c r="BC129" s="685"/>
      <c r="BD129" s="685"/>
      <c r="BE129" s="685"/>
      <c r="BF129" s="686"/>
      <c r="BG129" s="685"/>
      <c r="BH129" s="685"/>
      <c r="BI129" s="685"/>
      <c r="BJ129" s="686"/>
      <c r="BK129" s="685"/>
      <c r="BL129" s="685"/>
      <c r="BM129" s="685"/>
      <c r="BN129" s="686"/>
      <c r="BO129" s="685"/>
      <c r="BP129" s="685"/>
      <c r="BQ129" s="685"/>
      <c r="BR129" s="686"/>
      <c r="BS129" s="685"/>
      <c r="BT129" s="685"/>
      <c r="BU129" s="685"/>
      <c r="BV129" s="686"/>
      <c r="BW129" s="685"/>
      <c r="BX129" s="685"/>
      <c r="BY129" s="685"/>
      <c r="BZ129" s="737"/>
      <c r="CA129" s="668"/>
      <c r="CB129" s="657"/>
      <c r="CC129" s="657"/>
      <c r="CD129" s="657"/>
      <c r="CE129" s="657"/>
      <c r="CF129" s="657"/>
      <c r="CG129" s="657"/>
      <c r="CH129" s="657"/>
      <c r="CI129" s="657"/>
    </row>
    <row r="130" spans="1:87" ht="9.9499999999999993" customHeight="1">
      <c r="A130" s="1386"/>
      <c r="B130" s="1387"/>
      <c r="C130" s="1388"/>
      <c r="D130" s="1390"/>
      <c r="E130" s="1390"/>
      <c r="F130" s="1390"/>
      <c r="G130" s="691"/>
      <c r="H130" s="692"/>
      <c r="I130" s="692"/>
      <c r="J130" s="688"/>
      <c r="K130" s="1466"/>
      <c r="L130" s="1466"/>
      <c r="M130" s="1466"/>
      <c r="N130" s="1466"/>
      <c r="O130" s="1464"/>
      <c r="P130" s="1464"/>
      <c r="Q130" s="1464"/>
      <c r="R130" s="1464"/>
      <c r="S130" s="1464"/>
      <c r="T130" s="1464"/>
      <c r="U130" s="1464"/>
      <c r="V130" s="1464"/>
      <c r="W130" s="1464"/>
      <c r="X130" s="1464"/>
      <c r="Y130" s="1445"/>
      <c r="Z130" s="1446"/>
      <c r="AA130" s="1446"/>
      <c r="AB130" s="1446"/>
      <c r="AC130" s="1446"/>
      <c r="AD130" s="1446"/>
      <c r="AE130" s="1446"/>
      <c r="AF130" s="1446"/>
      <c r="AG130" s="1446"/>
      <c r="AH130" s="1446"/>
      <c r="AI130" s="1446"/>
      <c r="AJ130" s="1447"/>
      <c r="AK130" s="685"/>
      <c r="AL130" s="686"/>
      <c r="AM130" s="685"/>
      <c r="AN130" s="685"/>
      <c r="AO130" s="685"/>
      <c r="AP130" s="686"/>
      <c r="AQ130" s="685"/>
      <c r="AR130" s="685"/>
      <c r="AS130" s="685"/>
      <c r="AT130" s="686"/>
      <c r="AU130" s="685"/>
      <c r="AV130" s="685"/>
      <c r="AW130" s="685"/>
      <c r="AX130" s="686"/>
      <c r="AY130" s="685"/>
      <c r="AZ130" s="685"/>
      <c r="BA130" s="685"/>
      <c r="BB130" s="686"/>
      <c r="BC130" s="685"/>
      <c r="BD130" s="685"/>
      <c r="BE130" s="685"/>
      <c r="BF130" s="686"/>
      <c r="BG130" s="685"/>
      <c r="BH130" s="685"/>
      <c r="BI130" s="685"/>
      <c r="BJ130" s="686"/>
      <c r="BK130" s="685"/>
      <c r="BL130" s="685"/>
      <c r="BM130" s="685"/>
      <c r="BN130" s="686"/>
      <c r="BO130" s="685"/>
      <c r="BP130" s="685"/>
      <c r="BQ130" s="685"/>
      <c r="BR130" s="686"/>
      <c r="BS130" s="685"/>
      <c r="BT130" s="685"/>
      <c r="BU130" s="685"/>
      <c r="BV130" s="686"/>
      <c r="BW130" s="736"/>
      <c r="BX130" s="736"/>
      <c r="BY130" s="736"/>
      <c r="BZ130" s="737"/>
      <c r="CA130" s="668"/>
      <c r="CB130" s="657"/>
      <c r="CC130" s="657"/>
      <c r="CD130" s="657"/>
      <c r="CE130" s="657"/>
      <c r="CF130" s="657"/>
      <c r="CG130" s="657"/>
      <c r="CH130" s="657"/>
      <c r="CI130" s="657"/>
    </row>
    <row r="131" spans="1:87" ht="9.9499999999999993" customHeight="1">
      <c r="A131" s="1386"/>
      <c r="B131" s="1387"/>
      <c r="C131" s="1388"/>
      <c r="D131" s="1390"/>
      <c r="E131" s="1390"/>
      <c r="F131" s="1390"/>
      <c r="G131" s="691"/>
      <c r="H131" s="692"/>
      <c r="I131" s="692"/>
      <c r="J131" s="688"/>
      <c r="K131" s="1466"/>
      <c r="L131" s="1466"/>
      <c r="M131" s="1466"/>
      <c r="N131" s="1466"/>
      <c r="O131" s="1464"/>
      <c r="P131" s="1464"/>
      <c r="Q131" s="1464"/>
      <c r="R131" s="1464"/>
      <c r="S131" s="1464"/>
      <c r="T131" s="1464"/>
      <c r="U131" s="1464"/>
      <c r="V131" s="1464"/>
      <c r="W131" s="1464"/>
      <c r="X131" s="1464"/>
      <c r="Y131" s="1445"/>
      <c r="Z131" s="1446"/>
      <c r="AA131" s="1446"/>
      <c r="AB131" s="1446"/>
      <c r="AC131" s="1446"/>
      <c r="AD131" s="1446"/>
      <c r="AE131" s="1446"/>
      <c r="AF131" s="1446"/>
      <c r="AG131" s="1446"/>
      <c r="AH131" s="1446"/>
      <c r="AI131" s="1446"/>
      <c r="AJ131" s="1447"/>
      <c r="AK131" s="685"/>
      <c r="AL131" s="686"/>
      <c r="AM131" s="685"/>
      <c r="AN131" s="685"/>
      <c r="AO131" s="685"/>
      <c r="AP131" s="686"/>
      <c r="AQ131" s="685"/>
      <c r="AR131" s="685"/>
      <c r="AS131" s="685"/>
      <c r="AT131" s="686"/>
      <c r="AU131" s="685"/>
      <c r="AV131" s="685"/>
      <c r="AW131" s="685"/>
      <c r="AX131" s="686"/>
      <c r="AY131" s="685"/>
      <c r="AZ131" s="685"/>
      <c r="BA131" s="685"/>
      <c r="BB131" s="686"/>
      <c r="BC131" s="685"/>
      <c r="BD131" s="685"/>
      <c r="BE131" s="663"/>
      <c r="BF131" s="687"/>
      <c r="BG131" s="688"/>
      <c r="BH131" s="688"/>
      <c r="BI131" s="688"/>
      <c r="BJ131" s="687"/>
      <c r="BK131" s="688"/>
      <c r="BL131" s="688"/>
      <c r="BM131" s="688"/>
      <c r="BN131" s="687"/>
      <c r="BO131" s="688"/>
      <c r="BP131" s="688"/>
      <c r="BQ131" s="688"/>
      <c r="BR131" s="687"/>
      <c r="BS131" s="688"/>
      <c r="BT131" s="688"/>
      <c r="BU131" s="688"/>
      <c r="BV131" s="687"/>
      <c r="BW131" s="736"/>
      <c r="BX131" s="736"/>
      <c r="BY131" s="736"/>
      <c r="BZ131" s="737"/>
      <c r="CA131" s="672"/>
      <c r="CB131" s="657"/>
      <c r="CC131" s="657"/>
      <c r="CD131" s="657"/>
      <c r="CE131" s="657"/>
      <c r="CF131" s="657"/>
      <c r="CG131" s="657"/>
      <c r="CH131" s="657"/>
      <c r="CI131" s="657"/>
    </row>
    <row r="132" spans="1:87" ht="9.9499999999999993" customHeight="1">
      <c r="A132" s="1468" t="s">
        <v>15</v>
      </c>
      <c r="B132" s="1468"/>
      <c r="C132" s="1468"/>
      <c r="D132" s="1390"/>
      <c r="E132" s="1390"/>
      <c r="F132" s="1390"/>
      <c r="G132" s="691"/>
      <c r="H132" s="692"/>
      <c r="I132" s="692"/>
      <c r="J132" s="688"/>
      <c r="K132" s="1466"/>
      <c r="L132" s="1466"/>
      <c r="M132" s="1466"/>
      <c r="N132" s="1466"/>
      <c r="O132" s="1464"/>
      <c r="P132" s="1464"/>
      <c r="Q132" s="1464"/>
      <c r="R132" s="1464"/>
      <c r="S132" s="1464"/>
      <c r="T132" s="1464"/>
      <c r="U132" s="1464"/>
      <c r="V132" s="1464"/>
      <c r="W132" s="1464"/>
      <c r="X132" s="1464"/>
      <c r="Y132" s="1445"/>
      <c r="Z132" s="1446"/>
      <c r="AA132" s="1446"/>
      <c r="AB132" s="1446"/>
      <c r="AC132" s="1446"/>
      <c r="AD132" s="1446"/>
      <c r="AE132" s="1446"/>
      <c r="AF132" s="1446"/>
      <c r="AG132" s="1446"/>
      <c r="AH132" s="1446"/>
      <c r="AI132" s="1446"/>
      <c r="AJ132" s="1447"/>
      <c r="AK132" s="688"/>
      <c r="AL132" s="687"/>
      <c r="AM132" s="688"/>
      <c r="AN132" s="688"/>
      <c r="AO132" s="688"/>
      <c r="AP132" s="687"/>
      <c r="AQ132" s="688"/>
      <c r="AR132" s="688"/>
      <c r="AS132" s="688"/>
      <c r="AT132" s="687"/>
      <c r="AU132" s="688"/>
      <c r="AV132" s="688"/>
      <c r="AW132" s="688"/>
      <c r="AX132" s="687"/>
      <c r="AY132" s="688"/>
      <c r="AZ132" s="688"/>
      <c r="BA132" s="688"/>
      <c r="BB132" s="687"/>
      <c r="BC132" s="688"/>
      <c r="BD132" s="688"/>
      <c r="BE132" s="688"/>
      <c r="BF132" s="687"/>
      <c r="BG132" s="688"/>
      <c r="BH132" s="688"/>
      <c r="BI132" s="688"/>
      <c r="BJ132" s="687"/>
      <c r="BK132" s="688"/>
      <c r="BL132" s="688"/>
      <c r="BM132" s="688"/>
      <c r="BN132" s="687"/>
      <c r="BO132" s="688"/>
      <c r="BP132" s="688"/>
      <c r="BQ132" s="688"/>
      <c r="BR132" s="687"/>
      <c r="BS132" s="688"/>
      <c r="BT132" s="688"/>
      <c r="BU132" s="688"/>
      <c r="BV132" s="687"/>
      <c r="BW132" s="736"/>
      <c r="BX132" s="736"/>
      <c r="BY132" s="736"/>
      <c r="BZ132" s="737"/>
      <c r="CA132" s="672"/>
      <c r="CB132" s="657"/>
      <c r="CC132" s="657"/>
      <c r="CD132" s="657"/>
      <c r="CE132" s="657"/>
      <c r="CF132" s="657"/>
      <c r="CG132" s="657"/>
      <c r="CH132" s="657"/>
      <c r="CI132" s="657"/>
    </row>
    <row r="133" spans="1:87" ht="9.9499999999999993" customHeight="1">
      <c r="A133" s="1415"/>
      <c r="B133" s="1415"/>
      <c r="C133" s="1415"/>
      <c r="D133" s="1390"/>
      <c r="E133" s="1390"/>
      <c r="F133" s="1390"/>
      <c r="G133" s="691"/>
      <c r="H133" s="692"/>
      <c r="I133" s="692"/>
      <c r="J133" s="688"/>
      <c r="K133" s="1466"/>
      <c r="L133" s="1466"/>
      <c r="M133" s="1466"/>
      <c r="N133" s="1466"/>
      <c r="O133" s="1464"/>
      <c r="P133" s="1464"/>
      <c r="Q133" s="1464"/>
      <c r="R133" s="1464"/>
      <c r="S133" s="1464"/>
      <c r="T133" s="1464"/>
      <c r="U133" s="1464"/>
      <c r="V133" s="1464"/>
      <c r="W133" s="1464"/>
      <c r="X133" s="1464"/>
      <c r="Y133" s="1445"/>
      <c r="Z133" s="1446"/>
      <c r="AA133" s="1446"/>
      <c r="AB133" s="1446"/>
      <c r="AC133" s="1446"/>
      <c r="AD133" s="1446"/>
      <c r="AE133" s="1446"/>
      <c r="AF133" s="1446"/>
      <c r="AG133" s="1446"/>
      <c r="AH133" s="1446"/>
      <c r="AI133" s="1446"/>
      <c r="AJ133" s="1447"/>
      <c r="AK133" s="685"/>
      <c r="AL133" s="686"/>
      <c r="AM133" s="685"/>
      <c r="AN133" s="685"/>
      <c r="AO133" s="685"/>
      <c r="AP133" s="686"/>
      <c r="AQ133" s="685"/>
      <c r="AR133" s="685"/>
      <c r="AS133" s="685"/>
      <c r="AT133" s="686"/>
      <c r="AU133" s="685"/>
      <c r="AV133" s="685"/>
      <c r="AW133" s="685"/>
      <c r="AX133" s="686"/>
      <c r="AY133" s="685"/>
      <c r="AZ133" s="685"/>
      <c r="BA133" s="685"/>
      <c r="BB133" s="686"/>
      <c r="BC133" s="685"/>
      <c r="BD133" s="685"/>
      <c r="BE133" s="685"/>
      <c r="BF133" s="686"/>
      <c r="BG133" s="685"/>
      <c r="BH133" s="685"/>
      <c r="BI133" s="685"/>
      <c r="BJ133" s="686"/>
      <c r="BK133" s="685"/>
      <c r="BL133" s="685"/>
      <c r="BM133" s="685"/>
      <c r="BN133" s="686"/>
      <c r="BO133" s="685"/>
      <c r="BP133" s="685"/>
      <c r="BQ133" s="685"/>
      <c r="BR133" s="686"/>
      <c r="BS133" s="685"/>
      <c r="BT133" s="685"/>
      <c r="BU133" s="685"/>
      <c r="BV133" s="686"/>
      <c r="BW133" s="736"/>
      <c r="BX133" s="736"/>
      <c r="BY133" s="736"/>
      <c r="BZ133" s="737"/>
      <c r="CA133" s="668"/>
      <c r="CB133" s="657"/>
      <c r="CC133" s="657"/>
      <c r="CD133" s="657"/>
      <c r="CE133" s="657"/>
      <c r="CF133" s="657"/>
      <c r="CG133" s="657"/>
      <c r="CH133" s="657"/>
      <c r="CI133" s="657"/>
    </row>
    <row r="134" spans="1:87" ht="9.9499999999999993" customHeight="1">
      <c r="A134" s="1469"/>
      <c r="B134" s="1469"/>
      <c r="C134" s="1469"/>
      <c r="D134" s="1390"/>
      <c r="E134" s="1390"/>
      <c r="F134" s="1390"/>
      <c r="G134" s="691"/>
      <c r="H134" s="692"/>
      <c r="I134" s="692"/>
      <c r="J134" s="688"/>
      <c r="K134" s="1466"/>
      <c r="L134" s="1466"/>
      <c r="M134" s="1466"/>
      <c r="N134" s="1466"/>
      <c r="O134" s="1464"/>
      <c r="P134" s="1464"/>
      <c r="Q134" s="1464"/>
      <c r="R134" s="1464"/>
      <c r="S134" s="1464"/>
      <c r="T134" s="1464"/>
      <c r="U134" s="1464"/>
      <c r="V134" s="1464"/>
      <c r="W134" s="1464"/>
      <c r="X134" s="1464"/>
      <c r="Y134" s="1445"/>
      <c r="Z134" s="1446"/>
      <c r="AA134" s="1446"/>
      <c r="AB134" s="1446"/>
      <c r="AC134" s="1446"/>
      <c r="AD134" s="1446"/>
      <c r="AE134" s="1446"/>
      <c r="AF134" s="1446"/>
      <c r="AG134" s="1446"/>
      <c r="AH134" s="1446"/>
      <c r="AI134" s="1446"/>
      <c r="AJ134" s="1447"/>
      <c r="AK134" s="685"/>
      <c r="AL134" s="686"/>
      <c r="AM134" s="685"/>
      <c r="AN134" s="685"/>
      <c r="AO134" s="685"/>
      <c r="AP134" s="686"/>
      <c r="AQ134" s="685"/>
      <c r="AR134" s="685"/>
      <c r="AS134" s="685"/>
      <c r="AT134" s="686"/>
      <c r="AU134" s="685"/>
      <c r="AV134" s="685"/>
      <c r="AW134" s="685"/>
      <c r="AX134" s="686"/>
      <c r="AY134" s="685"/>
      <c r="AZ134" s="685"/>
      <c r="BA134" s="685"/>
      <c r="BB134" s="686"/>
      <c r="BC134" s="685"/>
      <c r="BD134" s="685"/>
      <c r="BE134" s="685"/>
      <c r="BF134" s="686"/>
      <c r="BG134" s="685"/>
      <c r="BH134" s="685"/>
      <c r="BI134" s="685"/>
      <c r="BJ134" s="686"/>
      <c r="BK134" s="685"/>
      <c r="BL134" s="685"/>
      <c r="BM134" s="685"/>
      <c r="BN134" s="686"/>
      <c r="BO134" s="685"/>
      <c r="BP134" s="685"/>
      <c r="BQ134" s="685"/>
      <c r="BR134" s="686"/>
      <c r="BS134" s="685"/>
      <c r="BT134" s="685"/>
      <c r="BU134" s="685"/>
      <c r="BV134" s="686"/>
      <c r="BW134" s="736"/>
      <c r="BX134" s="736"/>
      <c r="BY134" s="736"/>
      <c r="BZ134" s="737"/>
      <c r="CA134" s="668"/>
      <c r="CB134" s="657"/>
      <c r="CC134" s="657"/>
      <c r="CD134" s="657"/>
      <c r="CE134" s="657"/>
      <c r="CF134" s="657"/>
      <c r="CG134" s="657"/>
      <c r="CH134" s="657"/>
      <c r="CI134" s="657"/>
    </row>
    <row r="135" spans="1:87" ht="9.9499999999999993" customHeight="1" thickBot="1">
      <c r="A135" s="1470" t="str">
        <f>BE106</f>
        <v/>
      </c>
      <c r="B135" s="1471"/>
      <c r="C135" s="1472"/>
      <c r="D135" s="1467"/>
      <c r="E135" s="1467"/>
      <c r="F135" s="1467"/>
      <c r="G135" s="691"/>
      <c r="H135" s="692"/>
      <c r="I135" s="692"/>
      <c r="J135" s="688"/>
      <c r="K135" s="1466"/>
      <c r="L135" s="1466"/>
      <c r="M135" s="1466"/>
      <c r="N135" s="1466"/>
      <c r="O135" s="1464"/>
      <c r="P135" s="1464"/>
      <c r="Q135" s="1464"/>
      <c r="R135" s="1464"/>
      <c r="S135" s="1464"/>
      <c r="T135" s="1464"/>
      <c r="U135" s="1464"/>
      <c r="V135" s="1464"/>
      <c r="W135" s="1464"/>
      <c r="X135" s="1464"/>
      <c r="Y135" s="1445"/>
      <c r="Z135" s="1446"/>
      <c r="AA135" s="1446"/>
      <c r="AB135" s="1446"/>
      <c r="AC135" s="1446"/>
      <c r="AD135" s="1446"/>
      <c r="AE135" s="1446"/>
      <c r="AF135" s="1446"/>
      <c r="AG135" s="1446"/>
      <c r="AH135" s="1446"/>
      <c r="AI135" s="1446"/>
      <c r="AJ135" s="1447"/>
      <c r="AK135" s="685"/>
      <c r="AL135" s="686"/>
      <c r="AM135" s="685"/>
      <c r="AN135" s="685"/>
      <c r="AO135" s="685"/>
      <c r="AP135" s="686"/>
      <c r="AQ135" s="685"/>
      <c r="AR135" s="685"/>
      <c r="AS135" s="685"/>
      <c r="AT135" s="686"/>
      <c r="AU135" s="685"/>
      <c r="AV135" s="685"/>
      <c r="AW135" s="685"/>
      <c r="AX135" s="686"/>
      <c r="AY135" s="685"/>
      <c r="AZ135" s="685"/>
      <c r="BA135" s="685"/>
      <c r="BB135" s="686"/>
      <c r="BC135" s="685"/>
      <c r="BD135" s="685"/>
      <c r="BE135" s="685"/>
      <c r="BF135" s="686"/>
      <c r="BG135" s="685"/>
      <c r="BH135" s="685"/>
      <c r="BI135" s="685"/>
      <c r="BJ135" s="686"/>
      <c r="BK135" s="685"/>
      <c r="BL135" s="685"/>
      <c r="BM135" s="685"/>
      <c r="BN135" s="686"/>
      <c r="BO135" s="685"/>
      <c r="BP135" s="685"/>
      <c r="BQ135" s="685"/>
      <c r="BR135" s="686"/>
      <c r="BS135" s="685"/>
      <c r="BT135" s="685"/>
      <c r="BU135" s="685"/>
      <c r="BV135" s="686"/>
      <c r="BW135" s="736"/>
      <c r="BX135" s="736"/>
      <c r="BY135" s="736"/>
      <c r="BZ135" s="737"/>
      <c r="CA135" s="668"/>
      <c r="CB135" s="657"/>
      <c r="CC135" s="657"/>
      <c r="CD135" s="657"/>
      <c r="CE135" s="657"/>
      <c r="CF135" s="657"/>
      <c r="CG135" s="657"/>
      <c r="CH135" s="657"/>
      <c r="CI135" s="657"/>
    </row>
    <row r="136" spans="1:87" ht="9.9499999999999993" customHeight="1">
      <c r="A136" s="1386"/>
      <c r="B136" s="1387"/>
      <c r="C136" s="1388"/>
      <c r="D136" s="1390"/>
      <c r="E136" s="1390"/>
      <c r="F136" s="1390"/>
      <c r="G136" s="695"/>
      <c r="H136" s="696"/>
      <c r="I136" s="696"/>
      <c r="J136" s="689"/>
      <c r="K136" s="1466"/>
      <c r="L136" s="1466"/>
      <c r="M136" s="1466"/>
      <c r="N136" s="1466"/>
      <c r="O136" s="1464"/>
      <c r="P136" s="1464"/>
      <c r="Q136" s="1464"/>
      <c r="R136" s="1464"/>
      <c r="S136" s="1464"/>
      <c r="T136" s="1464"/>
      <c r="U136" s="1464"/>
      <c r="V136" s="1464"/>
      <c r="W136" s="1464"/>
      <c r="X136" s="1464"/>
      <c r="Y136" s="1448"/>
      <c r="Z136" s="1449"/>
      <c r="AA136" s="1449"/>
      <c r="AB136" s="1449"/>
      <c r="AC136" s="1449"/>
      <c r="AD136" s="1449"/>
      <c r="AE136" s="1449"/>
      <c r="AF136" s="1449"/>
      <c r="AG136" s="1449"/>
      <c r="AH136" s="1449"/>
      <c r="AI136" s="1449"/>
      <c r="AJ136" s="1450"/>
      <c r="AK136" s="689"/>
      <c r="AL136" s="690"/>
      <c r="AM136" s="689"/>
      <c r="AN136" s="689"/>
      <c r="AO136" s="689"/>
      <c r="AP136" s="690"/>
      <c r="AQ136" s="689"/>
      <c r="AR136" s="689"/>
      <c r="AS136" s="689"/>
      <c r="AT136" s="690"/>
      <c r="AU136" s="689"/>
      <c r="AV136" s="689"/>
      <c r="AW136" s="689"/>
      <c r="AX136" s="690"/>
      <c r="AY136" s="689"/>
      <c r="AZ136" s="689"/>
      <c r="BA136" s="689"/>
      <c r="BB136" s="690"/>
      <c r="BC136" s="689"/>
      <c r="BD136" s="689"/>
      <c r="BE136" s="689"/>
      <c r="BF136" s="690"/>
      <c r="BG136" s="689"/>
      <c r="BH136" s="689"/>
      <c r="BI136" s="689"/>
      <c r="BJ136" s="690"/>
      <c r="BK136" s="689"/>
      <c r="BL136" s="689"/>
      <c r="BM136" s="689"/>
      <c r="BN136" s="690"/>
      <c r="BO136" s="689"/>
      <c r="BP136" s="689"/>
      <c r="BQ136" s="689"/>
      <c r="BR136" s="690"/>
      <c r="BS136" s="689"/>
      <c r="BT136" s="689"/>
      <c r="BU136" s="689"/>
      <c r="BV136" s="690"/>
      <c r="BW136" s="689"/>
      <c r="BX136" s="689"/>
      <c r="BY136" s="689"/>
      <c r="BZ136" s="697"/>
      <c r="CA136" s="679"/>
      <c r="CB136" s="657"/>
      <c r="CC136" s="657"/>
      <c r="CD136" s="657"/>
      <c r="CE136" s="657"/>
      <c r="CF136" s="657"/>
      <c r="CG136" s="657"/>
      <c r="CH136" s="657"/>
      <c r="CI136" s="657"/>
    </row>
    <row r="137" spans="1:87" ht="9.9499999999999993" customHeight="1">
      <c r="A137" s="1386"/>
      <c r="B137" s="1387"/>
      <c r="C137" s="1388"/>
      <c r="D137" s="1390" t="s">
        <v>77</v>
      </c>
      <c r="E137" s="1390"/>
      <c r="F137" s="1390"/>
      <c r="G137" s="698"/>
      <c r="H137" s="699"/>
      <c r="I137" s="699"/>
      <c r="J137" s="701"/>
      <c r="K137" s="1466"/>
      <c r="L137" s="1466"/>
      <c r="M137" s="1466"/>
      <c r="N137" s="1466"/>
      <c r="O137" s="1464"/>
      <c r="P137" s="1464"/>
      <c r="Q137" s="1464"/>
      <c r="R137" s="1464"/>
      <c r="S137" s="1464"/>
      <c r="T137" s="1464"/>
      <c r="U137" s="1464"/>
      <c r="V137" s="1464"/>
      <c r="W137" s="1464"/>
      <c r="X137" s="1464"/>
      <c r="Y137" s="682"/>
      <c r="Z137" s="683"/>
      <c r="AA137" s="662"/>
      <c r="AB137" s="662"/>
      <c r="AC137" s="662"/>
      <c r="AD137" s="683"/>
      <c r="AE137" s="662"/>
      <c r="AF137" s="662"/>
      <c r="AG137" s="735"/>
      <c r="AH137" s="702"/>
      <c r="AI137" s="735"/>
      <c r="AJ137" s="735"/>
      <c r="AK137" s="680"/>
      <c r="AL137" s="681"/>
      <c r="AM137" s="680"/>
      <c r="AN137" s="680"/>
      <c r="AO137" s="680"/>
      <c r="AP137" s="681"/>
      <c r="AQ137" s="680"/>
      <c r="AR137" s="680"/>
      <c r="AS137" s="680"/>
      <c r="AT137" s="681"/>
      <c r="AU137" s="680"/>
      <c r="AV137" s="680"/>
      <c r="AW137" s="680"/>
      <c r="AX137" s="681"/>
      <c r="AY137" s="680"/>
      <c r="AZ137" s="680"/>
      <c r="BA137" s="680"/>
      <c r="BB137" s="681"/>
      <c r="BC137" s="680"/>
      <c r="BD137" s="680"/>
      <c r="BE137" s="680"/>
      <c r="BF137" s="681"/>
      <c r="BG137" s="680"/>
      <c r="BH137" s="680"/>
      <c r="BI137" s="680"/>
      <c r="BJ137" s="681"/>
      <c r="BK137" s="680"/>
      <c r="BL137" s="680"/>
      <c r="BM137" s="680"/>
      <c r="BN137" s="681"/>
      <c r="BO137" s="680"/>
      <c r="BP137" s="680"/>
      <c r="BQ137" s="680"/>
      <c r="BR137" s="681"/>
      <c r="BS137" s="680"/>
      <c r="BT137" s="680"/>
      <c r="BU137" s="680"/>
      <c r="BV137" s="681"/>
      <c r="BW137" s="680"/>
      <c r="BX137" s="680"/>
      <c r="BY137" s="680"/>
      <c r="BZ137" s="684"/>
      <c r="CA137" s="668"/>
      <c r="CB137" s="657"/>
      <c r="CC137" s="657"/>
      <c r="CD137" s="657"/>
      <c r="CE137" s="657"/>
      <c r="CF137" s="657"/>
      <c r="CG137" s="657"/>
      <c r="CH137" s="657"/>
      <c r="CI137" s="657"/>
    </row>
    <row r="138" spans="1:87" ht="9.9499999999999993" customHeight="1">
      <c r="A138" s="1468" t="s">
        <v>14</v>
      </c>
      <c r="B138" s="1468"/>
      <c r="C138" s="1468"/>
      <c r="D138" s="1390"/>
      <c r="E138" s="1390"/>
      <c r="F138" s="1390"/>
      <c r="G138" s="691"/>
      <c r="H138" s="692"/>
      <c r="I138" s="692"/>
      <c r="J138" s="688"/>
      <c r="K138" s="1466"/>
      <c r="L138" s="1466"/>
      <c r="M138" s="1466"/>
      <c r="N138" s="1466"/>
      <c r="O138" s="1464"/>
      <c r="P138" s="1464"/>
      <c r="Q138" s="1464"/>
      <c r="R138" s="1464"/>
      <c r="S138" s="1464"/>
      <c r="T138" s="1464"/>
      <c r="U138" s="1464"/>
      <c r="V138" s="1464"/>
      <c r="W138" s="1464"/>
      <c r="X138" s="1464"/>
      <c r="Y138" s="663"/>
      <c r="Z138" s="671"/>
      <c r="AA138" s="663"/>
      <c r="AB138" s="663"/>
      <c r="AC138" s="663"/>
      <c r="AD138" s="671"/>
      <c r="AE138" s="663"/>
      <c r="AF138" s="663"/>
      <c r="AG138" s="736"/>
      <c r="AH138" s="670"/>
      <c r="AI138" s="736"/>
      <c r="AJ138" s="736"/>
      <c r="AK138" s="685"/>
      <c r="AL138" s="686"/>
      <c r="AM138" s="685"/>
      <c r="AN138" s="685"/>
      <c r="AO138" s="685"/>
      <c r="AP138" s="686"/>
      <c r="AQ138" s="685"/>
      <c r="AR138" s="685"/>
      <c r="AS138" s="685"/>
      <c r="AT138" s="686"/>
      <c r="AU138" s="685"/>
      <c r="AV138" s="685"/>
      <c r="AW138" s="685"/>
      <c r="AX138" s="686"/>
      <c r="AY138" s="685"/>
      <c r="AZ138" s="685"/>
      <c r="BA138" s="685"/>
      <c r="BB138" s="686"/>
      <c r="BC138" s="685"/>
      <c r="BD138" s="685"/>
      <c r="BE138" s="685"/>
      <c r="BF138" s="686"/>
      <c r="BG138" s="685"/>
      <c r="BH138" s="685"/>
      <c r="BI138" s="685"/>
      <c r="BJ138" s="686"/>
      <c r="BK138" s="685"/>
      <c r="BL138" s="685"/>
      <c r="BM138" s="685"/>
      <c r="BN138" s="686"/>
      <c r="BO138" s="685"/>
      <c r="BP138" s="685"/>
      <c r="BQ138" s="685"/>
      <c r="BR138" s="686"/>
      <c r="BS138" s="685"/>
      <c r="BT138" s="685"/>
      <c r="BU138" s="685"/>
      <c r="BV138" s="686"/>
      <c r="BW138" s="736"/>
      <c r="BX138" s="736"/>
      <c r="BY138" s="736"/>
      <c r="BZ138" s="737"/>
      <c r="CA138" s="668"/>
      <c r="CB138" s="657"/>
      <c r="CC138" s="657"/>
      <c r="CD138" s="657"/>
      <c r="CE138" s="657"/>
      <c r="CF138" s="657"/>
      <c r="CG138" s="657"/>
      <c r="CH138" s="657"/>
      <c r="CI138" s="657"/>
    </row>
    <row r="139" spans="1:87" ht="9.9499999999999993" customHeight="1">
      <c r="A139" s="1415"/>
      <c r="B139" s="1415"/>
      <c r="C139" s="1415"/>
      <c r="D139" s="1390"/>
      <c r="E139" s="1390"/>
      <c r="F139" s="1390"/>
      <c r="G139" s="691"/>
      <c r="H139" s="692"/>
      <c r="I139" s="692"/>
      <c r="J139" s="688"/>
      <c r="K139" s="1466"/>
      <c r="L139" s="1466"/>
      <c r="M139" s="1466"/>
      <c r="N139" s="1466"/>
      <c r="O139" s="1464"/>
      <c r="P139" s="1464"/>
      <c r="Q139" s="1464"/>
      <c r="R139" s="1464"/>
      <c r="S139" s="1464"/>
      <c r="T139" s="1464"/>
      <c r="U139" s="1464"/>
      <c r="V139" s="1464"/>
      <c r="W139" s="1464"/>
      <c r="X139" s="1464"/>
      <c r="Y139" s="663"/>
      <c r="Z139" s="671"/>
      <c r="AA139" s="663"/>
      <c r="AB139" s="663"/>
      <c r="AC139" s="663"/>
      <c r="AD139" s="671"/>
      <c r="AE139" s="663"/>
      <c r="AF139" s="663"/>
      <c r="AG139" s="736"/>
      <c r="AH139" s="670"/>
      <c r="AI139" s="736"/>
      <c r="AJ139" s="736"/>
      <c r="AK139" s="685"/>
      <c r="AL139" s="686"/>
      <c r="AM139" s="685"/>
      <c r="AN139" s="685"/>
      <c r="AO139" s="685"/>
      <c r="AP139" s="686"/>
      <c r="AQ139" s="685"/>
      <c r="AR139" s="685"/>
      <c r="AS139" s="685"/>
      <c r="AT139" s="686"/>
      <c r="AU139" s="685"/>
      <c r="AV139" s="685"/>
      <c r="AW139" s="685"/>
      <c r="AX139" s="686"/>
      <c r="AY139" s="685"/>
      <c r="AZ139" s="685"/>
      <c r="BA139" s="685"/>
      <c r="BB139" s="686"/>
      <c r="BC139" s="685"/>
      <c r="BD139" s="685"/>
      <c r="BE139" s="663"/>
      <c r="BF139" s="687"/>
      <c r="BG139" s="688"/>
      <c r="BH139" s="688"/>
      <c r="BI139" s="688"/>
      <c r="BJ139" s="687"/>
      <c r="BK139" s="688"/>
      <c r="BL139" s="688"/>
      <c r="BM139" s="688"/>
      <c r="BN139" s="687"/>
      <c r="BO139" s="688"/>
      <c r="BP139" s="688"/>
      <c r="BQ139" s="688"/>
      <c r="BR139" s="687"/>
      <c r="BS139" s="688"/>
      <c r="BT139" s="688"/>
      <c r="BU139" s="688"/>
      <c r="BV139" s="687"/>
      <c r="BW139" s="736"/>
      <c r="BX139" s="736"/>
      <c r="BY139" s="736"/>
      <c r="BZ139" s="737"/>
      <c r="CA139" s="672"/>
      <c r="CB139" s="657"/>
      <c r="CC139" s="657"/>
      <c r="CD139" s="657"/>
      <c r="CE139" s="657"/>
      <c r="CF139" s="657"/>
      <c r="CG139" s="657"/>
      <c r="CH139" s="657"/>
      <c r="CI139" s="657"/>
    </row>
    <row r="140" spans="1:87" ht="9.9499999999999993" customHeight="1">
      <c r="A140" s="1469"/>
      <c r="B140" s="1469"/>
      <c r="C140" s="1469"/>
      <c r="D140" s="1390"/>
      <c r="E140" s="1390"/>
      <c r="F140" s="1390"/>
      <c r="G140" s="691"/>
      <c r="H140" s="692"/>
      <c r="I140" s="692"/>
      <c r="J140" s="688"/>
      <c r="K140" s="1466"/>
      <c r="L140" s="1466"/>
      <c r="M140" s="1466"/>
      <c r="N140" s="1466"/>
      <c r="O140" s="1464"/>
      <c r="P140" s="1464"/>
      <c r="Q140" s="1464"/>
      <c r="R140" s="1464"/>
      <c r="S140" s="1464"/>
      <c r="T140" s="1464"/>
      <c r="U140" s="1464"/>
      <c r="V140" s="1464"/>
      <c r="W140" s="1464"/>
      <c r="X140" s="1464"/>
      <c r="Y140" s="663" t="s">
        <v>3097</v>
      </c>
      <c r="Z140" s="671"/>
      <c r="AA140" s="663"/>
      <c r="AB140" s="663"/>
      <c r="AC140" s="663"/>
      <c r="AD140" s="671"/>
      <c r="AE140" s="663"/>
      <c r="AF140" s="663"/>
      <c r="AG140" s="736"/>
      <c r="AH140" s="670"/>
      <c r="AI140" s="736"/>
      <c r="AJ140" s="736"/>
      <c r="AK140" s="688"/>
      <c r="AL140" s="687"/>
      <c r="AM140" s="688"/>
      <c r="AN140" s="688"/>
      <c r="AO140" s="688"/>
      <c r="AP140" s="687"/>
      <c r="AQ140" s="688"/>
      <c r="AR140" s="688"/>
      <c r="AS140" s="688"/>
      <c r="AT140" s="687"/>
      <c r="AU140" s="688"/>
      <c r="AV140" s="688"/>
      <c r="AW140" s="688"/>
      <c r="AX140" s="687"/>
      <c r="AY140" s="688"/>
      <c r="AZ140" s="688"/>
      <c r="BA140" s="688"/>
      <c r="BB140" s="687"/>
      <c r="BC140" s="688"/>
      <c r="BD140" s="688"/>
      <c r="BE140" s="688"/>
      <c r="BF140" s="687"/>
      <c r="BG140" s="688"/>
      <c r="BH140" s="688"/>
      <c r="BI140" s="688"/>
      <c r="BJ140" s="687"/>
      <c r="BK140" s="688"/>
      <c r="BL140" s="688"/>
      <c r="BM140" s="688"/>
      <c r="BN140" s="687"/>
      <c r="BO140" s="688"/>
      <c r="BP140" s="688"/>
      <c r="BQ140" s="688"/>
      <c r="BR140" s="687"/>
      <c r="BS140" s="688"/>
      <c r="BT140" s="688"/>
      <c r="BU140" s="688"/>
      <c r="BV140" s="687"/>
      <c r="BW140" s="736"/>
      <c r="BX140" s="736"/>
      <c r="BY140" s="736"/>
      <c r="BZ140" s="737"/>
      <c r="CA140" s="672"/>
      <c r="CB140" s="657"/>
      <c r="CC140" s="657"/>
      <c r="CD140" s="657"/>
      <c r="CE140" s="657"/>
      <c r="CF140" s="657"/>
      <c r="CG140" s="657"/>
      <c r="CH140" s="657"/>
      <c r="CI140" s="657"/>
    </row>
    <row r="141" spans="1:87" ht="9.9499999999999993" customHeight="1">
      <c r="A141" s="1473" t="s">
        <v>38</v>
      </c>
      <c r="B141" s="1473"/>
      <c r="C141" s="1473"/>
      <c r="D141" s="1390"/>
      <c r="E141" s="1390"/>
      <c r="F141" s="1390"/>
      <c r="G141" s="691"/>
      <c r="H141" s="692"/>
      <c r="I141" s="692"/>
      <c r="J141" s="688"/>
      <c r="K141" s="1466"/>
      <c r="L141" s="1466"/>
      <c r="M141" s="1466"/>
      <c r="N141" s="1466"/>
      <c r="O141" s="1464"/>
      <c r="P141" s="1464"/>
      <c r="Q141" s="1464"/>
      <c r="R141" s="1464"/>
      <c r="S141" s="1464"/>
      <c r="T141" s="1464"/>
      <c r="U141" s="1464"/>
      <c r="V141" s="1464"/>
      <c r="W141" s="1464"/>
      <c r="X141" s="1464"/>
      <c r="Y141" s="663"/>
      <c r="Z141" s="671"/>
      <c r="AA141" s="663"/>
      <c r="AB141" s="663"/>
      <c r="AC141" s="663"/>
      <c r="AD141" s="671"/>
      <c r="AE141" s="663"/>
      <c r="AF141" s="663"/>
      <c r="AG141" s="736"/>
      <c r="AH141" s="670"/>
      <c r="AI141" s="736"/>
      <c r="AJ141" s="736"/>
      <c r="AK141" s="685"/>
      <c r="AL141" s="686"/>
      <c r="AM141" s="685"/>
      <c r="AN141" s="685"/>
      <c r="AO141" s="685"/>
      <c r="AP141" s="686"/>
      <c r="AQ141" s="685"/>
      <c r="AR141" s="685"/>
      <c r="AS141" s="685"/>
      <c r="AT141" s="686"/>
      <c r="AU141" s="685"/>
      <c r="AV141" s="685"/>
      <c r="AW141" s="685"/>
      <c r="AX141" s="686"/>
      <c r="AY141" s="685"/>
      <c r="AZ141" s="685"/>
      <c r="BA141" s="685"/>
      <c r="BB141" s="686"/>
      <c r="BC141" s="685"/>
      <c r="BD141" s="685"/>
      <c r="BE141" s="685"/>
      <c r="BF141" s="686"/>
      <c r="BG141" s="685"/>
      <c r="BH141" s="685"/>
      <c r="BI141" s="685"/>
      <c r="BJ141" s="686"/>
      <c r="BK141" s="685"/>
      <c r="BL141" s="685"/>
      <c r="BM141" s="685"/>
      <c r="BN141" s="686"/>
      <c r="BO141" s="685"/>
      <c r="BP141" s="685"/>
      <c r="BQ141" s="685"/>
      <c r="BR141" s="686"/>
      <c r="BS141" s="685"/>
      <c r="BT141" s="685"/>
      <c r="BU141" s="685"/>
      <c r="BV141" s="686"/>
      <c r="BW141" s="736"/>
      <c r="BX141" s="736"/>
      <c r="BY141" s="736"/>
      <c r="BZ141" s="737"/>
      <c r="CA141" s="668"/>
      <c r="CB141" s="657"/>
      <c r="CC141" s="657"/>
      <c r="CD141" s="657"/>
      <c r="CE141" s="657"/>
      <c r="CF141" s="657"/>
      <c r="CG141" s="657"/>
      <c r="CH141" s="657"/>
      <c r="CI141" s="657"/>
    </row>
    <row r="142" spans="1:87" ht="9.9499999999999993" customHeight="1">
      <c r="A142" s="1474" t="str">
        <f>BK106</f>
        <v/>
      </c>
      <c r="B142" s="1474"/>
      <c r="C142" s="1474"/>
      <c r="D142" s="1390"/>
      <c r="E142" s="1390"/>
      <c r="F142" s="1390"/>
      <c r="G142" s="691"/>
      <c r="H142" s="692"/>
      <c r="I142" s="692"/>
      <c r="J142" s="688"/>
      <c r="K142" s="1466"/>
      <c r="L142" s="1466"/>
      <c r="M142" s="1466"/>
      <c r="N142" s="1466"/>
      <c r="O142" s="1464"/>
      <c r="P142" s="1464"/>
      <c r="Q142" s="1464"/>
      <c r="R142" s="1464"/>
      <c r="S142" s="1464"/>
      <c r="T142" s="1464"/>
      <c r="U142" s="1464"/>
      <c r="V142" s="1464"/>
      <c r="W142" s="1464"/>
      <c r="X142" s="1464"/>
      <c r="Y142" s="663"/>
      <c r="Z142" s="671"/>
      <c r="AA142" s="663"/>
      <c r="AB142" s="663"/>
      <c r="AC142" s="663"/>
      <c r="AD142" s="671"/>
      <c r="AE142" s="663"/>
      <c r="AF142" s="663"/>
      <c r="AG142" s="736"/>
      <c r="AH142" s="670"/>
      <c r="AI142" s="736"/>
      <c r="AJ142" s="736"/>
      <c r="AK142" s="685"/>
      <c r="AL142" s="686"/>
      <c r="AM142" s="685"/>
      <c r="AN142" s="685"/>
      <c r="AO142" s="685"/>
      <c r="AP142" s="686"/>
      <c r="AQ142" s="685"/>
      <c r="AR142" s="685"/>
      <c r="AS142" s="685"/>
      <c r="AT142" s="686"/>
      <c r="AU142" s="685"/>
      <c r="AV142" s="685"/>
      <c r="AW142" s="685"/>
      <c r="AX142" s="686"/>
      <c r="AY142" s="685"/>
      <c r="AZ142" s="685"/>
      <c r="BA142" s="685"/>
      <c r="BB142" s="686"/>
      <c r="BC142" s="685"/>
      <c r="BD142" s="685"/>
      <c r="BE142" s="685"/>
      <c r="BF142" s="686"/>
      <c r="BG142" s="685"/>
      <c r="BH142" s="685"/>
      <c r="BI142" s="685"/>
      <c r="BJ142" s="686"/>
      <c r="BK142" s="685"/>
      <c r="BL142" s="685"/>
      <c r="BM142" s="685"/>
      <c r="BN142" s="686"/>
      <c r="BO142" s="685"/>
      <c r="BP142" s="685"/>
      <c r="BQ142" s="685"/>
      <c r="BR142" s="686"/>
      <c r="BS142" s="685"/>
      <c r="BT142" s="685"/>
      <c r="BU142" s="685"/>
      <c r="BV142" s="686"/>
      <c r="BW142" s="736"/>
      <c r="BX142" s="736"/>
      <c r="BY142" s="736"/>
      <c r="BZ142" s="737"/>
      <c r="CA142" s="668"/>
      <c r="CB142" s="657"/>
      <c r="CC142" s="657"/>
      <c r="CD142" s="657"/>
      <c r="CE142" s="657"/>
      <c r="CF142" s="657"/>
      <c r="CG142" s="657"/>
      <c r="CH142" s="657"/>
      <c r="CI142" s="657"/>
    </row>
    <row r="143" spans="1:87" ht="9.9499999999999993" customHeight="1">
      <c r="A143" s="1475"/>
      <c r="B143" s="1475"/>
      <c r="C143" s="1475"/>
      <c r="D143" s="1390"/>
      <c r="E143" s="1390"/>
      <c r="F143" s="1390"/>
      <c r="G143" s="691"/>
      <c r="H143" s="692"/>
      <c r="I143" s="692"/>
      <c r="J143" s="688"/>
      <c r="K143" s="1466"/>
      <c r="L143" s="1466"/>
      <c r="M143" s="1466"/>
      <c r="N143" s="1466"/>
      <c r="O143" s="1464"/>
      <c r="P143" s="1464"/>
      <c r="Q143" s="1464"/>
      <c r="R143" s="1464"/>
      <c r="S143" s="1464"/>
      <c r="T143" s="1464"/>
      <c r="U143" s="1464"/>
      <c r="V143" s="1464"/>
      <c r="W143" s="1464"/>
      <c r="X143" s="1464"/>
      <c r="Y143" s="663"/>
      <c r="Z143" s="671"/>
      <c r="AA143" s="663"/>
      <c r="AB143" s="663"/>
      <c r="AC143" s="663"/>
      <c r="AD143" s="671"/>
      <c r="AE143" s="663"/>
      <c r="AF143" s="663"/>
      <c r="AG143" s="736"/>
      <c r="AH143" s="670"/>
      <c r="AI143" s="736"/>
      <c r="AJ143" s="736"/>
      <c r="AK143" s="685"/>
      <c r="AL143" s="686"/>
      <c r="AM143" s="685"/>
      <c r="AN143" s="685"/>
      <c r="AO143" s="685"/>
      <c r="AP143" s="686"/>
      <c r="AQ143" s="685"/>
      <c r="AR143" s="685"/>
      <c r="AS143" s="685"/>
      <c r="AT143" s="686"/>
      <c r="AU143" s="685"/>
      <c r="AV143" s="685"/>
      <c r="AW143" s="685"/>
      <c r="AX143" s="686"/>
      <c r="AY143" s="685"/>
      <c r="AZ143" s="685"/>
      <c r="BA143" s="685"/>
      <c r="BB143" s="686"/>
      <c r="BC143" s="685"/>
      <c r="BD143" s="685"/>
      <c r="BE143" s="685"/>
      <c r="BF143" s="686"/>
      <c r="BG143" s="685"/>
      <c r="BH143" s="685"/>
      <c r="BI143" s="685"/>
      <c r="BJ143" s="686"/>
      <c r="BK143" s="685"/>
      <c r="BL143" s="685"/>
      <c r="BM143" s="685"/>
      <c r="BN143" s="686"/>
      <c r="BO143" s="685"/>
      <c r="BP143" s="685"/>
      <c r="BQ143" s="685"/>
      <c r="BR143" s="686"/>
      <c r="BS143" s="685"/>
      <c r="BT143" s="685"/>
      <c r="BU143" s="685"/>
      <c r="BV143" s="686"/>
      <c r="BW143" s="736"/>
      <c r="BX143" s="736"/>
      <c r="BY143" s="736"/>
      <c r="BZ143" s="737"/>
      <c r="CA143" s="668"/>
      <c r="CB143" s="657"/>
      <c r="CC143" s="657"/>
      <c r="CD143" s="657"/>
      <c r="CE143" s="657"/>
      <c r="CF143" s="657"/>
      <c r="CG143" s="657"/>
      <c r="CH143" s="657"/>
      <c r="CI143" s="657"/>
    </row>
    <row r="144" spans="1:87" ht="9.9499999999999993" customHeight="1">
      <c r="A144" s="1468" t="s">
        <v>37</v>
      </c>
      <c r="B144" s="1468"/>
      <c r="C144" s="1468"/>
      <c r="D144" s="1390"/>
      <c r="E144" s="1390"/>
      <c r="F144" s="1390"/>
      <c r="G144" s="695"/>
      <c r="H144" s="696"/>
      <c r="I144" s="696"/>
      <c r="J144" s="689"/>
      <c r="K144" s="1466"/>
      <c r="L144" s="1466"/>
      <c r="M144" s="1466"/>
      <c r="N144" s="1466"/>
      <c r="O144" s="1464"/>
      <c r="P144" s="1464"/>
      <c r="Q144" s="1464"/>
      <c r="R144" s="1464"/>
      <c r="S144" s="1464"/>
      <c r="T144" s="1464"/>
      <c r="U144" s="1464"/>
      <c r="V144" s="1464"/>
      <c r="W144" s="1464"/>
      <c r="X144" s="1464"/>
      <c r="Y144" s="676"/>
      <c r="Z144" s="676"/>
      <c r="AA144" s="706"/>
      <c r="AB144" s="676"/>
      <c r="AC144" s="676"/>
      <c r="AD144" s="676"/>
      <c r="AE144" s="706"/>
      <c r="AF144" s="676"/>
      <c r="AG144" s="739"/>
      <c r="AH144" s="740"/>
      <c r="AI144" s="739"/>
      <c r="AJ144" s="739"/>
      <c r="AK144" s="689"/>
      <c r="AL144" s="689"/>
      <c r="AM144" s="705"/>
      <c r="AN144" s="689"/>
      <c r="AO144" s="689"/>
      <c r="AP144" s="689"/>
      <c r="AQ144" s="705"/>
      <c r="AR144" s="689"/>
      <c r="AS144" s="689"/>
      <c r="AT144" s="689"/>
      <c r="AU144" s="705"/>
      <c r="AV144" s="689"/>
      <c r="AW144" s="689"/>
      <c r="AX144" s="689"/>
      <c r="AY144" s="705"/>
      <c r="AZ144" s="689"/>
      <c r="BA144" s="689"/>
      <c r="BB144" s="689"/>
      <c r="BC144" s="705"/>
      <c r="BD144" s="689"/>
      <c r="BE144" s="689"/>
      <c r="BF144" s="689"/>
      <c r="BG144" s="705"/>
      <c r="BH144" s="689"/>
      <c r="BI144" s="689"/>
      <c r="BJ144" s="689"/>
      <c r="BK144" s="705"/>
      <c r="BL144" s="689"/>
      <c r="BM144" s="689"/>
      <c r="BN144" s="689"/>
      <c r="BO144" s="705"/>
      <c r="BP144" s="689"/>
      <c r="BQ144" s="689"/>
      <c r="BR144" s="689"/>
      <c r="BS144" s="705"/>
      <c r="BT144" s="689"/>
      <c r="BU144" s="689"/>
      <c r="BV144" s="689"/>
      <c r="BW144" s="738"/>
      <c r="BX144" s="739"/>
      <c r="BY144" s="739"/>
      <c r="BZ144" s="740"/>
      <c r="CA144" s="679"/>
      <c r="CB144" s="657"/>
      <c r="CC144" s="657"/>
      <c r="CD144" s="657"/>
      <c r="CE144" s="657"/>
      <c r="CF144" s="657"/>
      <c r="CG144" s="657"/>
      <c r="CH144" s="657"/>
      <c r="CI144" s="657"/>
    </row>
    <row r="145" spans="1:87" ht="13.5" customHeight="1">
      <c r="A145" s="708"/>
      <c r="B145" s="708"/>
      <c r="C145" s="708"/>
      <c r="D145" s="708"/>
      <c r="E145" s="708"/>
      <c r="F145" s="708"/>
      <c r="G145" s="1461"/>
      <c r="H145" s="1461"/>
      <c r="I145" s="1391">
        <v>0.25</v>
      </c>
      <c r="J145" s="1391"/>
      <c r="K145" s="1391"/>
      <c r="L145" s="1391"/>
      <c r="M145" s="1391">
        <v>0.29166666666666669</v>
      </c>
      <c r="N145" s="1391"/>
      <c r="O145" s="1391"/>
      <c r="P145" s="1391"/>
      <c r="Q145" s="1391">
        <v>0.33333333333333331</v>
      </c>
      <c r="R145" s="1391"/>
      <c r="S145" s="1391"/>
      <c r="T145" s="1391"/>
      <c r="U145" s="1391">
        <v>0.375</v>
      </c>
      <c r="V145" s="1391"/>
      <c r="W145" s="1391"/>
      <c r="X145" s="1391"/>
      <c r="Y145" s="1391">
        <v>0.41666666666666669</v>
      </c>
      <c r="Z145" s="1418"/>
      <c r="AA145" s="1391"/>
      <c r="AB145" s="1391"/>
      <c r="AC145" s="1391">
        <v>0.45833333333333331</v>
      </c>
      <c r="AD145" s="1391"/>
      <c r="AE145" s="1391"/>
      <c r="AF145" s="1391"/>
      <c r="AG145" s="1385">
        <v>0.5</v>
      </c>
      <c r="AH145" s="1385"/>
      <c r="AI145" s="1385"/>
      <c r="AJ145" s="1385"/>
      <c r="AK145" s="1385">
        <v>4.1666666666666664E-2</v>
      </c>
      <c r="AL145" s="1385"/>
      <c r="AM145" s="1385"/>
      <c r="AN145" s="1385"/>
      <c r="AO145" s="1385">
        <v>8.3333333333333329E-2</v>
      </c>
      <c r="AP145" s="1385"/>
      <c r="AQ145" s="1385"/>
      <c r="AR145" s="1385"/>
      <c r="AS145" s="1385">
        <v>0.125</v>
      </c>
      <c r="AT145" s="1385"/>
      <c r="AU145" s="1385"/>
      <c r="AV145" s="1385"/>
      <c r="AW145" s="1385">
        <v>0.16666666666666666</v>
      </c>
      <c r="AX145" s="1385"/>
      <c r="AY145" s="1385"/>
      <c r="AZ145" s="1385"/>
      <c r="BA145" s="1385">
        <v>0.20833333333333334</v>
      </c>
      <c r="BB145" s="1385"/>
      <c r="BC145" s="1385"/>
      <c r="BD145" s="1385"/>
      <c r="BE145" s="1385">
        <v>0.25</v>
      </c>
      <c r="BF145" s="1385"/>
      <c r="BG145" s="1385"/>
      <c r="BH145" s="1385"/>
      <c r="BI145" s="1385">
        <v>0.29166666666666669</v>
      </c>
      <c r="BJ145" s="1385"/>
      <c r="BK145" s="1385"/>
      <c r="BL145" s="1385"/>
      <c r="BM145" s="1385">
        <v>0.33333333333333331</v>
      </c>
      <c r="BN145" s="1385"/>
      <c r="BO145" s="1385"/>
      <c r="BP145" s="1385"/>
      <c r="BQ145" s="1385">
        <v>0.375</v>
      </c>
      <c r="BR145" s="1385"/>
      <c r="BS145" s="1385"/>
      <c r="BT145" s="1385"/>
      <c r="BU145" s="1385">
        <v>0.41666666666666669</v>
      </c>
      <c r="BV145" s="1414"/>
      <c r="BW145" s="1414"/>
      <c r="BX145" s="1414"/>
      <c r="BY145" s="652"/>
      <c r="BZ145" s="652"/>
      <c r="CA145" s="652"/>
      <c r="CB145" s="657"/>
      <c r="CC145" s="657"/>
      <c r="CD145" s="657"/>
      <c r="CE145" s="657"/>
      <c r="CF145" s="657"/>
      <c r="CG145" s="657"/>
      <c r="CH145" s="657"/>
      <c r="CI145" s="657"/>
    </row>
    <row r="146" spans="1:87" ht="13.5" customHeight="1">
      <c r="A146" s="1415" t="s">
        <v>75</v>
      </c>
      <c r="B146" s="1415"/>
      <c r="C146" s="1415"/>
      <c r="D146" s="1416"/>
      <c r="E146" s="1416"/>
      <c r="F146" s="1416"/>
      <c r="G146" s="1416"/>
      <c r="H146" s="1416"/>
      <c r="I146" s="1416"/>
      <c r="J146" s="1416"/>
      <c r="K146" s="1416"/>
      <c r="L146" s="1416"/>
      <c r="M146" s="1416"/>
      <c r="N146" s="1416"/>
      <c r="O146" s="1416"/>
      <c r="P146" s="1416"/>
      <c r="Q146" s="1416"/>
      <c r="R146" s="1416"/>
      <c r="S146" s="1416"/>
      <c r="T146" s="1416"/>
      <c r="U146" s="1416"/>
      <c r="V146" s="1416"/>
      <c r="W146" s="1416"/>
      <c r="X146" s="1416"/>
      <c r="Y146" s="1416"/>
      <c r="Z146" s="1416"/>
      <c r="AA146" s="1416"/>
      <c r="AB146" s="1416"/>
      <c r="AC146" s="1416"/>
      <c r="AD146" s="1416"/>
      <c r="AE146" s="1416"/>
      <c r="AF146" s="1416"/>
      <c r="AG146" s="1416"/>
      <c r="AH146" s="1416"/>
      <c r="AI146" s="1416"/>
      <c r="AJ146" s="1416"/>
      <c r="AK146" s="1416"/>
      <c r="AL146" s="1416"/>
      <c r="AM146" s="1416"/>
      <c r="AN146" s="1416"/>
      <c r="AO146" s="1416"/>
      <c r="AP146" s="1416"/>
      <c r="AQ146" s="1416"/>
      <c r="AR146" s="1416"/>
      <c r="AS146" s="1416"/>
      <c r="AT146" s="1416"/>
      <c r="AU146" s="1416"/>
      <c r="AV146" s="1416"/>
      <c r="AW146" s="1416"/>
      <c r="AX146" s="1416"/>
      <c r="AY146" s="1416"/>
      <c r="AZ146" s="1416"/>
      <c r="BA146" s="1416"/>
      <c r="BB146" s="1416"/>
      <c r="BC146" s="1416"/>
      <c r="BD146" s="1416"/>
      <c r="BE146" s="1416"/>
      <c r="BF146" s="1416"/>
      <c r="BG146" s="1416"/>
      <c r="BH146" s="1416"/>
      <c r="BI146" s="1416"/>
      <c r="BJ146" s="1416"/>
      <c r="BK146" s="1416"/>
      <c r="BL146" s="1416"/>
      <c r="BM146" s="1416"/>
      <c r="BN146" s="1416"/>
      <c r="BO146" s="1416"/>
      <c r="BP146" s="1416"/>
      <c r="BQ146" s="1416"/>
      <c r="BR146" s="1416"/>
      <c r="BS146" s="1416"/>
      <c r="BT146" s="1416"/>
      <c r="BU146" s="1416"/>
      <c r="BV146" s="1416"/>
      <c r="BW146" s="1416"/>
      <c r="BX146" s="1416"/>
      <c r="BY146" s="1416"/>
      <c r="BZ146" s="1416"/>
      <c r="CA146" s="672"/>
      <c r="CB146" s="709"/>
      <c r="CC146" s="709"/>
      <c r="CD146" s="709"/>
      <c r="CE146" s="709"/>
      <c r="CF146" s="709"/>
      <c r="CG146" s="709"/>
      <c r="CH146" s="709"/>
      <c r="CI146" s="709"/>
    </row>
    <row r="147" spans="1:87">
      <c r="A147" s="1415"/>
      <c r="B147" s="1415"/>
      <c r="C147" s="1415"/>
      <c r="D147" s="1416"/>
      <c r="E147" s="1416"/>
      <c r="F147" s="1416"/>
      <c r="G147" s="1416"/>
      <c r="H147" s="1416"/>
      <c r="I147" s="1416"/>
      <c r="J147" s="1416"/>
      <c r="K147" s="1416"/>
      <c r="L147" s="1416"/>
      <c r="M147" s="1416"/>
      <c r="N147" s="1416"/>
      <c r="O147" s="1416"/>
      <c r="P147" s="1416"/>
      <c r="Q147" s="1416"/>
      <c r="R147" s="1416"/>
      <c r="S147" s="1416"/>
      <c r="T147" s="1416"/>
      <c r="U147" s="1416"/>
      <c r="V147" s="1416"/>
      <c r="W147" s="1416"/>
      <c r="X147" s="1416"/>
      <c r="Y147" s="1416"/>
      <c r="Z147" s="1416"/>
      <c r="AA147" s="1416"/>
      <c r="AB147" s="1416"/>
      <c r="AC147" s="1416"/>
      <c r="AD147" s="1416"/>
      <c r="AE147" s="1416"/>
      <c r="AF147" s="1416"/>
      <c r="AG147" s="1416"/>
      <c r="AH147" s="1416"/>
      <c r="AI147" s="1416"/>
      <c r="AJ147" s="1416"/>
      <c r="AK147" s="1416"/>
      <c r="AL147" s="1416"/>
      <c r="AM147" s="1416"/>
      <c r="AN147" s="1416"/>
      <c r="AO147" s="1416"/>
      <c r="AP147" s="1416"/>
      <c r="AQ147" s="1416"/>
      <c r="AR147" s="1416"/>
      <c r="AS147" s="1416"/>
      <c r="AT147" s="1416"/>
      <c r="AU147" s="1416"/>
      <c r="AV147" s="1416"/>
      <c r="AW147" s="1416"/>
      <c r="AX147" s="1416"/>
      <c r="AY147" s="1416"/>
      <c r="AZ147" s="1416"/>
      <c r="BA147" s="1416"/>
      <c r="BB147" s="1416"/>
      <c r="BC147" s="1416"/>
      <c r="BD147" s="1416"/>
      <c r="BE147" s="1416"/>
      <c r="BF147" s="1416"/>
      <c r="BG147" s="1416"/>
      <c r="BH147" s="1416"/>
      <c r="BI147" s="1416"/>
      <c r="BJ147" s="1416"/>
      <c r="BK147" s="1416"/>
      <c r="BL147" s="1416"/>
      <c r="BM147" s="1416"/>
      <c r="BN147" s="1416"/>
      <c r="BO147" s="1416"/>
      <c r="BP147" s="1416"/>
      <c r="BQ147" s="1416"/>
      <c r="BR147" s="1416"/>
      <c r="BS147" s="1416"/>
      <c r="BT147" s="1416"/>
      <c r="BU147" s="1416"/>
      <c r="BV147" s="1416"/>
      <c r="BW147" s="1416"/>
      <c r="BX147" s="1416"/>
      <c r="BY147" s="1416"/>
      <c r="BZ147" s="1416"/>
      <c r="CA147" s="672"/>
      <c r="CB147" s="709"/>
      <c r="CC147" s="709"/>
      <c r="CD147" s="709"/>
      <c r="CE147" s="709"/>
      <c r="CF147" s="709"/>
      <c r="CG147" s="709"/>
      <c r="CH147" s="709"/>
      <c r="CI147" s="709"/>
    </row>
    <row r="148" spans="1:87">
      <c r="A148" s="1415"/>
      <c r="B148" s="1415"/>
      <c r="C148" s="1415"/>
      <c r="D148" s="1416"/>
      <c r="E148" s="1416"/>
      <c r="F148" s="1416"/>
      <c r="G148" s="1416"/>
      <c r="H148" s="1416"/>
      <c r="I148" s="1416"/>
      <c r="J148" s="1416"/>
      <c r="K148" s="1416"/>
      <c r="L148" s="1416"/>
      <c r="M148" s="1416"/>
      <c r="N148" s="1416"/>
      <c r="O148" s="1416"/>
      <c r="P148" s="1416"/>
      <c r="Q148" s="1416"/>
      <c r="R148" s="1416"/>
      <c r="S148" s="1416"/>
      <c r="T148" s="1416"/>
      <c r="U148" s="1416"/>
      <c r="V148" s="1416"/>
      <c r="W148" s="1416"/>
      <c r="X148" s="1416"/>
      <c r="Y148" s="1416"/>
      <c r="Z148" s="1416"/>
      <c r="AA148" s="1416"/>
      <c r="AB148" s="1416"/>
      <c r="AC148" s="1416"/>
      <c r="AD148" s="1416"/>
      <c r="AE148" s="1416"/>
      <c r="AF148" s="1416"/>
      <c r="AG148" s="1416"/>
      <c r="AH148" s="1416"/>
      <c r="AI148" s="1416"/>
      <c r="AJ148" s="1416"/>
      <c r="AK148" s="1416"/>
      <c r="AL148" s="1416"/>
      <c r="AM148" s="1416"/>
      <c r="AN148" s="1416"/>
      <c r="AO148" s="1416"/>
      <c r="AP148" s="1416"/>
      <c r="AQ148" s="1416"/>
      <c r="AR148" s="1416"/>
      <c r="AS148" s="1416"/>
      <c r="AT148" s="1416"/>
      <c r="AU148" s="1416"/>
      <c r="AV148" s="1416"/>
      <c r="AW148" s="1416"/>
      <c r="AX148" s="1416"/>
      <c r="AY148" s="1416"/>
      <c r="AZ148" s="1416"/>
      <c r="BA148" s="1416"/>
      <c r="BB148" s="1416"/>
      <c r="BC148" s="1416"/>
      <c r="BD148" s="1416"/>
      <c r="BE148" s="1416"/>
      <c r="BF148" s="1416"/>
      <c r="BG148" s="1416"/>
      <c r="BH148" s="1416"/>
      <c r="BI148" s="1416"/>
      <c r="BJ148" s="1416"/>
      <c r="BK148" s="1416"/>
      <c r="BL148" s="1416"/>
      <c r="BM148" s="1416"/>
      <c r="BN148" s="1416"/>
      <c r="BO148" s="1416"/>
      <c r="BP148" s="1416"/>
      <c r="BQ148" s="1416"/>
      <c r="BR148" s="1416"/>
      <c r="BS148" s="1416"/>
      <c r="BT148" s="1416"/>
      <c r="BU148" s="1416"/>
      <c r="BV148" s="1416"/>
      <c r="BW148" s="1416"/>
      <c r="BX148" s="1416"/>
      <c r="BY148" s="1416"/>
      <c r="BZ148" s="1416"/>
      <c r="CA148" s="672"/>
      <c r="CB148" s="709"/>
      <c r="CC148" s="709"/>
      <c r="CD148" s="709"/>
      <c r="CE148" s="709"/>
      <c r="CF148" s="709"/>
      <c r="CG148" s="709"/>
      <c r="CH148" s="709"/>
      <c r="CI148" s="709"/>
    </row>
    <row r="149" spans="1:87">
      <c r="A149" s="1415"/>
      <c r="B149" s="1415"/>
      <c r="C149" s="1415"/>
      <c r="D149" s="1416"/>
      <c r="E149" s="1416"/>
      <c r="F149" s="1416"/>
      <c r="G149" s="1416"/>
      <c r="H149" s="1416"/>
      <c r="I149" s="1416"/>
      <c r="J149" s="1416"/>
      <c r="K149" s="1416"/>
      <c r="L149" s="1416"/>
      <c r="M149" s="1416"/>
      <c r="N149" s="1416"/>
      <c r="O149" s="1416"/>
      <c r="P149" s="1416"/>
      <c r="Q149" s="1416"/>
      <c r="R149" s="1416"/>
      <c r="S149" s="1416"/>
      <c r="T149" s="1416"/>
      <c r="U149" s="1416"/>
      <c r="V149" s="1416"/>
      <c r="W149" s="1416"/>
      <c r="X149" s="1416"/>
      <c r="Y149" s="1416"/>
      <c r="Z149" s="1416"/>
      <c r="AA149" s="1416"/>
      <c r="AB149" s="1416"/>
      <c r="AC149" s="1416"/>
      <c r="AD149" s="1416"/>
      <c r="AE149" s="1416"/>
      <c r="AF149" s="1416"/>
      <c r="AG149" s="1416"/>
      <c r="AH149" s="1416"/>
      <c r="AI149" s="1416"/>
      <c r="AJ149" s="1416"/>
      <c r="AK149" s="1416"/>
      <c r="AL149" s="1416"/>
      <c r="AM149" s="1416"/>
      <c r="AN149" s="1416"/>
      <c r="AO149" s="1416"/>
      <c r="AP149" s="1416"/>
      <c r="AQ149" s="1416"/>
      <c r="AR149" s="1416"/>
      <c r="AS149" s="1416"/>
      <c r="AT149" s="1416"/>
      <c r="AU149" s="1416"/>
      <c r="AV149" s="1416"/>
      <c r="AW149" s="1416"/>
      <c r="AX149" s="1416"/>
      <c r="AY149" s="1416"/>
      <c r="AZ149" s="1416"/>
      <c r="BA149" s="1416"/>
      <c r="BB149" s="1416"/>
      <c r="BC149" s="1416"/>
      <c r="BD149" s="1416"/>
      <c r="BE149" s="1416"/>
      <c r="BF149" s="1416"/>
      <c r="BG149" s="1416"/>
      <c r="BH149" s="1416"/>
      <c r="BI149" s="1416"/>
      <c r="BJ149" s="1416"/>
      <c r="BK149" s="1416"/>
      <c r="BL149" s="1416"/>
      <c r="BM149" s="1416"/>
      <c r="BN149" s="1416"/>
      <c r="BO149" s="1416"/>
      <c r="BP149" s="1416"/>
      <c r="BQ149" s="1416"/>
      <c r="BR149" s="1416"/>
      <c r="BS149" s="1416"/>
      <c r="BT149" s="1416"/>
      <c r="BU149" s="1416"/>
      <c r="BV149" s="1416"/>
      <c r="BW149" s="1416"/>
      <c r="BX149" s="1416"/>
      <c r="BY149" s="1416"/>
      <c r="BZ149" s="1416"/>
      <c r="CA149" s="672"/>
      <c r="CB149" s="709"/>
      <c r="CC149" s="709"/>
      <c r="CD149" s="709"/>
      <c r="CE149" s="709"/>
      <c r="CF149" s="709"/>
      <c r="CG149" s="709"/>
      <c r="CH149" s="709"/>
      <c r="CI149" s="709"/>
    </row>
    <row r="150" spans="1:87">
      <c r="A150" s="1415"/>
      <c r="B150" s="1415"/>
      <c r="C150" s="1415"/>
      <c r="D150" s="1416"/>
      <c r="E150" s="1416"/>
      <c r="F150" s="1416"/>
      <c r="G150" s="1416"/>
      <c r="H150" s="1416"/>
      <c r="I150" s="1416"/>
      <c r="J150" s="1416"/>
      <c r="K150" s="1416"/>
      <c r="L150" s="1416"/>
      <c r="M150" s="1416"/>
      <c r="N150" s="1416"/>
      <c r="O150" s="1416"/>
      <c r="P150" s="1416"/>
      <c r="Q150" s="1416"/>
      <c r="R150" s="1416"/>
      <c r="S150" s="1416"/>
      <c r="T150" s="1416"/>
      <c r="U150" s="1416"/>
      <c r="V150" s="1416"/>
      <c r="W150" s="1416"/>
      <c r="X150" s="1416"/>
      <c r="Y150" s="1416"/>
      <c r="Z150" s="1416"/>
      <c r="AA150" s="1416"/>
      <c r="AB150" s="1416"/>
      <c r="AC150" s="1416"/>
      <c r="AD150" s="1416"/>
      <c r="AE150" s="1416"/>
      <c r="AF150" s="1416"/>
      <c r="AG150" s="1416"/>
      <c r="AH150" s="1416"/>
      <c r="AI150" s="1416"/>
      <c r="AJ150" s="1416"/>
      <c r="AK150" s="1416"/>
      <c r="AL150" s="1416"/>
      <c r="AM150" s="1416"/>
      <c r="AN150" s="1416"/>
      <c r="AO150" s="1416"/>
      <c r="AP150" s="1416"/>
      <c r="AQ150" s="1416"/>
      <c r="AR150" s="1416"/>
      <c r="AS150" s="1416"/>
      <c r="AT150" s="1416"/>
      <c r="AU150" s="1416"/>
      <c r="AV150" s="1416"/>
      <c r="AW150" s="1416"/>
      <c r="AX150" s="1416"/>
      <c r="AY150" s="1416"/>
      <c r="AZ150" s="1416"/>
      <c r="BA150" s="1416"/>
      <c r="BB150" s="1416"/>
      <c r="BC150" s="1416"/>
      <c r="BD150" s="1416"/>
      <c r="BE150" s="1416"/>
      <c r="BF150" s="1416"/>
      <c r="BG150" s="1416"/>
      <c r="BH150" s="1416"/>
      <c r="BI150" s="1416"/>
      <c r="BJ150" s="1416"/>
      <c r="BK150" s="1416"/>
      <c r="BL150" s="1416"/>
      <c r="BM150" s="1416"/>
      <c r="BN150" s="1416"/>
      <c r="BO150" s="1416"/>
      <c r="BP150" s="1416"/>
      <c r="BQ150" s="1416"/>
      <c r="BR150" s="1416"/>
      <c r="BS150" s="1416"/>
      <c r="BT150" s="1416"/>
      <c r="BU150" s="1416"/>
      <c r="BV150" s="1416"/>
      <c r="BW150" s="1416"/>
      <c r="BX150" s="1416"/>
      <c r="BY150" s="1416"/>
      <c r="BZ150" s="1416"/>
      <c r="CA150" s="672"/>
      <c r="CB150" s="709"/>
      <c r="CC150" s="709"/>
      <c r="CD150" s="709"/>
      <c r="CE150" s="709"/>
      <c r="CF150" s="709"/>
      <c r="CG150" s="709"/>
      <c r="CH150" s="709"/>
      <c r="CI150" s="709"/>
    </row>
    <row r="151" spans="1:87">
      <c r="A151" s="1417" t="s">
        <v>88</v>
      </c>
      <c r="B151" s="1417"/>
      <c r="C151" s="1417"/>
      <c r="D151" s="1417"/>
      <c r="E151" s="1417"/>
      <c r="F151" s="1417"/>
      <c r="G151" s="1417"/>
      <c r="H151" s="1417"/>
      <c r="I151" s="1417"/>
      <c r="J151" s="1417"/>
      <c r="K151" s="1417"/>
      <c r="L151" s="1417"/>
      <c r="M151" s="1417"/>
      <c r="N151" s="1417"/>
      <c r="O151" s="1417"/>
      <c r="P151" s="1417"/>
      <c r="Q151" s="1417"/>
      <c r="R151" s="1417"/>
      <c r="S151" s="1417"/>
      <c r="T151" s="1417"/>
      <c r="U151" s="1417"/>
      <c r="V151" s="1417"/>
      <c r="W151" s="1417"/>
      <c r="X151" s="1417"/>
      <c r="Y151" s="1417"/>
      <c r="Z151" s="1417"/>
      <c r="AA151" s="1417"/>
      <c r="AB151" s="1417"/>
      <c r="AC151" s="1417"/>
      <c r="AD151" s="1417"/>
      <c r="AE151" s="1417"/>
      <c r="AF151" s="1417"/>
      <c r="AG151" s="1417"/>
      <c r="AH151" s="1417"/>
      <c r="AI151" s="1417"/>
      <c r="AJ151" s="1417"/>
      <c r="AK151" s="1417"/>
      <c r="AL151" s="1417"/>
      <c r="AM151" s="1417"/>
      <c r="AN151" s="1417"/>
      <c r="AO151" s="1417"/>
      <c r="AP151" s="1417"/>
      <c r="AQ151" s="1417"/>
      <c r="AR151" s="1417"/>
      <c r="AS151" s="1417"/>
      <c r="AT151" s="1417"/>
      <c r="AU151" s="1417"/>
      <c r="AV151" s="1417"/>
      <c r="AW151" s="1417"/>
      <c r="AX151" s="1417"/>
      <c r="AY151" s="1417"/>
      <c r="AZ151" s="1417"/>
      <c r="BA151" s="1417"/>
      <c r="BB151" s="1417"/>
      <c r="BC151" s="1417"/>
      <c r="BD151" s="1417"/>
      <c r="BE151" s="1417"/>
      <c r="BF151" s="1417"/>
      <c r="BG151" s="1417"/>
      <c r="BH151" s="1417"/>
      <c r="BI151" s="1417"/>
      <c r="BJ151" s="1417"/>
      <c r="BK151" s="1417"/>
      <c r="BL151" s="1417"/>
      <c r="BM151" s="1417"/>
      <c r="BN151" s="1417"/>
      <c r="BO151" s="1417"/>
      <c r="BP151" s="1417"/>
      <c r="BQ151" s="1417"/>
      <c r="BR151" s="1417"/>
      <c r="BS151" s="1417"/>
      <c r="BT151" s="1417"/>
      <c r="BU151" s="1417"/>
      <c r="BV151" s="1417"/>
      <c r="BW151" s="1417"/>
      <c r="BX151" s="1417"/>
      <c r="BY151" s="1417"/>
      <c r="BZ151" s="1417"/>
      <c r="CA151" s="652"/>
      <c r="CB151" s="657"/>
      <c r="CC151" s="657"/>
      <c r="CD151" s="657"/>
      <c r="CE151" s="657"/>
      <c r="CF151" s="657"/>
      <c r="CG151" s="657"/>
      <c r="CH151" s="657"/>
      <c r="CI151" s="657"/>
    </row>
    <row r="152" spans="1:87">
      <c r="A152" s="1404" t="s">
        <v>87</v>
      </c>
      <c r="B152" s="1404"/>
      <c r="C152" s="1404"/>
      <c r="D152" s="1404"/>
      <c r="E152" s="1404"/>
      <c r="F152" s="1404"/>
      <c r="G152" s="1404"/>
      <c r="H152" s="1404"/>
      <c r="I152" s="1404"/>
      <c r="J152" s="1404"/>
      <c r="K152" s="1404"/>
      <c r="L152" s="1404"/>
      <c r="M152" s="1404"/>
      <c r="N152" s="1404"/>
      <c r="O152" s="1404"/>
      <c r="P152" s="1404"/>
      <c r="Q152" s="1404"/>
      <c r="R152" s="1404"/>
      <c r="S152" s="1404"/>
      <c r="T152" s="1404"/>
      <c r="U152" s="1404"/>
      <c r="V152" s="1404"/>
      <c r="W152" s="1404"/>
      <c r="X152" s="1404"/>
      <c r="Y152" s="1404"/>
      <c r="Z152" s="1404"/>
      <c r="AA152" s="1404"/>
      <c r="AB152" s="1404"/>
      <c r="AC152" s="1404"/>
      <c r="AD152" s="1404"/>
      <c r="AE152" s="1404"/>
      <c r="AF152" s="1404"/>
      <c r="AG152" s="1404"/>
      <c r="AH152" s="1404"/>
      <c r="AI152" s="1404"/>
      <c r="AJ152" s="1404"/>
      <c r="AK152" s="1404"/>
      <c r="AL152" s="1404"/>
      <c r="AM152" s="1404"/>
      <c r="AN152" s="1404"/>
      <c r="AO152" s="1404"/>
      <c r="AP152" s="1404"/>
      <c r="AQ152" s="1404"/>
      <c r="AR152" s="1404"/>
      <c r="AS152" s="1404"/>
      <c r="AT152" s="1404"/>
      <c r="AU152" s="1404"/>
      <c r="AV152" s="1404"/>
      <c r="AW152" s="1404"/>
      <c r="AX152" s="1404"/>
      <c r="AY152" s="1404"/>
      <c r="AZ152" s="1404"/>
      <c r="BA152" s="1404"/>
      <c r="BB152" s="1404"/>
      <c r="BC152" s="1404"/>
      <c r="BD152" s="1404"/>
      <c r="BE152" s="1404"/>
      <c r="BF152" s="1404"/>
      <c r="BG152" s="1404"/>
      <c r="BH152" s="1404"/>
      <c r="BI152" s="1404"/>
      <c r="BJ152" s="1404"/>
      <c r="BK152" s="1404"/>
      <c r="BL152" s="1404"/>
      <c r="BM152" s="1404"/>
      <c r="BN152" s="1404"/>
      <c r="BO152" s="1404"/>
      <c r="BP152" s="1404"/>
      <c r="BQ152" s="1404"/>
      <c r="BR152" s="1404"/>
      <c r="BS152" s="1404"/>
      <c r="BT152" s="1404"/>
      <c r="BU152" s="1404"/>
      <c r="BV152" s="1404"/>
      <c r="BW152" s="1404"/>
      <c r="BX152" s="1404"/>
      <c r="BY152" s="1404"/>
      <c r="BZ152" s="1404"/>
      <c r="CA152" s="652"/>
      <c r="CB152" s="657"/>
      <c r="CC152" s="657"/>
      <c r="CD152" s="657"/>
      <c r="CE152" s="657"/>
      <c r="CF152" s="657"/>
      <c r="CG152" s="657"/>
      <c r="CH152" s="657"/>
      <c r="CI152" s="657"/>
    </row>
    <row r="153" spans="1:87">
      <c r="A153" s="1404" t="s">
        <v>86</v>
      </c>
      <c r="B153" s="1404"/>
      <c r="C153" s="1404"/>
      <c r="D153" s="1404"/>
      <c r="E153" s="1404"/>
      <c r="F153" s="1404"/>
      <c r="G153" s="1404"/>
      <c r="H153" s="1404"/>
      <c r="I153" s="1404"/>
      <c r="J153" s="1404"/>
      <c r="K153" s="1404"/>
      <c r="L153" s="1404"/>
      <c r="M153" s="1404"/>
      <c r="N153" s="1404"/>
      <c r="O153" s="1404"/>
      <c r="P153" s="1404"/>
      <c r="Q153" s="1404"/>
      <c r="R153" s="1404"/>
      <c r="S153" s="1404"/>
      <c r="T153" s="1404"/>
      <c r="U153" s="1404"/>
      <c r="V153" s="1404"/>
      <c r="W153" s="1404"/>
      <c r="X153" s="1404"/>
      <c r="Y153" s="1404"/>
      <c r="Z153" s="1404"/>
      <c r="AA153" s="1404"/>
      <c r="AB153" s="1404"/>
      <c r="AC153" s="1404"/>
      <c r="AD153" s="1404"/>
      <c r="AE153" s="1404"/>
      <c r="AF153" s="1404"/>
      <c r="AG153" s="1404"/>
      <c r="AH153" s="1404"/>
      <c r="AI153" s="1404"/>
      <c r="AJ153" s="1404"/>
      <c r="AK153" s="1404"/>
      <c r="AL153" s="1404"/>
      <c r="AM153" s="1404"/>
      <c r="AN153" s="1404"/>
      <c r="AO153" s="1404"/>
      <c r="AP153" s="1404"/>
      <c r="AQ153" s="1404"/>
      <c r="AR153" s="1404"/>
      <c r="AS153" s="1404"/>
      <c r="AT153" s="1404"/>
      <c r="AU153" s="1404"/>
      <c r="AV153" s="1404"/>
      <c r="AW153" s="1404"/>
      <c r="AX153" s="1404"/>
      <c r="AY153" s="1404"/>
      <c r="AZ153" s="1404"/>
      <c r="BA153" s="1404"/>
      <c r="BB153" s="1404"/>
      <c r="BC153" s="1404"/>
      <c r="BD153" s="1404"/>
      <c r="BE153" s="1404"/>
      <c r="BF153" s="1404"/>
      <c r="BG153" s="1404"/>
      <c r="BH153" s="1404"/>
      <c r="BI153" s="1404"/>
      <c r="BJ153" s="1404"/>
      <c r="BK153" s="1404"/>
      <c r="BL153" s="1404"/>
      <c r="BM153" s="1404"/>
      <c r="BN153" s="1404"/>
      <c r="BO153" s="1404"/>
      <c r="BP153" s="1404"/>
      <c r="BQ153" s="1404"/>
      <c r="BR153" s="1404"/>
      <c r="BS153" s="1404"/>
      <c r="BT153" s="1404"/>
      <c r="BU153" s="1404"/>
      <c r="BV153" s="1404"/>
      <c r="BW153" s="1404"/>
      <c r="BX153" s="1404"/>
      <c r="BY153" s="1404"/>
      <c r="BZ153" s="1404"/>
      <c r="CA153" s="652"/>
      <c r="CB153" s="657"/>
      <c r="CC153" s="657"/>
      <c r="CD153" s="657"/>
      <c r="CE153" s="657"/>
      <c r="CF153" s="657"/>
      <c r="CG153" s="657"/>
      <c r="CH153" s="657"/>
      <c r="CI153" s="657"/>
    </row>
    <row r="154" spans="1:87" s="252" customFormat="1" ht="23.25">
      <c r="A154" s="1510" t="s">
        <v>3120</v>
      </c>
      <c r="B154" s="1510"/>
      <c r="C154" s="1510"/>
      <c r="D154" s="1510"/>
      <c r="E154" s="1510"/>
      <c r="F154" s="1510"/>
      <c r="G154" s="1510"/>
      <c r="H154" s="1510"/>
      <c r="I154" s="1510"/>
      <c r="J154" s="1510"/>
      <c r="K154" s="1510"/>
      <c r="L154" s="1510"/>
      <c r="M154" s="1510"/>
      <c r="N154" s="1510"/>
      <c r="O154" s="1510"/>
      <c r="P154" s="1510"/>
      <c r="Q154" s="1510"/>
      <c r="R154" s="1510"/>
      <c r="S154" s="1510"/>
      <c r="T154" s="1510"/>
      <c r="U154" s="1510"/>
      <c r="V154" s="1510"/>
      <c r="W154" s="1510"/>
      <c r="X154" s="1510"/>
      <c r="Y154" s="1510"/>
      <c r="Z154" s="1510"/>
      <c r="AA154" s="1510"/>
      <c r="AB154" s="1510"/>
      <c r="AC154" s="1510"/>
      <c r="AD154" s="1510"/>
      <c r="AE154" s="1510"/>
      <c r="AF154" s="1510"/>
      <c r="AG154" s="1510"/>
      <c r="AH154" s="1510"/>
      <c r="AI154" s="1510"/>
      <c r="AJ154" s="1510"/>
      <c r="AK154" s="1510"/>
      <c r="AL154" s="1510"/>
      <c r="AM154" s="1510"/>
      <c r="AN154" s="1510"/>
      <c r="AO154" s="1510"/>
      <c r="AP154" s="1510"/>
      <c r="AQ154" s="1510"/>
      <c r="AR154" s="1510"/>
      <c r="AS154" s="1510"/>
      <c r="AT154" s="1510"/>
      <c r="AU154" s="1510"/>
      <c r="AV154" s="1510"/>
      <c r="AW154" s="1510"/>
      <c r="AX154" s="1510"/>
      <c r="AY154" s="1510"/>
      <c r="AZ154" s="1510"/>
      <c r="BA154" s="1510"/>
      <c r="BB154" s="1510"/>
      <c r="BC154" s="1510"/>
      <c r="BD154" s="1510"/>
      <c r="BE154" s="1510"/>
      <c r="BF154" s="1510"/>
      <c r="BG154" s="1510"/>
      <c r="BH154" s="1510"/>
      <c r="BI154" s="1510"/>
      <c r="BJ154" s="1510"/>
      <c r="BK154" s="1510"/>
      <c r="BL154" s="1510"/>
      <c r="BM154" s="1510"/>
      <c r="BN154" s="1510"/>
      <c r="BO154" s="1510"/>
      <c r="BP154" s="1510"/>
      <c r="BQ154" s="1510"/>
      <c r="BR154" s="1510"/>
      <c r="BS154" s="1510"/>
      <c r="BT154" s="1510"/>
      <c r="BU154" s="1510"/>
      <c r="BV154" s="1510"/>
      <c r="BW154" s="1510"/>
      <c r="BX154" s="1510"/>
      <c r="BY154" s="1510"/>
      <c r="BZ154" s="1510"/>
      <c r="CA154" s="643"/>
      <c r="CB154" s="644"/>
      <c r="CC154" s="644"/>
      <c r="CD154" s="644"/>
      <c r="CE154" s="644"/>
      <c r="CF154" s="644"/>
      <c r="CG154" s="644"/>
      <c r="CH154" s="644"/>
      <c r="CI154" s="644"/>
    </row>
    <row r="155" spans="1:87" s="252" customFormat="1" ht="9.9499999999999993" customHeight="1">
      <c r="A155" s="238"/>
      <c r="B155" s="285"/>
      <c r="C155" s="285"/>
      <c r="D155" s="285"/>
      <c r="E155" s="285"/>
      <c r="F155" s="285"/>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38"/>
      <c r="AV155" s="238"/>
      <c r="AW155" s="285"/>
      <c r="AX155" s="294"/>
      <c r="AY155" s="294"/>
      <c r="AZ155" s="294"/>
      <c r="BA155" s="294"/>
      <c r="BB155" s="294"/>
      <c r="BC155" s="294"/>
      <c r="BD155" s="294"/>
      <c r="BE155" s="294"/>
      <c r="BF155" s="294"/>
      <c r="BG155" s="294"/>
      <c r="BH155" s="294"/>
      <c r="BI155" s="294"/>
      <c r="BJ155" s="294"/>
      <c r="BK155" s="294"/>
      <c r="BL155" s="294"/>
      <c r="BM155" s="294"/>
      <c r="BN155" s="294"/>
      <c r="BO155" s="294"/>
      <c r="BP155" s="294"/>
      <c r="BQ155" s="294"/>
      <c r="BR155" s="294"/>
      <c r="BS155" s="294"/>
      <c r="BT155" s="294"/>
      <c r="BU155" s="294"/>
      <c r="BV155" s="294"/>
      <c r="BW155" s="1525" t="s">
        <v>85</v>
      </c>
      <c r="BX155" s="1525"/>
      <c r="BY155" s="1517">
        <v>1</v>
      </c>
      <c r="BZ155" s="1517"/>
      <c r="CA155" s="294"/>
    </row>
    <row r="156" spans="1:87" s="252" customFormat="1" ht="9.9499999999999993" customHeight="1">
      <c r="A156" s="238"/>
      <c r="B156" s="285"/>
      <c r="C156" s="285"/>
      <c r="D156" s="285"/>
      <c r="E156" s="285"/>
      <c r="F156" s="285"/>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38"/>
      <c r="AV156" s="238"/>
      <c r="AW156" s="285"/>
      <c r="AX156" s="294"/>
      <c r="AY156" s="294"/>
      <c r="AZ156" s="294"/>
      <c r="BA156" s="294"/>
      <c r="BB156" s="294"/>
      <c r="BC156" s="294"/>
      <c r="BD156" s="294"/>
      <c r="BE156" s="294"/>
      <c r="BF156" s="294"/>
      <c r="BG156" s="294"/>
      <c r="BH156" s="294"/>
      <c r="BI156" s="294"/>
      <c r="BJ156" s="294"/>
      <c r="BK156" s="294"/>
      <c r="BL156" s="294"/>
      <c r="BM156" s="294"/>
      <c r="BN156" s="294"/>
      <c r="BO156" s="294"/>
      <c r="BP156" s="294"/>
      <c r="BQ156" s="294"/>
      <c r="BR156" s="294"/>
      <c r="BS156" s="294"/>
      <c r="BT156" s="294"/>
      <c r="BU156" s="294"/>
      <c r="BV156" s="294"/>
      <c r="BW156" s="294"/>
      <c r="BX156" s="294"/>
      <c r="BY156" s="294"/>
      <c r="BZ156" s="294"/>
      <c r="CA156" s="294"/>
    </row>
    <row r="157" spans="1:87" s="252" customFormat="1" ht="12" customHeight="1">
      <c r="A157" s="1526" t="s">
        <v>84</v>
      </c>
      <c r="B157" s="1526"/>
      <c r="C157" s="1526"/>
      <c r="D157" s="1526"/>
      <c r="E157" s="1526"/>
      <c r="F157" s="1526"/>
      <c r="G157" s="1526"/>
      <c r="H157" s="1527" t="str">
        <f>CONCATENATE('01 使用承認申請書'!D106)</f>
        <v/>
      </c>
      <c r="I157" s="1527"/>
      <c r="J157" s="1527"/>
      <c r="K157" s="1527"/>
      <c r="L157" s="1527"/>
      <c r="M157" s="1527"/>
      <c r="N157" s="1527"/>
      <c r="O157" s="1527"/>
      <c r="P157" s="1527"/>
      <c r="Q157" s="1527"/>
      <c r="R157" s="1527"/>
      <c r="S157" s="1527"/>
      <c r="T157" s="1527"/>
      <c r="U157" s="1527"/>
      <c r="V157" s="1527"/>
      <c r="W157" s="1527"/>
      <c r="X157" s="1526" t="s">
        <v>82</v>
      </c>
      <c r="Y157" s="1526"/>
      <c r="Z157" s="1526"/>
      <c r="AA157" s="1526"/>
      <c r="AB157" s="1526"/>
      <c r="AC157" s="1526"/>
      <c r="AD157" s="1526"/>
      <c r="AE157" s="1518" t="str">
        <f>CONCATENATE('01 使用承認申請書'!B114)</f>
        <v/>
      </c>
      <c r="AF157" s="1518"/>
      <c r="AG157" s="1518"/>
      <c r="AH157" s="1518"/>
      <c r="AI157" s="1516" t="s">
        <v>16</v>
      </c>
      <c r="AJ157" s="1516"/>
      <c r="AK157" s="1518" t="str">
        <f>CONCATENATE('01 使用承認申請書'!C116)</f>
        <v/>
      </c>
      <c r="AL157" s="1518"/>
      <c r="AM157" s="1516" t="s">
        <v>15</v>
      </c>
      <c r="AN157" s="1516"/>
      <c r="AO157" s="1518" t="str">
        <f>CONCATENATE('01 使用承認申請書'!F116)</f>
        <v/>
      </c>
      <c r="AP157" s="1518"/>
      <c r="AQ157" s="1516" t="s">
        <v>14</v>
      </c>
      <c r="AR157" s="1516"/>
      <c r="AS157" s="1516" t="s">
        <v>38</v>
      </c>
      <c r="AT157" s="1516"/>
      <c r="AU157" s="1518" t="str">
        <f>CONCATENATE('01 使用承認申請書'!J116)</f>
        <v/>
      </c>
      <c r="AV157" s="1518"/>
      <c r="AW157" s="1516" t="s">
        <v>37</v>
      </c>
      <c r="AX157" s="1516"/>
      <c r="AY157" s="1516" t="s">
        <v>35</v>
      </c>
      <c r="AZ157" s="1516"/>
      <c r="BA157" s="1518" t="str">
        <f>CONCATENATE('01 使用承認申請書'!C118)</f>
        <v/>
      </c>
      <c r="BB157" s="1518"/>
      <c r="BC157" s="1516" t="s">
        <v>15</v>
      </c>
      <c r="BD157" s="1516"/>
      <c r="BE157" s="1518" t="str">
        <f>CONCATENATE('01 使用承認申請書'!F118)</f>
        <v/>
      </c>
      <c r="BF157" s="1518"/>
      <c r="BG157" s="1516" t="s">
        <v>14</v>
      </c>
      <c r="BH157" s="1516"/>
      <c r="BI157" s="1516" t="s">
        <v>38</v>
      </c>
      <c r="BJ157" s="1516"/>
      <c r="BK157" s="1518" t="str">
        <f>CONCATENATE('01 使用承認申請書'!J118)</f>
        <v/>
      </c>
      <c r="BL157" s="1518"/>
      <c r="BM157" s="1516" t="s">
        <v>37</v>
      </c>
      <c r="BN157" s="1516"/>
      <c r="BO157" s="1516"/>
      <c r="BP157" s="1520"/>
      <c r="BQ157" s="1516"/>
      <c r="BR157" s="1516"/>
      <c r="BS157" s="1524" t="str">
        <f>CONCATENATE('01 使用承認申請書'!L115)</f>
        <v/>
      </c>
      <c r="BT157" s="1524"/>
      <c r="BU157" s="1516" t="s">
        <v>46</v>
      </c>
      <c r="BV157" s="1516"/>
      <c r="BW157" s="1524" t="str">
        <f>CONCATENATE('01 使用承認申請書'!Q115)</f>
        <v/>
      </c>
      <c r="BX157" s="1524"/>
      <c r="BY157" s="1516" t="s">
        <v>14</v>
      </c>
      <c r="BZ157" s="1516"/>
      <c r="CA157" s="294"/>
    </row>
    <row r="158" spans="1:87" s="252" customFormat="1" ht="12" customHeight="1">
      <c r="A158" s="1162"/>
      <c r="B158" s="1162"/>
      <c r="C158" s="1162"/>
      <c r="D158" s="1162"/>
      <c r="E158" s="1162"/>
      <c r="F158" s="1162"/>
      <c r="G158" s="1162"/>
      <c r="H158" s="1528"/>
      <c r="I158" s="1528"/>
      <c r="J158" s="1528"/>
      <c r="K158" s="1528"/>
      <c r="L158" s="1528"/>
      <c r="M158" s="1528"/>
      <c r="N158" s="1528"/>
      <c r="O158" s="1528"/>
      <c r="P158" s="1528"/>
      <c r="Q158" s="1528"/>
      <c r="R158" s="1528"/>
      <c r="S158" s="1528"/>
      <c r="T158" s="1528"/>
      <c r="U158" s="1528"/>
      <c r="V158" s="1528"/>
      <c r="W158" s="1528"/>
      <c r="X158" s="1162"/>
      <c r="Y158" s="1162"/>
      <c r="Z158" s="1162"/>
      <c r="AA158" s="1162"/>
      <c r="AB158" s="1162"/>
      <c r="AC158" s="1162"/>
      <c r="AD158" s="1162"/>
      <c r="AE158" s="1519"/>
      <c r="AF158" s="1519"/>
      <c r="AG158" s="1519"/>
      <c r="AH158" s="1519"/>
      <c r="AI158" s="1517"/>
      <c r="AJ158" s="1517"/>
      <c r="AK158" s="1519"/>
      <c r="AL158" s="1519"/>
      <c r="AM158" s="1517"/>
      <c r="AN158" s="1517"/>
      <c r="AO158" s="1519"/>
      <c r="AP158" s="1519"/>
      <c r="AQ158" s="1517"/>
      <c r="AR158" s="1517"/>
      <c r="AS158" s="1517"/>
      <c r="AT158" s="1517"/>
      <c r="AU158" s="1519"/>
      <c r="AV158" s="1519"/>
      <c r="AW158" s="1517"/>
      <c r="AX158" s="1517"/>
      <c r="AY158" s="1517"/>
      <c r="AZ158" s="1517"/>
      <c r="BA158" s="1519"/>
      <c r="BB158" s="1519"/>
      <c r="BC158" s="1517"/>
      <c r="BD158" s="1517"/>
      <c r="BE158" s="1519"/>
      <c r="BF158" s="1519"/>
      <c r="BG158" s="1517"/>
      <c r="BH158" s="1517"/>
      <c r="BI158" s="1517"/>
      <c r="BJ158" s="1517"/>
      <c r="BK158" s="1519"/>
      <c r="BL158" s="1519"/>
      <c r="BM158" s="1517"/>
      <c r="BN158" s="1517"/>
      <c r="BO158" s="1291"/>
      <c r="BP158" s="1291"/>
      <c r="BQ158" s="1517"/>
      <c r="BR158" s="1517"/>
      <c r="BS158" s="1517" t="s">
        <v>47</v>
      </c>
      <c r="BT158" s="1517"/>
      <c r="BU158" s="1517"/>
      <c r="BV158" s="1517"/>
      <c r="BW158" s="1529" t="str">
        <f>CONCATENATE('01 使用承認申請書'!V115)</f>
        <v/>
      </c>
      <c r="BX158" s="1529"/>
      <c r="BY158" s="1517" t="s">
        <v>14</v>
      </c>
      <c r="BZ158" s="1517"/>
      <c r="CA158" s="294"/>
    </row>
    <row r="159" spans="1:87" s="252" customFormat="1" ht="12" customHeight="1">
      <c r="A159" s="744"/>
      <c r="B159" s="744"/>
      <c r="C159" s="744"/>
      <c r="D159" s="744"/>
      <c r="E159" s="744"/>
      <c r="F159" s="744"/>
      <c r="G159" s="744"/>
      <c r="H159" s="745"/>
      <c r="I159" s="745"/>
      <c r="J159" s="745"/>
      <c r="K159" s="745"/>
      <c r="L159" s="745"/>
      <c r="M159" s="745"/>
      <c r="N159" s="745"/>
      <c r="O159" s="745"/>
      <c r="P159" s="745"/>
      <c r="Q159" s="745"/>
      <c r="R159" s="745"/>
      <c r="S159" s="745"/>
      <c r="T159" s="745"/>
      <c r="U159" s="745"/>
      <c r="V159" s="745"/>
      <c r="W159" s="745"/>
      <c r="X159" s="744"/>
      <c r="Y159" s="744"/>
      <c r="Z159" s="744"/>
      <c r="AA159" s="744"/>
      <c r="AB159" s="744"/>
      <c r="AC159" s="744"/>
      <c r="AD159" s="744"/>
      <c r="AE159" s="741"/>
      <c r="AF159" s="741"/>
      <c r="AG159" s="742"/>
      <c r="AH159" s="648"/>
      <c r="AI159" s="746"/>
      <c r="AJ159" s="741"/>
      <c r="AK159" s="742"/>
      <c r="AL159" s="742"/>
      <c r="AM159" s="741"/>
      <c r="AN159" s="741"/>
      <c r="AO159" s="742"/>
      <c r="AP159" s="742"/>
      <c r="AQ159" s="741"/>
      <c r="AR159" s="741"/>
      <c r="AS159" s="741"/>
      <c r="AT159" s="741"/>
      <c r="AU159" s="742"/>
      <c r="AV159" s="742"/>
      <c r="AW159" s="741"/>
      <c r="AX159" s="741"/>
      <c r="AY159" s="741"/>
      <c r="AZ159" s="741"/>
      <c r="BA159" s="742"/>
      <c r="BB159" s="742"/>
      <c r="BC159" s="741"/>
      <c r="BD159" s="741"/>
      <c r="BE159" s="742"/>
      <c r="BF159" s="742"/>
      <c r="BG159" s="741"/>
      <c r="BH159" s="741"/>
      <c r="BI159" s="741"/>
      <c r="BJ159" s="741"/>
      <c r="BK159" s="742"/>
      <c r="BL159" s="742"/>
      <c r="BM159" s="741"/>
      <c r="BN159" s="741"/>
      <c r="BO159" s="743"/>
      <c r="BP159" s="743"/>
      <c r="BQ159" s="741"/>
      <c r="BR159" s="741"/>
      <c r="BS159" s="741"/>
      <c r="BT159" s="741"/>
      <c r="BU159" s="741"/>
      <c r="BV159" s="741"/>
      <c r="BW159" s="649"/>
      <c r="BX159" s="649"/>
      <c r="BY159" s="741"/>
      <c r="BZ159" s="741"/>
      <c r="CA159" s="294"/>
    </row>
    <row r="160" spans="1:87" ht="10.5" customHeight="1">
      <c r="A160" s="650"/>
      <c r="B160" s="650"/>
      <c r="C160" s="650"/>
      <c r="D160" s="650"/>
      <c r="E160" s="650"/>
      <c r="F160" s="650"/>
      <c r="G160" s="651"/>
      <c r="H160" s="650"/>
      <c r="I160" s="650"/>
      <c r="J160" s="650"/>
      <c r="K160" s="650"/>
      <c r="L160" s="650"/>
      <c r="M160" s="1505">
        <v>0.28125</v>
      </c>
      <c r="N160" s="1506"/>
      <c r="O160" s="1506"/>
      <c r="P160" s="1506"/>
      <c r="Q160" s="1507" t="s">
        <v>1901</v>
      </c>
      <c r="R160" s="1507"/>
      <c r="S160" s="1507"/>
      <c r="T160" s="1505">
        <v>0.36458333333333331</v>
      </c>
      <c r="U160" s="1506"/>
      <c r="V160" s="1506"/>
      <c r="W160" s="1506"/>
      <c r="X160" s="650"/>
      <c r="Y160" s="650"/>
      <c r="Z160" s="650"/>
      <c r="AA160" s="652"/>
      <c r="AB160" s="652"/>
      <c r="AC160" s="652"/>
      <c r="AD160" s="652"/>
      <c r="AE160" s="652"/>
      <c r="AF160" s="1505">
        <v>0.47916666666666669</v>
      </c>
      <c r="AG160" s="1506"/>
      <c r="AH160" s="1506"/>
      <c r="AI160" s="1506"/>
      <c r="AJ160" s="1507" t="s">
        <v>1901</v>
      </c>
      <c r="AK160" s="1507"/>
      <c r="AL160" s="1507"/>
      <c r="AM160" s="1505">
        <v>6.25E-2</v>
      </c>
      <c r="AN160" s="1506"/>
      <c r="AO160" s="1506"/>
      <c r="AP160" s="1506"/>
      <c r="AQ160" s="652"/>
      <c r="AR160" s="652"/>
      <c r="AS160" s="652"/>
      <c r="AT160" s="652"/>
      <c r="AU160" s="652"/>
      <c r="AV160" s="652"/>
      <c r="AW160" s="652"/>
      <c r="AX160" s="652"/>
      <c r="AY160" s="652"/>
      <c r="AZ160" s="652"/>
      <c r="BA160" s="1505">
        <v>0.20833333333333334</v>
      </c>
      <c r="BB160" s="1506"/>
      <c r="BC160" s="1506"/>
      <c r="BD160" s="1506"/>
      <c r="BE160" s="1507" t="s">
        <v>1901</v>
      </c>
      <c r="BF160" s="1507"/>
      <c r="BG160" s="1507"/>
      <c r="BH160" s="1507"/>
      <c r="BI160" s="1505">
        <v>0.29166666666666669</v>
      </c>
      <c r="BJ160" s="1506"/>
      <c r="BK160" s="1506"/>
      <c r="BL160" s="1506"/>
      <c r="BM160" s="652"/>
      <c r="BN160" s="652"/>
      <c r="BO160" s="652"/>
      <c r="BP160" s="652"/>
      <c r="BQ160" s="652"/>
      <c r="BR160" s="652"/>
      <c r="BS160" s="652"/>
      <c r="BT160" s="652"/>
      <c r="BU160" s="652"/>
      <c r="BV160" s="652"/>
      <c r="BW160" s="652"/>
      <c r="BX160" s="652"/>
      <c r="BY160" s="652"/>
      <c r="BZ160" s="652"/>
      <c r="CA160" s="652"/>
    </row>
    <row r="161" spans="1:87" ht="10.5" customHeight="1">
      <c r="A161" s="650"/>
      <c r="B161" s="650"/>
      <c r="C161" s="650"/>
      <c r="D161" s="650"/>
      <c r="E161" s="650"/>
      <c r="F161" s="650"/>
      <c r="G161" s="651"/>
      <c r="H161" s="650"/>
      <c r="I161" s="650"/>
      <c r="J161" s="650"/>
      <c r="K161" s="650"/>
      <c r="L161" s="650"/>
      <c r="M161" s="650"/>
      <c r="N161" s="650"/>
      <c r="O161" s="1491" t="s">
        <v>1837</v>
      </c>
      <c r="P161" s="1492"/>
      <c r="Q161" s="1492"/>
      <c r="R161" s="1492"/>
      <c r="S161" s="1492"/>
      <c r="T161" s="1493"/>
      <c r="U161" s="650"/>
      <c r="V161" s="650"/>
      <c r="W161" s="650"/>
      <c r="X161" s="650"/>
      <c r="Y161" s="650"/>
      <c r="Z161" s="650"/>
      <c r="AA161" s="652"/>
      <c r="AB161" s="652"/>
      <c r="AC161" s="652"/>
      <c r="AD161" s="652"/>
      <c r="AE161" s="652"/>
      <c r="AF161" s="654"/>
      <c r="AG161" s="654"/>
      <c r="AH161" s="1491" t="s">
        <v>1837</v>
      </c>
      <c r="AI161" s="1494"/>
      <c r="AJ161" s="1494"/>
      <c r="AK161" s="1494"/>
      <c r="AL161" s="1494"/>
      <c r="AM161" s="1494"/>
      <c r="AN161" s="1495"/>
      <c r="AO161" s="652"/>
      <c r="AP161" s="652"/>
      <c r="AQ161" s="652"/>
      <c r="AR161" s="652"/>
      <c r="AS161" s="652"/>
      <c r="AT161" s="652"/>
      <c r="AU161" s="652"/>
      <c r="AV161" s="652"/>
      <c r="AW161" s="652"/>
      <c r="AX161" s="652"/>
      <c r="AY161" s="652"/>
      <c r="AZ161" s="652"/>
      <c r="BA161" s="652"/>
      <c r="BB161" s="652"/>
      <c r="BC161" s="1496" t="s">
        <v>1837</v>
      </c>
      <c r="BD161" s="1494"/>
      <c r="BE161" s="1494"/>
      <c r="BF161" s="1494"/>
      <c r="BG161" s="1494"/>
      <c r="BH161" s="1494"/>
      <c r="BI161" s="1494"/>
      <c r="BJ161" s="1495"/>
      <c r="BK161" s="652"/>
      <c r="BL161" s="652"/>
      <c r="BM161" s="652"/>
      <c r="BN161" s="652"/>
      <c r="BO161" s="652"/>
      <c r="BP161" s="652"/>
      <c r="BQ161" s="652"/>
      <c r="BR161" s="652"/>
      <c r="BS161" s="652"/>
      <c r="BT161" s="652"/>
      <c r="BU161" s="652"/>
      <c r="BV161" s="652"/>
      <c r="BW161" s="652"/>
      <c r="BX161" s="652"/>
      <c r="BY161" s="652"/>
      <c r="BZ161" s="652"/>
      <c r="CA161" s="652"/>
    </row>
    <row r="162" spans="1:87" ht="10.5" customHeight="1">
      <c r="A162" s="1497" t="s">
        <v>80</v>
      </c>
      <c r="B162" s="1497"/>
      <c r="C162" s="1497"/>
      <c r="D162" s="1497" t="s">
        <v>79</v>
      </c>
      <c r="E162" s="1497"/>
      <c r="F162" s="1497"/>
      <c r="G162" s="651"/>
      <c r="H162" s="650"/>
      <c r="I162" s="650"/>
      <c r="J162" s="650"/>
      <c r="K162" s="650"/>
      <c r="L162" s="650"/>
      <c r="M162" s="650"/>
      <c r="N162" s="650"/>
      <c r="O162" s="650"/>
      <c r="P162" s="650"/>
      <c r="Q162" s="650"/>
      <c r="R162" s="650"/>
      <c r="S162" s="650"/>
      <c r="T162" s="650"/>
      <c r="U162" s="650"/>
      <c r="V162" s="650"/>
      <c r="W162" s="650"/>
      <c r="X162" s="650"/>
      <c r="Y162" s="650"/>
      <c r="Z162" s="650"/>
      <c r="AA162" s="652"/>
      <c r="AB162" s="652"/>
      <c r="AC162" s="652"/>
      <c r="AD162" s="652"/>
      <c r="AE162" s="652"/>
      <c r="AF162" s="654"/>
      <c r="AG162" s="654"/>
      <c r="AH162" s="655"/>
      <c r="AI162" s="1498" t="s">
        <v>1404</v>
      </c>
      <c r="AJ162" s="1498"/>
      <c r="AK162" s="1498"/>
      <c r="AL162" s="1498"/>
      <c r="AM162" s="1498"/>
      <c r="AN162" s="1498"/>
      <c r="AO162" s="1498"/>
      <c r="AP162" s="1498"/>
      <c r="AQ162" s="1498"/>
      <c r="AR162" s="1498"/>
      <c r="AS162" s="1498"/>
      <c r="AT162" s="1498"/>
      <c r="AU162" s="1498"/>
      <c r="AV162" s="1498"/>
      <c r="AW162" s="1498"/>
      <c r="AX162" s="1498"/>
      <c r="AY162" s="1499" t="s">
        <v>1405</v>
      </c>
      <c r="AZ162" s="1500"/>
      <c r="BA162" s="1500"/>
      <c r="BB162" s="1500"/>
      <c r="BC162" s="1500"/>
      <c r="BD162" s="1500"/>
      <c r="BE162" s="1500"/>
      <c r="BF162" s="1500"/>
      <c r="BG162" s="1500"/>
      <c r="BH162" s="1500"/>
      <c r="BI162" s="1500"/>
      <c r="BJ162" s="1500"/>
      <c r="BK162" s="1500"/>
      <c r="BL162" s="1500"/>
      <c r="BM162" s="1500"/>
      <c r="BN162" s="1500"/>
      <c r="BO162" s="1500"/>
      <c r="BP162" s="1500"/>
      <c r="BQ162" s="1500"/>
      <c r="BR162" s="1500"/>
      <c r="BS162" s="1500"/>
      <c r="BT162" s="1501"/>
      <c r="BU162" s="1502" t="s">
        <v>76</v>
      </c>
      <c r="BV162" s="1503"/>
      <c r="BW162" s="1503"/>
      <c r="BX162" s="1503"/>
      <c r="BY162" s="1503"/>
      <c r="BZ162" s="1504"/>
      <c r="CA162" s="652"/>
    </row>
    <row r="163" spans="1:87" ht="10.5" customHeight="1">
      <c r="A163" s="1497"/>
      <c r="B163" s="1497"/>
      <c r="C163" s="1497"/>
      <c r="D163" s="1497"/>
      <c r="E163" s="1497"/>
      <c r="F163" s="1497"/>
      <c r="G163" s="1461"/>
      <c r="H163" s="1461"/>
      <c r="I163" s="1391">
        <v>0.25</v>
      </c>
      <c r="J163" s="1391"/>
      <c r="K163" s="1391"/>
      <c r="L163" s="1391"/>
      <c r="M163" s="1391">
        <v>0.29166666666666669</v>
      </c>
      <c r="N163" s="1391"/>
      <c r="O163" s="1391"/>
      <c r="P163" s="1391"/>
      <c r="Q163" s="1391">
        <v>0.33333333333333331</v>
      </c>
      <c r="R163" s="1391"/>
      <c r="S163" s="1391"/>
      <c r="T163" s="1391"/>
      <c r="U163" s="1391">
        <v>0.375</v>
      </c>
      <c r="V163" s="1391"/>
      <c r="W163" s="1391"/>
      <c r="X163" s="1391"/>
      <c r="Y163" s="1391">
        <v>0.41666666666666669</v>
      </c>
      <c r="Z163" s="1418"/>
      <c r="AA163" s="1391"/>
      <c r="AB163" s="1391"/>
      <c r="AC163" s="1391">
        <v>0.45833333333333331</v>
      </c>
      <c r="AD163" s="1391"/>
      <c r="AE163" s="1391"/>
      <c r="AF163" s="1391"/>
      <c r="AG163" s="1385">
        <v>0.5</v>
      </c>
      <c r="AH163" s="1385"/>
      <c r="AI163" s="1385"/>
      <c r="AJ163" s="1385"/>
      <c r="AK163" s="1385">
        <v>4.1666666666666664E-2</v>
      </c>
      <c r="AL163" s="1385"/>
      <c r="AM163" s="1385"/>
      <c r="AN163" s="1385"/>
      <c r="AO163" s="1385">
        <v>8.3333333333333329E-2</v>
      </c>
      <c r="AP163" s="1385"/>
      <c r="AQ163" s="1385"/>
      <c r="AR163" s="1385"/>
      <c r="AS163" s="1385">
        <v>0.125</v>
      </c>
      <c r="AT163" s="1385"/>
      <c r="AU163" s="1385"/>
      <c r="AV163" s="1385"/>
      <c r="AW163" s="1385">
        <v>0.16666666666666666</v>
      </c>
      <c r="AX163" s="1385"/>
      <c r="AY163" s="1385"/>
      <c r="AZ163" s="1385"/>
      <c r="BA163" s="1385">
        <v>0.20833333333333334</v>
      </c>
      <c r="BB163" s="1385"/>
      <c r="BC163" s="1385"/>
      <c r="BD163" s="1385"/>
      <c r="BE163" s="1385">
        <v>0.25</v>
      </c>
      <c r="BF163" s="1385"/>
      <c r="BG163" s="1385"/>
      <c r="BH163" s="1385"/>
      <c r="BI163" s="1385">
        <v>0.29166666666666669</v>
      </c>
      <c r="BJ163" s="1385"/>
      <c r="BK163" s="1385"/>
      <c r="BL163" s="1385"/>
      <c r="BM163" s="1385">
        <v>0.33333333333333331</v>
      </c>
      <c r="BN163" s="1385"/>
      <c r="BO163" s="1385"/>
      <c r="BP163" s="1385"/>
      <c r="BQ163" s="1385">
        <v>0.375</v>
      </c>
      <c r="BR163" s="1385"/>
      <c r="BS163" s="1385"/>
      <c r="BT163" s="1385"/>
      <c r="BU163" s="1385">
        <v>0.41666666666666669</v>
      </c>
      <c r="BV163" s="1414"/>
      <c r="BW163" s="1414"/>
      <c r="BX163" s="1414"/>
      <c r="BY163" s="1385"/>
      <c r="BZ163" s="1385"/>
      <c r="CA163" s="656"/>
      <c r="CB163" s="657"/>
      <c r="CC163" s="657"/>
      <c r="CD163" s="657"/>
      <c r="CE163" s="657"/>
      <c r="CF163" s="657"/>
      <c r="CG163" s="657"/>
      <c r="CH163" s="657"/>
      <c r="CI163" s="657"/>
    </row>
    <row r="164" spans="1:87" ht="9.9499999999999993" customHeight="1">
      <c r="A164" s="1482" t="str">
        <f>AK157</f>
        <v/>
      </c>
      <c r="B164" s="1482"/>
      <c r="C164" s="1482"/>
      <c r="D164" s="1390" t="s">
        <v>78</v>
      </c>
      <c r="E164" s="1390"/>
      <c r="F164" s="1390"/>
      <c r="G164" s="1395" t="s">
        <v>3026</v>
      </c>
      <c r="H164" s="1396"/>
      <c r="I164" s="1396"/>
      <c r="J164" s="1396"/>
      <c r="K164" s="1396"/>
      <c r="L164" s="1396"/>
      <c r="M164" s="1396"/>
      <c r="N164" s="1396"/>
      <c r="O164" s="1396"/>
      <c r="P164" s="1396"/>
      <c r="Q164" s="1396"/>
      <c r="R164" s="1396"/>
      <c r="S164" s="1396"/>
      <c r="T164" s="1396"/>
      <c r="U164" s="1396"/>
      <c r="V164" s="1397"/>
      <c r="W164" s="658"/>
      <c r="X164" s="658"/>
      <c r="Y164" s="658"/>
      <c r="Z164" s="658"/>
      <c r="AA164" s="1464" t="s">
        <v>3027</v>
      </c>
      <c r="AB164" s="1464"/>
      <c r="AC164" s="1422" t="s">
        <v>3038</v>
      </c>
      <c r="AD164" s="1423"/>
      <c r="AE164" s="1423"/>
      <c r="AF164" s="1423"/>
      <c r="AG164" s="1423"/>
      <c r="AH164" s="1423"/>
      <c r="AI164" s="1423"/>
      <c r="AJ164" s="1423"/>
      <c r="AK164" s="1423"/>
      <c r="AL164" s="1423"/>
      <c r="AM164" s="1423"/>
      <c r="AN164" s="1423"/>
      <c r="AO164" s="1423"/>
      <c r="AP164" s="1423"/>
      <c r="AQ164" s="1423"/>
      <c r="AR164" s="1423"/>
      <c r="AS164" s="1423"/>
      <c r="AT164" s="1424"/>
      <c r="AU164" s="1423" t="s">
        <v>3049</v>
      </c>
      <c r="AV164" s="1423"/>
      <c r="AW164" s="1423"/>
      <c r="AX164" s="1424"/>
      <c r="AY164" s="1464" t="s">
        <v>3121</v>
      </c>
      <c r="AZ164" s="1464"/>
      <c r="BA164" s="1464"/>
      <c r="BB164" s="1464"/>
      <c r="BC164" s="1464" t="s">
        <v>3036</v>
      </c>
      <c r="BD164" s="1464"/>
      <c r="BE164" s="1464"/>
      <c r="BF164" s="1464"/>
      <c r="BG164" s="1465" t="s">
        <v>3016</v>
      </c>
      <c r="BH164" s="1465"/>
      <c r="BI164" s="1465"/>
      <c r="BJ164" s="1465"/>
      <c r="BK164" s="1464" t="s">
        <v>3014</v>
      </c>
      <c r="BL164" s="1464"/>
      <c r="BM164" s="1464"/>
      <c r="BN164" s="1464"/>
      <c r="BO164" s="1466" t="s">
        <v>3033</v>
      </c>
      <c r="BP164" s="1466"/>
      <c r="BQ164" s="1466"/>
      <c r="BR164" s="1466"/>
      <c r="BS164" s="1466" t="s">
        <v>3034</v>
      </c>
      <c r="BT164" s="1466"/>
      <c r="BU164" s="1464" t="s">
        <v>3028</v>
      </c>
      <c r="BV164" s="1464"/>
      <c r="BW164" s="1464"/>
      <c r="BX164" s="1464"/>
      <c r="BY164" s="1464"/>
      <c r="BZ164" s="1464"/>
      <c r="CA164" s="668"/>
      <c r="CB164" s="657"/>
      <c r="CC164" s="657"/>
      <c r="CD164" s="657"/>
      <c r="CE164" s="657"/>
      <c r="CF164" s="657"/>
      <c r="CG164" s="657"/>
      <c r="CH164" s="657"/>
      <c r="CI164" s="657"/>
    </row>
    <row r="165" spans="1:87" ht="9.9499999999999993" customHeight="1">
      <c r="A165" s="1482"/>
      <c r="B165" s="1482"/>
      <c r="C165" s="1482"/>
      <c r="D165" s="1390"/>
      <c r="E165" s="1390"/>
      <c r="F165" s="1390"/>
      <c r="G165" s="1398"/>
      <c r="H165" s="1399"/>
      <c r="I165" s="1399"/>
      <c r="J165" s="1399"/>
      <c r="K165" s="1399"/>
      <c r="L165" s="1399"/>
      <c r="M165" s="1399"/>
      <c r="N165" s="1399"/>
      <c r="O165" s="1399"/>
      <c r="P165" s="1399"/>
      <c r="Q165" s="1399"/>
      <c r="R165" s="1399"/>
      <c r="S165" s="1399"/>
      <c r="T165" s="1399"/>
      <c r="U165" s="1399"/>
      <c r="V165" s="1400"/>
      <c r="W165" s="669"/>
      <c r="X165" s="669"/>
      <c r="Y165" s="669"/>
      <c r="Z165" s="669"/>
      <c r="AA165" s="1464"/>
      <c r="AB165" s="1464"/>
      <c r="AC165" s="1425"/>
      <c r="AD165" s="1426"/>
      <c r="AE165" s="1426"/>
      <c r="AF165" s="1426"/>
      <c r="AG165" s="1426"/>
      <c r="AH165" s="1426"/>
      <c r="AI165" s="1426"/>
      <c r="AJ165" s="1426"/>
      <c r="AK165" s="1426"/>
      <c r="AL165" s="1426"/>
      <c r="AM165" s="1426"/>
      <c r="AN165" s="1426"/>
      <c r="AO165" s="1426"/>
      <c r="AP165" s="1426"/>
      <c r="AQ165" s="1426"/>
      <c r="AR165" s="1426"/>
      <c r="AS165" s="1426"/>
      <c r="AT165" s="1427"/>
      <c r="AU165" s="1426"/>
      <c r="AV165" s="1426"/>
      <c r="AW165" s="1426"/>
      <c r="AX165" s="1427"/>
      <c r="AY165" s="1464"/>
      <c r="AZ165" s="1464"/>
      <c r="BA165" s="1464"/>
      <c r="BB165" s="1464"/>
      <c r="BC165" s="1464"/>
      <c r="BD165" s="1464"/>
      <c r="BE165" s="1464"/>
      <c r="BF165" s="1464"/>
      <c r="BG165" s="1465"/>
      <c r="BH165" s="1465"/>
      <c r="BI165" s="1465"/>
      <c r="BJ165" s="1465"/>
      <c r="BK165" s="1464"/>
      <c r="BL165" s="1464"/>
      <c r="BM165" s="1464"/>
      <c r="BN165" s="1464"/>
      <c r="BO165" s="1466"/>
      <c r="BP165" s="1466"/>
      <c r="BQ165" s="1466"/>
      <c r="BR165" s="1466"/>
      <c r="BS165" s="1466"/>
      <c r="BT165" s="1466"/>
      <c r="BU165" s="1464"/>
      <c r="BV165" s="1464"/>
      <c r="BW165" s="1464"/>
      <c r="BX165" s="1464"/>
      <c r="BY165" s="1464"/>
      <c r="BZ165" s="1464"/>
      <c r="CA165" s="668"/>
      <c r="CB165" s="657"/>
      <c r="CC165" s="657"/>
      <c r="CD165" s="657"/>
      <c r="CE165" s="657"/>
      <c r="CF165" s="657"/>
      <c r="CG165" s="657"/>
      <c r="CH165" s="657"/>
      <c r="CI165" s="657"/>
    </row>
    <row r="166" spans="1:87" ht="9.9499999999999993" customHeight="1">
      <c r="A166" s="1483"/>
      <c r="B166" s="1483"/>
      <c r="C166" s="1483"/>
      <c r="D166" s="1390"/>
      <c r="E166" s="1390"/>
      <c r="F166" s="1390"/>
      <c r="G166" s="1398"/>
      <c r="H166" s="1399"/>
      <c r="I166" s="1399"/>
      <c r="J166" s="1399"/>
      <c r="K166" s="1399"/>
      <c r="L166" s="1399"/>
      <c r="M166" s="1399"/>
      <c r="N166" s="1399"/>
      <c r="O166" s="1399"/>
      <c r="P166" s="1399"/>
      <c r="Q166" s="1399"/>
      <c r="R166" s="1399"/>
      <c r="S166" s="1399"/>
      <c r="T166" s="1399"/>
      <c r="U166" s="1399"/>
      <c r="V166" s="1400"/>
      <c r="W166" s="669"/>
      <c r="X166" s="669"/>
      <c r="Y166" s="669"/>
      <c r="Z166" s="669"/>
      <c r="AA166" s="1464"/>
      <c r="AB166" s="1464"/>
      <c r="AC166" s="1425"/>
      <c r="AD166" s="1426"/>
      <c r="AE166" s="1426"/>
      <c r="AF166" s="1426"/>
      <c r="AG166" s="1426"/>
      <c r="AH166" s="1426"/>
      <c r="AI166" s="1426"/>
      <c r="AJ166" s="1426"/>
      <c r="AK166" s="1426"/>
      <c r="AL166" s="1426"/>
      <c r="AM166" s="1426"/>
      <c r="AN166" s="1426"/>
      <c r="AO166" s="1426"/>
      <c r="AP166" s="1426"/>
      <c r="AQ166" s="1426"/>
      <c r="AR166" s="1426"/>
      <c r="AS166" s="1426"/>
      <c r="AT166" s="1427"/>
      <c r="AU166" s="1426"/>
      <c r="AV166" s="1426"/>
      <c r="AW166" s="1426"/>
      <c r="AX166" s="1427"/>
      <c r="AY166" s="1464"/>
      <c r="AZ166" s="1464"/>
      <c r="BA166" s="1464"/>
      <c r="BB166" s="1464"/>
      <c r="BC166" s="1464"/>
      <c r="BD166" s="1464"/>
      <c r="BE166" s="1464"/>
      <c r="BF166" s="1464"/>
      <c r="BG166" s="1465"/>
      <c r="BH166" s="1465"/>
      <c r="BI166" s="1465"/>
      <c r="BJ166" s="1465"/>
      <c r="BK166" s="1464"/>
      <c r="BL166" s="1464"/>
      <c r="BM166" s="1464"/>
      <c r="BN166" s="1464"/>
      <c r="BO166" s="1466"/>
      <c r="BP166" s="1466"/>
      <c r="BQ166" s="1466"/>
      <c r="BR166" s="1466"/>
      <c r="BS166" s="1466"/>
      <c r="BT166" s="1466"/>
      <c r="BU166" s="1464"/>
      <c r="BV166" s="1464"/>
      <c r="BW166" s="1464"/>
      <c r="BX166" s="1464"/>
      <c r="BY166" s="1464"/>
      <c r="BZ166" s="1464"/>
      <c r="CA166" s="672"/>
      <c r="CB166" s="657"/>
      <c r="CC166" s="657"/>
      <c r="CD166" s="657"/>
      <c r="CE166" s="657"/>
      <c r="CF166" s="657"/>
      <c r="CG166" s="657"/>
      <c r="CH166" s="657"/>
      <c r="CI166" s="657"/>
    </row>
    <row r="167" spans="1:87" ht="9.9499999999999993" customHeight="1">
      <c r="A167" s="1389" t="s">
        <v>15</v>
      </c>
      <c r="B167" s="1389"/>
      <c r="C167" s="1389"/>
      <c r="D167" s="1390"/>
      <c r="E167" s="1390"/>
      <c r="F167" s="1390"/>
      <c r="G167" s="1398"/>
      <c r="H167" s="1399"/>
      <c r="I167" s="1399"/>
      <c r="J167" s="1399"/>
      <c r="K167" s="1399"/>
      <c r="L167" s="1399"/>
      <c r="M167" s="1399"/>
      <c r="N167" s="1399"/>
      <c r="O167" s="1399"/>
      <c r="P167" s="1399"/>
      <c r="Q167" s="1399"/>
      <c r="R167" s="1399"/>
      <c r="S167" s="1399"/>
      <c r="T167" s="1399"/>
      <c r="U167" s="1399"/>
      <c r="V167" s="1400"/>
      <c r="W167" s="669"/>
      <c r="X167" s="669"/>
      <c r="Y167" s="669"/>
      <c r="Z167" s="669"/>
      <c r="AA167" s="1464"/>
      <c r="AB167" s="1464"/>
      <c r="AC167" s="1425"/>
      <c r="AD167" s="1426"/>
      <c r="AE167" s="1426"/>
      <c r="AF167" s="1426"/>
      <c r="AG167" s="1426"/>
      <c r="AH167" s="1426"/>
      <c r="AI167" s="1426"/>
      <c r="AJ167" s="1426"/>
      <c r="AK167" s="1426"/>
      <c r="AL167" s="1426"/>
      <c r="AM167" s="1426"/>
      <c r="AN167" s="1426"/>
      <c r="AO167" s="1426"/>
      <c r="AP167" s="1426"/>
      <c r="AQ167" s="1426"/>
      <c r="AR167" s="1426"/>
      <c r="AS167" s="1426"/>
      <c r="AT167" s="1427"/>
      <c r="AU167" s="1426"/>
      <c r="AV167" s="1426"/>
      <c r="AW167" s="1426"/>
      <c r="AX167" s="1427"/>
      <c r="AY167" s="1464"/>
      <c r="AZ167" s="1464"/>
      <c r="BA167" s="1464"/>
      <c r="BB167" s="1464"/>
      <c r="BC167" s="1464"/>
      <c r="BD167" s="1464"/>
      <c r="BE167" s="1464"/>
      <c r="BF167" s="1464"/>
      <c r="BG167" s="1465"/>
      <c r="BH167" s="1465"/>
      <c r="BI167" s="1465"/>
      <c r="BJ167" s="1465"/>
      <c r="BK167" s="1464"/>
      <c r="BL167" s="1464"/>
      <c r="BM167" s="1464"/>
      <c r="BN167" s="1464"/>
      <c r="BO167" s="1466"/>
      <c r="BP167" s="1466"/>
      <c r="BQ167" s="1466"/>
      <c r="BR167" s="1466"/>
      <c r="BS167" s="1466"/>
      <c r="BT167" s="1466"/>
      <c r="BU167" s="1464"/>
      <c r="BV167" s="1464"/>
      <c r="BW167" s="1464"/>
      <c r="BX167" s="1464"/>
      <c r="BY167" s="1464"/>
      <c r="BZ167" s="1464"/>
      <c r="CA167" s="672"/>
      <c r="CB167" s="657"/>
      <c r="CC167" s="657"/>
      <c r="CD167" s="657"/>
      <c r="CE167" s="657"/>
      <c r="CF167" s="657"/>
      <c r="CG167" s="657"/>
      <c r="CH167" s="657"/>
      <c r="CI167" s="657"/>
    </row>
    <row r="168" spans="1:87" ht="9.9499999999999993" customHeight="1">
      <c r="A168" s="1390"/>
      <c r="B168" s="1390"/>
      <c r="C168" s="1390"/>
      <c r="D168" s="1390"/>
      <c r="E168" s="1390"/>
      <c r="F168" s="1390"/>
      <c r="G168" s="1398"/>
      <c r="H168" s="1399"/>
      <c r="I168" s="1399"/>
      <c r="J168" s="1399"/>
      <c r="K168" s="1399"/>
      <c r="L168" s="1399"/>
      <c r="M168" s="1399"/>
      <c r="N168" s="1399"/>
      <c r="O168" s="1399"/>
      <c r="P168" s="1399"/>
      <c r="Q168" s="1399"/>
      <c r="R168" s="1399"/>
      <c r="S168" s="1399"/>
      <c r="T168" s="1399"/>
      <c r="U168" s="1399"/>
      <c r="V168" s="1400"/>
      <c r="W168" s="669"/>
      <c r="X168" s="669"/>
      <c r="Y168" s="669"/>
      <c r="Z168" s="669"/>
      <c r="AA168" s="1464"/>
      <c r="AB168" s="1464"/>
      <c r="AC168" s="1425"/>
      <c r="AD168" s="1426"/>
      <c r="AE168" s="1426"/>
      <c r="AF168" s="1426"/>
      <c r="AG168" s="1426"/>
      <c r="AH168" s="1426"/>
      <c r="AI168" s="1426"/>
      <c r="AJ168" s="1426"/>
      <c r="AK168" s="1426"/>
      <c r="AL168" s="1426"/>
      <c r="AM168" s="1426"/>
      <c r="AN168" s="1426"/>
      <c r="AO168" s="1426"/>
      <c r="AP168" s="1426"/>
      <c r="AQ168" s="1426"/>
      <c r="AR168" s="1426"/>
      <c r="AS168" s="1426"/>
      <c r="AT168" s="1427"/>
      <c r="AU168" s="1426"/>
      <c r="AV168" s="1426"/>
      <c r="AW168" s="1426"/>
      <c r="AX168" s="1427"/>
      <c r="AY168" s="1464"/>
      <c r="AZ168" s="1464"/>
      <c r="BA168" s="1464"/>
      <c r="BB168" s="1464"/>
      <c r="BC168" s="1464"/>
      <c r="BD168" s="1464"/>
      <c r="BE168" s="1464"/>
      <c r="BF168" s="1464"/>
      <c r="BG168" s="1465"/>
      <c r="BH168" s="1465"/>
      <c r="BI168" s="1465"/>
      <c r="BJ168" s="1465"/>
      <c r="BK168" s="1464"/>
      <c r="BL168" s="1464"/>
      <c r="BM168" s="1464"/>
      <c r="BN168" s="1464"/>
      <c r="BO168" s="1466"/>
      <c r="BP168" s="1466"/>
      <c r="BQ168" s="1466"/>
      <c r="BR168" s="1466"/>
      <c r="BS168" s="1466"/>
      <c r="BT168" s="1466"/>
      <c r="BU168" s="1464"/>
      <c r="BV168" s="1464"/>
      <c r="BW168" s="1464"/>
      <c r="BX168" s="1464"/>
      <c r="BY168" s="1464"/>
      <c r="BZ168" s="1464"/>
      <c r="CA168" s="668"/>
      <c r="CB168" s="657"/>
      <c r="CC168" s="657"/>
      <c r="CD168" s="657"/>
      <c r="CE168" s="657"/>
      <c r="CF168" s="657"/>
      <c r="CG168" s="657"/>
      <c r="CH168" s="657"/>
      <c r="CI168" s="657"/>
    </row>
    <row r="169" spans="1:87" ht="9.9499999999999993" customHeight="1">
      <c r="A169" s="1484"/>
      <c r="B169" s="1484"/>
      <c r="C169" s="1484"/>
      <c r="D169" s="1390"/>
      <c r="E169" s="1390"/>
      <c r="F169" s="1390"/>
      <c r="G169" s="1398"/>
      <c r="H169" s="1399"/>
      <c r="I169" s="1399"/>
      <c r="J169" s="1399"/>
      <c r="K169" s="1399"/>
      <c r="L169" s="1399"/>
      <c r="M169" s="1399"/>
      <c r="N169" s="1399"/>
      <c r="O169" s="1399"/>
      <c r="P169" s="1399"/>
      <c r="Q169" s="1399"/>
      <c r="R169" s="1399"/>
      <c r="S169" s="1399"/>
      <c r="T169" s="1399"/>
      <c r="U169" s="1399"/>
      <c r="V169" s="1400"/>
      <c r="W169" s="669"/>
      <c r="X169" s="669"/>
      <c r="Y169" s="669"/>
      <c r="Z169" s="669"/>
      <c r="AA169" s="1464"/>
      <c r="AB169" s="1464"/>
      <c r="AC169" s="1425"/>
      <c r="AD169" s="1426"/>
      <c r="AE169" s="1426"/>
      <c r="AF169" s="1426"/>
      <c r="AG169" s="1426"/>
      <c r="AH169" s="1426"/>
      <c r="AI169" s="1426"/>
      <c r="AJ169" s="1426"/>
      <c r="AK169" s="1426"/>
      <c r="AL169" s="1426"/>
      <c r="AM169" s="1426"/>
      <c r="AN169" s="1426"/>
      <c r="AO169" s="1426"/>
      <c r="AP169" s="1426"/>
      <c r="AQ169" s="1426"/>
      <c r="AR169" s="1426"/>
      <c r="AS169" s="1426"/>
      <c r="AT169" s="1427"/>
      <c r="AU169" s="1426"/>
      <c r="AV169" s="1426"/>
      <c r="AW169" s="1426"/>
      <c r="AX169" s="1427"/>
      <c r="AY169" s="1464"/>
      <c r="AZ169" s="1464"/>
      <c r="BA169" s="1464"/>
      <c r="BB169" s="1464"/>
      <c r="BC169" s="1464"/>
      <c r="BD169" s="1464"/>
      <c r="BE169" s="1464"/>
      <c r="BF169" s="1464"/>
      <c r="BG169" s="1465"/>
      <c r="BH169" s="1465"/>
      <c r="BI169" s="1465"/>
      <c r="BJ169" s="1465"/>
      <c r="BK169" s="1464"/>
      <c r="BL169" s="1464"/>
      <c r="BM169" s="1464"/>
      <c r="BN169" s="1464"/>
      <c r="BO169" s="1466"/>
      <c r="BP169" s="1466"/>
      <c r="BQ169" s="1466"/>
      <c r="BR169" s="1466"/>
      <c r="BS169" s="1466"/>
      <c r="BT169" s="1466"/>
      <c r="BU169" s="1464"/>
      <c r="BV169" s="1464"/>
      <c r="BW169" s="1464"/>
      <c r="BX169" s="1464"/>
      <c r="BY169" s="1464"/>
      <c r="BZ169" s="1464"/>
      <c r="CA169" s="668"/>
      <c r="CB169" s="657"/>
      <c r="CC169" s="657"/>
      <c r="CD169" s="657"/>
      <c r="CE169" s="657"/>
      <c r="CF169" s="657"/>
      <c r="CG169" s="657"/>
      <c r="CH169" s="657"/>
      <c r="CI169" s="657"/>
    </row>
    <row r="170" spans="1:87" ht="9.9499999999999993" customHeight="1">
      <c r="A170" s="1485" t="str">
        <f>AO157</f>
        <v/>
      </c>
      <c r="B170" s="1485"/>
      <c r="C170" s="1485"/>
      <c r="D170" s="1390"/>
      <c r="E170" s="1390"/>
      <c r="F170" s="1390"/>
      <c r="G170" s="1398"/>
      <c r="H170" s="1399"/>
      <c r="I170" s="1399"/>
      <c r="J170" s="1399"/>
      <c r="K170" s="1399"/>
      <c r="L170" s="1399"/>
      <c r="M170" s="1399"/>
      <c r="N170" s="1399"/>
      <c r="O170" s="1399"/>
      <c r="P170" s="1399"/>
      <c r="Q170" s="1399"/>
      <c r="R170" s="1399"/>
      <c r="S170" s="1399"/>
      <c r="T170" s="1399"/>
      <c r="U170" s="1399"/>
      <c r="V170" s="1400"/>
      <c r="W170" s="669"/>
      <c r="X170" s="669"/>
      <c r="Y170" s="669"/>
      <c r="Z170" s="669"/>
      <c r="AA170" s="1464"/>
      <c r="AB170" s="1464"/>
      <c r="AC170" s="1425"/>
      <c r="AD170" s="1426"/>
      <c r="AE170" s="1426"/>
      <c r="AF170" s="1426"/>
      <c r="AG170" s="1426"/>
      <c r="AH170" s="1426"/>
      <c r="AI170" s="1426"/>
      <c r="AJ170" s="1426"/>
      <c r="AK170" s="1426"/>
      <c r="AL170" s="1426"/>
      <c r="AM170" s="1426"/>
      <c r="AN170" s="1426"/>
      <c r="AO170" s="1426"/>
      <c r="AP170" s="1426"/>
      <c r="AQ170" s="1426"/>
      <c r="AR170" s="1426"/>
      <c r="AS170" s="1426"/>
      <c r="AT170" s="1427"/>
      <c r="AU170" s="1426"/>
      <c r="AV170" s="1426"/>
      <c r="AW170" s="1426"/>
      <c r="AX170" s="1427"/>
      <c r="AY170" s="1464"/>
      <c r="AZ170" s="1464"/>
      <c r="BA170" s="1464"/>
      <c r="BB170" s="1464"/>
      <c r="BC170" s="1464"/>
      <c r="BD170" s="1464"/>
      <c r="BE170" s="1464"/>
      <c r="BF170" s="1464"/>
      <c r="BG170" s="1465"/>
      <c r="BH170" s="1465"/>
      <c r="BI170" s="1465"/>
      <c r="BJ170" s="1465"/>
      <c r="BK170" s="1464"/>
      <c r="BL170" s="1464"/>
      <c r="BM170" s="1464"/>
      <c r="BN170" s="1464"/>
      <c r="BO170" s="1466"/>
      <c r="BP170" s="1466"/>
      <c r="BQ170" s="1466"/>
      <c r="BR170" s="1466"/>
      <c r="BS170" s="1466"/>
      <c r="BT170" s="1466"/>
      <c r="BU170" s="1464"/>
      <c r="BV170" s="1464"/>
      <c r="BW170" s="1464"/>
      <c r="BX170" s="1464"/>
      <c r="BY170" s="1464"/>
      <c r="BZ170" s="1464"/>
      <c r="CA170" s="668"/>
      <c r="CB170" s="657"/>
      <c r="CC170" s="657"/>
      <c r="CD170" s="657"/>
      <c r="CE170" s="657"/>
      <c r="CF170" s="657"/>
      <c r="CG170" s="657"/>
      <c r="CH170" s="657"/>
      <c r="CI170" s="657"/>
    </row>
    <row r="171" spans="1:87" ht="9.9499999999999993" customHeight="1">
      <c r="A171" s="1482"/>
      <c r="B171" s="1482"/>
      <c r="C171" s="1482"/>
      <c r="D171" s="1390"/>
      <c r="E171" s="1390"/>
      <c r="F171" s="1390"/>
      <c r="G171" s="1398"/>
      <c r="H171" s="1399"/>
      <c r="I171" s="1399"/>
      <c r="J171" s="1399"/>
      <c r="K171" s="1399"/>
      <c r="L171" s="1399"/>
      <c r="M171" s="1399"/>
      <c r="N171" s="1399"/>
      <c r="O171" s="1399"/>
      <c r="P171" s="1399"/>
      <c r="Q171" s="1399"/>
      <c r="R171" s="1399"/>
      <c r="S171" s="1399"/>
      <c r="T171" s="1399"/>
      <c r="U171" s="1399"/>
      <c r="V171" s="1400"/>
      <c r="W171" s="673"/>
      <c r="X171" s="673"/>
      <c r="Y171" s="673"/>
      <c r="Z171" s="673"/>
      <c r="AA171" s="1464"/>
      <c r="AB171" s="1464"/>
      <c r="AC171" s="1428"/>
      <c r="AD171" s="1429"/>
      <c r="AE171" s="1429"/>
      <c r="AF171" s="1429"/>
      <c r="AG171" s="1429"/>
      <c r="AH171" s="1429"/>
      <c r="AI171" s="1429"/>
      <c r="AJ171" s="1429"/>
      <c r="AK171" s="1429"/>
      <c r="AL171" s="1429"/>
      <c r="AM171" s="1429"/>
      <c r="AN171" s="1429"/>
      <c r="AO171" s="1429"/>
      <c r="AP171" s="1429"/>
      <c r="AQ171" s="1429"/>
      <c r="AR171" s="1429"/>
      <c r="AS171" s="1429"/>
      <c r="AT171" s="1430"/>
      <c r="AU171" s="1429"/>
      <c r="AV171" s="1429"/>
      <c r="AW171" s="1429"/>
      <c r="AX171" s="1430"/>
      <c r="AY171" s="1464"/>
      <c r="AZ171" s="1464"/>
      <c r="BA171" s="1464"/>
      <c r="BB171" s="1464"/>
      <c r="BC171" s="1464"/>
      <c r="BD171" s="1464"/>
      <c r="BE171" s="1464"/>
      <c r="BF171" s="1464"/>
      <c r="BG171" s="1465"/>
      <c r="BH171" s="1465"/>
      <c r="BI171" s="1465"/>
      <c r="BJ171" s="1465"/>
      <c r="BK171" s="1464"/>
      <c r="BL171" s="1464"/>
      <c r="BM171" s="1464"/>
      <c r="BN171" s="1464"/>
      <c r="BO171" s="1466"/>
      <c r="BP171" s="1466"/>
      <c r="BQ171" s="1466"/>
      <c r="BR171" s="1466"/>
      <c r="BS171" s="1466"/>
      <c r="BT171" s="1466"/>
      <c r="BU171" s="1464"/>
      <c r="BV171" s="1464"/>
      <c r="BW171" s="1464"/>
      <c r="BX171" s="1464"/>
      <c r="BY171" s="1464"/>
      <c r="BZ171" s="1464"/>
      <c r="CA171" s="679"/>
      <c r="CB171" s="657"/>
      <c r="CC171" s="657"/>
      <c r="CD171" s="657"/>
      <c r="CE171" s="657"/>
      <c r="CF171" s="657"/>
      <c r="CG171" s="657"/>
      <c r="CH171" s="657"/>
      <c r="CI171" s="657"/>
    </row>
    <row r="172" spans="1:87" ht="9.9499999999999993" customHeight="1">
      <c r="A172" s="1483"/>
      <c r="B172" s="1483"/>
      <c r="C172" s="1483"/>
      <c r="D172" s="1390" t="s">
        <v>77</v>
      </c>
      <c r="E172" s="1390"/>
      <c r="F172" s="1390"/>
      <c r="G172" s="1398"/>
      <c r="H172" s="1399"/>
      <c r="I172" s="1399"/>
      <c r="J172" s="1399"/>
      <c r="K172" s="1399"/>
      <c r="L172" s="1399"/>
      <c r="M172" s="1399"/>
      <c r="N172" s="1399"/>
      <c r="O172" s="1399"/>
      <c r="P172" s="1399"/>
      <c r="Q172" s="1399"/>
      <c r="R172" s="1399"/>
      <c r="S172" s="1399"/>
      <c r="T172" s="1399"/>
      <c r="U172" s="1399"/>
      <c r="V172" s="1400"/>
      <c r="W172" s="669"/>
      <c r="X172" s="669"/>
      <c r="Y172" s="669"/>
      <c r="Z172" s="669"/>
      <c r="AA172" s="1464"/>
      <c r="AB172" s="1464"/>
      <c r="AC172" s="1489" t="s">
        <v>3032</v>
      </c>
      <c r="AD172" s="1489"/>
      <c r="AE172" s="1489"/>
      <c r="AF172" s="1489"/>
      <c r="AG172" s="1489"/>
      <c r="AH172" s="1489"/>
      <c r="AI172" s="1489"/>
      <c r="AJ172" s="1489"/>
      <c r="AK172" s="1422" t="s">
        <v>3074</v>
      </c>
      <c r="AL172" s="1423"/>
      <c r="AM172" s="1423"/>
      <c r="AN172" s="1424"/>
      <c r="AO172" s="1490" t="s">
        <v>3075</v>
      </c>
      <c r="AP172" s="1443"/>
      <c r="AQ172" s="1443"/>
      <c r="AR172" s="1443"/>
      <c r="AS172" s="1443"/>
      <c r="AT172" s="1443"/>
      <c r="AU172" s="1443"/>
      <c r="AV172" s="1443"/>
      <c r="AW172" s="1443"/>
      <c r="AX172" s="1444"/>
      <c r="AY172" s="1464"/>
      <c r="AZ172" s="1464"/>
      <c r="BA172" s="1464"/>
      <c r="BB172" s="1464"/>
      <c r="BC172" s="1464"/>
      <c r="BD172" s="1464"/>
      <c r="BE172" s="1464"/>
      <c r="BF172" s="1464"/>
      <c r="BG172" s="1465"/>
      <c r="BH172" s="1465"/>
      <c r="BI172" s="1465"/>
      <c r="BJ172" s="1465"/>
      <c r="BK172" s="1464"/>
      <c r="BL172" s="1464"/>
      <c r="BM172" s="1464"/>
      <c r="BN172" s="1464"/>
      <c r="BO172" s="1466"/>
      <c r="BP172" s="1466"/>
      <c r="BQ172" s="1466"/>
      <c r="BR172" s="1466"/>
      <c r="BS172" s="1466"/>
      <c r="BT172" s="1466"/>
      <c r="BU172" s="1464"/>
      <c r="BV172" s="1464"/>
      <c r="BW172" s="1464"/>
      <c r="BX172" s="1464"/>
      <c r="BY172" s="1464"/>
      <c r="BZ172" s="1464"/>
      <c r="CA172" s="668"/>
      <c r="CB172" s="657"/>
      <c r="CC172" s="657"/>
      <c r="CD172" s="657"/>
      <c r="CE172" s="657"/>
      <c r="CF172" s="657"/>
      <c r="CG172" s="657"/>
      <c r="CH172" s="657"/>
      <c r="CI172" s="657"/>
    </row>
    <row r="173" spans="1:87" ht="9.9499999999999993" customHeight="1">
      <c r="A173" s="1468" t="s">
        <v>14</v>
      </c>
      <c r="B173" s="1468"/>
      <c r="C173" s="1468"/>
      <c r="D173" s="1390"/>
      <c r="E173" s="1390"/>
      <c r="F173" s="1390"/>
      <c r="G173" s="1398"/>
      <c r="H173" s="1399"/>
      <c r="I173" s="1399"/>
      <c r="J173" s="1399"/>
      <c r="K173" s="1399"/>
      <c r="L173" s="1399"/>
      <c r="M173" s="1399"/>
      <c r="N173" s="1399"/>
      <c r="O173" s="1399"/>
      <c r="P173" s="1399"/>
      <c r="Q173" s="1399"/>
      <c r="R173" s="1399"/>
      <c r="S173" s="1399"/>
      <c r="T173" s="1399"/>
      <c r="U173" s="1399"/>
      <c r="V173" s="1400"/>
      <c r="W173" s="669"/>
      <c r="X173" s="669"/>
      <c r="Y173" s="669"/>
      <c r="Z173" s="669"/>
      <c r="AA173" s="1464"/>
      <c r="AB173" s="1464"/>
      <c r="AC173" s="1489"/>
      <c r="AD173" s="1489"/>
      <c r="AE173" s="1489"/>
      <c r="AF173" s="1489"/>
      <c r="AG173" s="1489"/>
      <c r="AH173" s="1489"/>
      <c r="AI173" s="1489"/>
      <c r="AJ173" s="1489"/>
      <c r="AK173" s="1425"/>
      <c r="AL173" s="1426"/>
      <c r="AM173" s="1426"/>
      <c r="AN173" s="1427"/>
      <c r="AO173" s="1445"/>
      <c r="AP173" s="1446"/>
      <c r="AQ173" s="1446"/>
      <c r="AR173" s="1446"/>
      <c r="AS173" s="1446"/>
      <c r="AT173" s="1446"/>
      <c r="AU173" s="1446"/>
      <c r="AV173" s="1446"/>
      <c r="AW173" s="1446"/>
      <c r="AX173" s="1447"/>
      <c r="AY173" s="1464"/>
      <c r="AZ173" s="1464"/>
      <c r="BA173" s="1464"/>
      <c r="BB173" s="1464"/>
      <c r="BC173" s="1464"/>
      <c r="BD173" s="1464"/>
      <c r="BE173" s="1464"/>
      <c r="BF173" s="1464"/>
      <c r="BG173" s="1465"/>
      <c r="BH173" s="1465"/>
      <c r="BI173" s="1465"/>
      <c r="BJ173" s="1465"/>
      <c r="BK173" s="1464"/>
      <c r="BL173" s="1464"/>
      <c r="BM173" s="1464"/>
      <c r="BN173" s="1464"/>
      <c r="BO173" s="1466"/>
      <c r="BP173" s="1466"/>
      <c r="BQ173" s="1466"/>
      <c r="BR173" s="1466"/>
      <c r="BS173" s="1466"/>
      <c r="BT173" s="1466"/>
      <c r="BU173" s="1464"/>
      <c r="BV173" s="1464"/>
      <c r="BW173" s="1464"/>
      <c r="BX173" s="1464"/>
      <c r="BY173" s="1464"/>
      <c r="BZ173" s="1464"/>
      <c r="CA173" s="668"/>
      <c r="CB173" s="657"/>
      <c r="CC173" s="657"/>
      <c r="CD173" s="657"/>
      <c r="CE173" s="657"/>
      <c r="CF173" s="657"/>
      <c r="CG173" s="657"/>
      <c r="CH173" s="657"/>
      <c r="CI173" s="657"/>
    </row>
    <row r="174" spans="1:87" ht="9.9499999999999993" customHeight="1">
      <c r="A174" s="1415"/>
      <c r="B174" s="1415"/>
      <c r="C174" s="1415"/>
      <c r="D174" s="1390"/>
      <c r="E174" s="1390"/>
      <c r="F174" s="1390"/>
      <c r="G174" s="1398"/>
      <c r="H174" s="1399"/>
      <c r="I174" s="1399"/>
      <c r="J174" s="1399"/>
      <c r="K174" s="1399"/>
      <c r="L174" s="1399"/>
      <c r="M174" s="1399"/>
      <c r="N174" s="1399"/>
      <c r="O174" s="1399"/>
      <c r="P174" s="1399"/>
      <c r="Q174" s="1399"/>
      <c r="R174" s="1399"/>
      <c r="S174" s="1399"/>
      <c r="T174" s="1399"/>
      <c r="U174" s="1399"/>
      <c r="V174" s="1400"/>
      <c r="W174" s="669"/>
      <c r="X174" s="669"/>
      <c r="Y174" s="669"/>
      <c r="Z174" s="669"/>
      <c r="AA174" s="1464"/>
      <c r="AB174" s="1464"/>
      <c r="AC174" s="1489"/>
      <c r="AD174" s="1489"/>
      <c r="AE174" s="1489"/>
      <c r="AF174" s="1489"/>
      <c r="AG174" s="1489"/>
      <c r="AH174" s="1489"/>
      <c r="AI174" s="1489"/>
      <c r="AJ174" s="1489"/>
      <c r="AK174" s="1425"/>
      <c r="AL174" s="1426"/>
      <c r="AM174" s="1426"/>
      <c r="AN174" s="1427"/>
      <c r="AO174" s="1445"/>
      <c r="AP174" s="1446"/>
      <c r="AQ174" s="1446"/>
      <c r="AR174" s="1446"/>
      <c r="AS174" s="1446"/>
      <c r="AT174" s="1446"/>
      <c r="AU174" s="1446"/>
      <c r="AV174" s="1446"/>
      <c r="AW174" s="1446"/>
      <c r="AX174" s="1447"/>
      <c r="AY174" s="1464"/>
      <c r="AZ174" s="1464"/>
      <c r="BA174" s="1464"/>
      <c r="BB174" s="1464"/>
      <c r="BC174" s="1464"/>
      <c r="BD174" s="1464"/>
      <c r="BE174" s="1464"/>
      <c r="BF174" s="1464"/>
      <c r="BG174" s="1465"/>
      <c r="BH174" s="1465"/>
      <c r="BI174" s="1465"/>
      <c r="BJ174" s="1465"/>
      <c r="BK174" s="1464"/>
      <c r="BL174" s="1464"/>
      <c r="BM174" s="1464"/>
      <c r="BN174" s="1464"/>
      <c r="BO174" s="1466"/>
      <c r="BP174" s="1466"/>
      <c r="BQ174" s="1466"/>
      <c r="BR174" s="1466"/>
      <c r="BS174" s="1466"/>
      <c r="BT174" s="1466"/>
      <c r="BU174" s="1464"/>
      <c r="BV174" s="1464"/>
      <c r="BW174" s="1464"/>
      <c r="BX174" s="1464"/>
      <c r="BY174" s="1464"/>
      <c r="BZ174" s="1464"/>
      <c r="CA174" s="672"/>
      <c r="CB174" s="657"/>
      <c r="CC174" s="657"/>
      <c r="CD174" s="657"/>
      <c r="CE174" s="657"/>
      <c r="CF174" s="657"/>
      <c r="CG174" s="657"/>
      <c r="CH174" s="657"/>
      <c r="CI174" s="657"/>
    </row>
    <row r="175" spans="1:87" ht="9.9499999999999993" customHeight="1">
      <c r="A175" s="1469"/>
      <c r="B175" s="1469"/>
      <c r="C175" s="1469"/>
      <c r="D175" s="1390"/>
      <c r="E175" s="1390"/>
      <c r="F175" s="1390"/>
      <c r="G175" s="1398"/>
      <c r="H175" s="1399"/>
      <c r="I175" s="1399"/>
      <c r="J175" s="1399"/>
      <c r="K175" s="1399"/>
      <c r="L175" s="1399"/>
      <c r="M175" s="1399"/>
      <c r="N175" s="1399"/>
      <c r="O175" s="1399"/>
      <c r="P175" s="1399"/>
      <c r="Q175" s="1399"/>
      <c r="R175" s="1399"/>
      <c r="S175" s="1399"/>
      <c r="T175" s="1399"/>
      <c r="U175" s="1399"/>
      <c r="V175" s="1400"/>
      <c r="W175" s="669"/>
      <c r="X175" s="669"/>
      <c r="Y175" s="669"/>
      <c r="Z175" s="669"/>
      <c r="AA175" s="1464"/>
      <c r="AB175" s="1464"/>
      <c r="AC175" s="1489"/>
      <c r="AD175" s="1489"/>
      <c r="AE175" s="1489"/>
      <c r="AF175" s="1489"/>
      <c r="AG175" s="1489"/>
      <c r="AH175" s="1489"/>
      <c r="AI175" s="1489"/>
      <c r="AJ175" s="1489"/>
      <c r="AK175" s="1425"/>
      <c r="AL175" s="1426"/>
      <c r="AM175" s="1426"/>
      <c r="AN175" s="1427"/>
      <c r="AO175" s="1445"/>
      <c r="AP175" s="1446"/>
      <c r="AQ175" s="1446"/>
      <c r="AR175" s="1446"/>
      <c r="AS175" s="1446"/>
      <c r="AT175" s="1446"/>
      <c r="AU175" s="1446"/>
      <c r="AV175" s="1446"/>
      <c r="AW175" s="1446"/>
      <c r="AX175" s="1447"/>
      <c r="AY175" s="1464"/>
      <c r="AZ175" s="1464"/>
      <c r="BA175" s="1464"/>
      <c r="BB175" s="1464"/>
      <c r="BC175" s="1464"/>
      <c r="BD175" s="1464"/>
      <c r="BE175" s="1464"/>
      <c r="BF175" s="1464"/>
      <c r="BG175" s="1465"/>
      <c r="BH175" s="1465"/>
      <c r="BI175" s="1465"/>
      <c r="BJ175" s="1465"/>
      <c r="BK175" s="1464"/>
      <c r="BL175" s="1464"/>
      <c r="BM175" s="1464"/>
      <c r="BN175" s="1464"/>
      <c r="BO175" s="1466"/>
      <c r="BP175" s="1466"/>
      <c r="BQ175" s="1466"/>
      <c r="BR175" s="1466"/>
      <c r="BS175" s="1466"/>
      <c r="BT175" s="1466"/>
      <c r="BU175" s="1464"/>
      <c r="BV175" s="1464"/>
      <c r="BW175" s="1464"/>
      <c r="BX175" s="1464"/>
      <c r="BY175" s="1464"/>
      <c r="BZ175" s="1464"/>
      <c r="CA175" s="672"/>
      <c r="CB175" s="657"/>
      <c r="CC175" s="657"/>
      <c r="CD175" s="657"/>
      <c r="CE175" s="657"/>
      <c r="CF175" s="657"/>
      <c r="CG175" s="657"/>
      <c r="CH175" s="657"/>
      <c r="CI175" s="657"/>
    </row>
    <row r="176" spans="1:87" ht="9.9499999999999993" customHeight="1">
      <c r="A176" s="1473" t="s">
        <v>38</v>
      </c>
      <c r="B176" s="1473"/>
      <c r="C176" s="1473"/>
      <c r="D176" s="1390"/>
      <c r="E176" s="1390"/>
      <c r="F176" s="1390"/>
      <c r="G176" s="1398"/>
      <c r="H176" s="1399"/>
      <c r="I176" s="1399"/>
      <c r="J176" s="1399"/>
      <c r="K176" s="1399"/>
      <c r="L176" s="1399"/>
      <c r="M176" s="1399"/>
      <c r="N176" s="1399"/>
      <c r="O176" s="1399"/>
      <c r="P176" s="1399"/>
      <c r="Q176" s="1399"/>
      <c r="R176" s="1399"/>
      <c r="S176" s="1399"/>
      <c r="T176" s="1399"/>
      <c r="U176" s="1399"/>
      <c r="V176" s="1400"/>
      <c r="W176" s="669"/>
      <c r="X176" s="669"/>
      <c r="Y176" s="669"/>
      <c r="Z176" s="669"/>
      <c r="AA176" s="1464"/>
      <c r="AB176" s="1464"/>
      <c r="AC176" s="1489"/>
      <c r="AD176" s="1489"/>
      <c r="AE176" s="1489"/>
      <c r="AF176" s="1489"/>
      <c r="AG176" s="1489"/>
      <c r="AH176" s="1489"/>
      <c r="AI176" s="1489"/>
      <c r="AJ176" s="1489"/>
      <c r="AK176" s="1425"/>
      <c r="AL176" s="1426"/>
      <c r="AM176" s="1426"/>
      <c r="AN176" s="1427"/>
      <c r="AO176" s="1445"/>
      <c r="AP176" s="1446"/>
      <c r="AQ176" s="1446"/>
      <c r="AR176" s="1446"/>
      <c r="AS176" s="1446"/>
      <c r="AT176" s="1446"/>
      <c r="AU176" s="1446"/>
      <c r="AV176" s="1446"/>
      <c r="AW176" s="1446"/>
      <c r="AX176" s="1447"/>
      <c r="AY176" s="1464"/>
      <c r="AZ176" s="1464"/>
      <c r="BA176" s="1464"/>
      <c r="BB176" s="1464"/>
      <c r="BC176" s="1464"/>
      <c r="BD176" s="1464"/>
      <c r="BE176" s="1464"/>
      <c r="BF176" s="1464"/>
      <c r="BG176" s="1465"/>
      <c r="BH176" s="1465"/>
      <c r="BI176" s="1465"/>
      <c r="BJ176" s="1465"/>
      <c r="BK176" s="1464"/>
      <c r="BL176" s="1464"/>
      <c r="BM176" s="1464"/>
      <c r="BN176" s="1464"/>
      <c r="BO176" s="1466"/>
      <c r="BP176" s="1466"/>
      <c r="BQ176" s="1466"/>
      <c r="BR176" s="1466"/>
      <c r="BS176" s="1466"/>
      <c r="BT176" s="1466"/>
      <c r="BU176" s="1464"/>
      <c r="BV176" s="1464"/>
      <c r="BW176" s="1464"/>
      <c r="BX176" s="1464"/>
      <c r="BY176" s="1464"/>
      <c r="BZ176" s="1464"/>
      <c r="CA176" s="668"/>
      <c r="CB176" s="657"/>
      <c r="CC176" s="657"/>
      <c r="CD176" s="657"/>
      <c r="CE176" s="657"/>
      <c r="CF176" s="657"/>
      <c r="CG176" s="657"/>
      <c r="CH176" s="657"/>
      <c r="CI176" s="657"/>
    </row>
    <row r="177" spans="1:87" ht="9.9499999999999993" customHeight="1">
      <c r="A177" s="1474" t="str">
        <f>AU157</f>
        <v/>
      </c>
      <c r="B177" s="1474"/>
      <c r="C177" s="1474"/>
      <c r="D177" s="1390"/>
      <c r="E177" s="1390"/>
      <c r="F177" s="1390"/>
      <c r="G177" s="1398"/>
      <c r="H177" s="1399"/>
      <c r="I177" s="1399"/>
      <c r="J177" s="1399"/>
      <c r="K177" s="1399"/>
      <c r="L177" s="1399"/>
      <c r="M177" s="1399"/>
      <c r="N177" s="1399"/>
      <c r="O177" s="1399"/>
      <c r="P177" s="1399"/>
      <c r="Q177" s="1399"/>
      <c r="R177" s="1399"/>
      <c r="S177" s="1399"/>
      <c r="T177" s="1399"/>
      <c r="U177" s="1399"/>
      <c r="V177" s="1400"/>
      <c r="W177" s="669"/>
      <c r="X177" s="669"/>
      <c r="Y177" s="669"/>
      <c r="Z177" s="669"/>
      <c r="AA177" s="1464"/>
      <c r="AB177" s="1464"/>
      <c r="AC177" s="1489"/>
      <c r="AD177" s="1489"/>
      <c r="AE177" s="1489"/>
      <c r="AF177" s="1489"/>
      <c r="AG177" s="1489"/>
      <c r="AH177" s="1489"/>
      <c r="AI177" s="1489"/>
      <c r="AJ177" s="1489"/>
      <c r="AK177" s="1425"/>
      <c r="AL177" s="1426"/>
      <c r="AM177" s="1426"/>
      <c r="AN177" s="1427"/>
      <c r="AO177" s="1445"/>
      <c r="AP177" s="1446"/>
      <c r="AQ177" s="1446"/>
      <c r="AR177" s="1446"/>
      <c r="AS177" s="1446"/>
      <c r="AT177" s="1446"/>
      <c r="AU177" s="1446"/>
      <c r="AV177" s="1446"/>
      <c r="AW177" s="1446"/>
      <c r="AX177" s="1447"/>
      <c r="AY177" s="1464"/>
      <c r="AZ177" s="1464"/>
      <c r="BA177" s="1464"/>
      <c r="BB177" s="1464"/>
      <c r="BC177" s="1464"/>
      <c r="BD177" s="1464"/>
      <c r="BE177" s="1464"/>
      <c r="BF177" s="1464"/>
      <c r="BG177" s="1465"/>
      <c r="BH177" s="1465"/>
      <c r="BI177" s="1465"/>
      <c r="BJ177" s="1465"/>
      <c r="BK177" s="1464"/>
      <c r="BL177" s="1464"/>
      <c r="BM177" s="1464"/>
      <c r="BN177" s="1464"/>
      <c r="BO177" s="1466"/>
      <c r="BP177" s="1466"/>
      <c r="BQ177" s="1466"/>
      <c r="BR177" s="1466"/>
      <c r="BS177" s="1466"/>
      <c r="BT177" s="1466"/>
      <c r="BU177" s="1464"/>
      <c r="BV177" s="1464"/>
      <c r="BW177" s="1464"/>
      <c r="BX177" s="1464"/>
      <c r="BY177" s="1464"/>
      <c r="BZ177" s="1464"/>
      <c r="CA177" s="668"/>
      <c r="CB177" s="657"/>
      <c r="CC177" s="657"/>
      <c r="CD177" s="657"/>
      <c r="CE177" s="657"/>
      <c r="CF177" s="657"/>
      <c r="CG177" s="657"/>
      <c r="CH177" s="657"/>
      <c r="CI177" s="657"/>
    </row>
    <row r="178" spans="1:87" ht="9.9499999999999993" customHeight="1">
      <c r="A178" s="1475"/>
      <c r="B178" s="1475"/>
      <c r="C178" s="1475"/>
      <c r="D178" s="1390"/>
      <c r="E178" s="1390"/>
      <c r="F178" s="1390"/>
      <c r="G178" s="1398"/>
      <c r="H178" s="1399"/>
      <c r="I178" s="1399"/>
      <c r="J178" s="1399"/>
      <c r="K178" s="1399"/>
      <c r="L178" s="1399"/>
      <c r="M178" s="1399"/>
      <c r="N178" s="1399"/>
      <c r="O178" s="1399"/>
      <c r="P178" s="1399"/>
      <c r="Q178" s="1399"/>
      <c r="R178" s="1399"/>
      <c r="S178" s="1399"/>
      <c r="T178" s="1399"/>
      <c r="U178" s="1399"/>
      <c r="V178" s="1400"/>
      <c r="W178" s="669"/>
      <c r="X178" s="669"/>
      <c r="Y178" s="669"/>
      <c r="Z178" s="669"/>
      <c r="AA178" s="1464"/>
      <c r="AB178" s="1464"/>
      <c r="AC178" s="1489"/>
      <c r="AD178" s="1489"/>
      <c r="AE178" s="1489"/>
      <c r="AF178" s="1489"/>
      <c r="AG178" s="1489"/>
      <c r="AH178" s="1489"/>
      <c r="AI178" s="1489"/>
      <c r="AJ178" s="1489"/>
      <c r="AK178" s="1425"/>
      <c r="AL178" s="1426"/>
      <c r="AM178" s="1426"/>
      <c r="AN178" s="1427"/>
      <c r="AO178" s="1445"/>
      <c r="AP178" s="1446"/>
      <c r="AQ178" s="1446"/>
      <c r="AR178" s="1446"/>
      <c r="AS178" s="1446"/>
      <c r="AT178" s="1446"/>
      <c r="AU178" s="1446"/>
      <c r="AV178" s="1446"/>
      <c r="AW178" s="1446"/>
      <c r="AX178" s="1447"/>
      <c r="AY178" s="1464"/>
      <c r="AZ178" s="1464"/>
      <c r="BA178" s="1464"/>
      <c r="BB178" s="1464"/>
      <c r="BC178" s="1464"/>
      <c r="BD178" s="1464"/>
      <c r="BE178" s="1464"/>
      <c r="BF178" s="1464"/>
      <c r="BG178" s="1465"/>
      <c r="BH178" s="1465"/>
      <c r="BI178" s="1465"/>
      <c r="BJ178" s="1465"/>
      <c r="BK178" s="1464"/>
      <c r="BL178" s="1464"/>
      <c r="BM178" s="1464"/>
      <c r="BN178" s="1464"/>
      <c r="BO178" s="1466"/>
      <c r="BP178" s="1466"/>
      <c r="BQ178" s="1466"/>
      <c r="BR178" s="1466"/>
      <c r="BS178" s="1466"/>
      <c r="BT178" s="1466"/>
      <c r="BU178" s="1464"/>
      <c r="BV178" s="1464"/>
      <c r="BW178" s="1464"/>
      <c r="BX178" s="1464"/>
      <c r="BY178" s="1464"/>
      <c r="BZ178" s="1464"/>
      <c r="CA178" s="668"/>
      <c r="CB178" s="657"/>
      <c r="CC178" s="657"/>
      <c r="CD178" s="657"/>
      <c r="CE178" s="657"/>
      <c r="CF178" s="657"/>
      <c r="CG178" s="657"/>
      <c r="CH178" s="657"/>
      <c r="CI178" s="657"/>
    </row>
    <row r="179" spans="1:87" ht="9.9499999999999993" customHeight="1">
      <c r="A179" s="1486" t="s">
        <v>37</v>
      </c>
      <c r="B179" s="1487"/>
      <c r="C179" s="1488"/>
      <c r="D179" s="1390"/>
      <c r="E179" s="1390"/>
      <c r="F179" s="1390"/>
      <c r="G179" s="1401"/>
      <c r="H179" s="1402"/>
      <c r="I179" s="1402"/>
      <c r="J179" s="1402"/>
      <c r="K179" s="1402"/>
      <c r="L179" s="1402"/>
      <c r="M179" s="1402"/>
      <c r="N179" s="1402"/>
      <c r="O179" s="1402"/>
      <c r="P179" s="1402"/>
      <c r="Q179" s="1402"/>
      <c r="R179" s="1402"/>
      <c r="S179" s="1402"/>
      <c r="T179" s="1402"/>
      <c r="U179" s="1402"/>
      <c r="V179" s="1403"/>
      <c r="W179" s="673"/>
      <c r="X179" s="673"/>
      <c r="Y179" s="673"/>
      <c r="Z179" s="673"/>
      <c r="AA179" s="1464"/>
      <c r="AB179" s="1464"/>
      <c r="AC179" s="1489"/>
      <c r="AD179" s="1489"/>
      <c r="AE179" s="1489"/>
      <c r="AF179" s="1489"/>
      <c r="AG179" s="1489"/>
      <c r="AH179" s="1489"/>
      <c r="AI179" s="1489"/>
      <c r="AJ179" s="1489"/>
      <c r="AK179" s="1428"/>
      <c r="AL179" s="1429"/>
      <c r="AM179" s="1429"/>
      <c r="AN179" s="1430"/>
      <c r="AO179" s="1448"/>
      <c r="AP179" s="1449"/>
      <c r="AQ179" s="1449"/>
      <c r="AR179" s="1449"/>
      <c r="AS179" s="1449"/>
      <c r="AT179" s="1449"/>
      <c r="AU179" s="1449"/>
      <c r="AV179" s="1449"/>
      <c r="AW179" s="1449"/>
      <c r="AX179" s="1450"/>
      <c r="AY179" s="1464"/>
      <c r="AZ179" s="1464"/>
      <c r="BA179" s="1464"/>
      <c r="BB179" s="1464"/>
      <c r="BC179" s="1464"/>
      <c r="BD179" s="1464"/>
      <c r="BE179" s="1464"/>
      <c r="BF179" s="1464"/>
      <c r="BG179" s="1465"/>
      <c r="BH179" s="1465"/>
      <c r="BI179" s="1465"/>
      <c r="BJ179" s="1465"/>
      <c r="BK179" s="1464"/>
      <c r="BL179" s="1464"/>
      <c r="BM179" s="1464"/>
      <c r="BN179" s="1464"/>
      <c r="BO179" s="1466"/>
      <c r="BP179" s="1466"/>
      <c r="BQ179" s="1466"/>
      <c r="BR179" s="1466"/>
      <c r="BS179" s="1466"/>
      <c r="BT179" s="1466"/>
      <c r="BU179" s="1464"/>
      <c r="BV179" s="1464"/>
      <c r="BW179" s="1464"/>
      <c r="BX179" s="1464"/>
      <c r="BY179" s="1464"/>
      <c r="BZ179" s="1464"/>
      <c r="CA179" s="679"/>
      <c r="CB179" s="657"/>
      <c r="CC179" s="657"/>
      <c r="CD179" s="657"/>
      <c r="CE179" s="657"/>
      <c r="CF179" s="657"/>
      <c r="CG179" s="657"/>
      <c r="CH179" s="657"/>
      <c r="CI179" s="657"/>
    </row>
    <row r="180" spans="1:87" ht="9.9499999999999993" customHeight="1">
      <c r="A180" s="1386" t="str">
        <f>BA157</f>
        <v/>
      </c>
      <c r="B180" s="1387"/>
      <c r="C180" s="1388"/>
      <c r="D180" s="1389" t="s">
        <v>78</v>
      </c>
      <c r="E180" s="1389"/>
      <c r="F180" s="1389"/>
      <c r="G180" s="691"/>
      <c r="H180" s="692"/>
      <c r="I180" s="692"/>
      <c r="J180" s="687"/>
      <c r="K180" s="1466" t="s">
        <v>3029</v>
      </c>
      <c r="L180" s="1466"/>
      <c r="M180" s="1466"/>
      <c r="N180" s="1466"/>
      <c r="O180" s="1405" t="s">
        <v>3015</v>
      </c>
      <c r="P180" s="1406"/>
      <c r="Q180" s="1407"/>
      <c r="R180" s="1464" t="s">
        <v>3030</v>
      </c>
      <c r="S180" s="1464"/>
      <c r="T180" s="1464"/>
      <c r="U180" s="1464" t="s">
        <v>3031</v>
      </c>
      <c r="V180" s="1464"/>
      <c r="W180" s="1464" t="s">
        <v>384</v>
      </c>
      <c r="X180" s="1464"/>
      <c r="Y180" s="736"/>
      <c r="Z180" s="670"/>
      <c r="AA180" s="694"/>
      <c r="AB180" s="663"/>
      <c r="AC180" s="663"/>
      <c r="AD180" s="671"/>
      <c r="AE180" s="663"/>
      <c r="AF180" s="663"/>
      <c r="AG180" s="663"/>
      <c r="AH180" s="671"/>
      <c r="AI180" s="736"/>
      <c r="AJ180" s="736"/>
      <c r="AK180" s="685"/>
      <c r="AL180" s="686"/>
      <c r="AM180" s="685"/>
      <c r="AN180" s="685"/>
      <c r="AO180" s="685"/>
      <c r="AP180" s="686"/>
      <c r="AQ180" s="685"/>
      <c r="AR180" s="685"/>
      <c r="AS180" s="685"/>
      <c r="AT180" s="686"/>
      <c r="AU180" s="685"/>
      <c r="AV180" s="685"/>
      <c r="AW180" s="685"/>
      <c r="AX180" s="686"/>
      <c r="AY180" s="685"/>
      <c r="AZ180" s="685"/>
      <c r="BA180" s="685"/>
      <c r="BB180" s="686"/>
      <c r="BC180" s="685"/>
      <c r="BD180" s="685"/>
      <c r="BE180" s="685"/>
      <c r="BF180" s="686"/>
      <c r="BG180" s="685"/>
      <c r="BH180" s="685"/>
      <c r="BI180" s="685"/>
      <c r="BJ180" s="686"/>
      <c r="BK180" s="685"/>
      <c r="BL180" s="685"/>
      <c r="BM180" s="685"/>
      <c r="BN180" s="686"/>
      <c r="BO180" s="685"/>
      <c r="BP180" s="685"/>
      <c r="BQ180" s="685"/>
      <c r="BR180" s="686"/>
      <c r="BS180" s="685"/>
      <c r="BT180" s="685"/>
      <c r="BU180" s="685"/>
      <c r="BV180" s="686"/>
      <c r="BW180" s="685"/>
      <c r="BX180" s="685"/>
      <c r="BY180" s="685"/>
      <c r="BZ180" s="737"/>
      <c r="CA180" s="668"/>
      <c r="CB180" s="657"/>
      <c r="CC180" s="657"/>
      <c r="CD180" s="657"/>
      <c r="CE180" s="657"/>
      <c r="CF180" s="657"/>
      <c r="CG180" s="657"/>
      <c r="CH180" s="657"/>
      <c r="CI180" s="657"/>
    </row>
    <row r="181" spans="1:87" ht="9.9499999999999993" customHeight="1">
      <c r="A181" s="1386"/>
      <c r="B181" s="1387"/>
      <c r="C181" s="1388"/>
      <c r="D181" s="1390"/>
      <c r="E181" s="1390"/>
      <c r="F181" s="1390"/>
      <c r="G181" s="691"/>
      <c r="H181" s="692"/>
      <c r="I181" s="692"/>
      <c r="J181" s="687"/>
      <c r="K181" s="1466"/>
      <c r="L181" s="1466"/>
      <c r="M181" s="1466"/>
      <c r="N181" s="1466"/>
      <c r="O181" s="1408"/>
      <c r="P181" s="1409"/>
      <c r="Q181" s="1410"/>
      <c r="R181" s="1464"/>
      <c r="S181" s="1464"/>
      <c r="T181" s="1464"/>
      <c r="U181" s="1464"/>
      <c r="V181" s="1464"/>
      <c r="W181" s="1464"/>
      <c r="X181" s="1464"/>
      <c r="Y181" s="736"/>
      <c r="Z181" s="670"/>
      <c r="AA181" s="663"/>
      <c r="AB181" s="663"/>
      <c r="AC181" s="663"/>
      <c r="AD181" s="671"/>
      <c r="AE181" s="663"/>
      <c r="AF181" s="663"/>
      <c r="AG181" s="663"/>
      <c r="AH181" s="671"/>
      <c r="AI181" s="736"/>
      <c r="AJ181" s="736"/>
      <c r="AK181" s="685"/>
      <c r="AL181" s="686"/>
      <c r="AM181" s="685"/>
      <c r="AN181" s="685"/>
      <c r="AO181" s="685"/>
      <c r="AP181" s="686"/>
      <c r="AQ181" s="685"/>
      <c r="AR181" s="685"/>
      <c r="AS181" s="685"/>
      <c r="AT181" s="686"/>
      <c r="AU181" s="685"/>
      <c r="AV181" s="685"/>
      <c r="AW181" s="685"/>
      <c r="AX181" s="686"/>
      <c r="AY181" s="685"/>
      <c r="AZ181" s="685"/>
      <c r="BA181" s="685"/>
      <c r="BB181" s="686"/>
      <c r="BC181" s="685"/>
      <c r="BD181" s="685"/>
      <c r="BE181" s="685"/>
      <c r="BF181" s="686"/>
      <c r="BG181" s="685"/>
      <c r="BH181" s="685"/>
      <c r="BI181" s="685"/>
      <c r="BJ181" s="686"/>
      <c r="BK181" s="685"/>
      <c r="BL181" s="685"/>
      <c r="BM181" s="685"/>
      <c r="BN181" s="686"/>
      <c r="BO181" s="685"/>
      <c r="BP181" s="685"/>
      <c r="BQ181" s="685"/>
      <c r="BR181" s="686"/>
      <c r="BS181" s="685"/>
      <c r="BT181" s="685"/>
      <c r="BU181" s="685"/>
      <c r="BV181" s="686"/>
      <c r="BW181" s="736"/>
      <c r="BX181" s="736"/>
      <c r="BY181" s="736"/>
      <c r="BZ181" s="737"/>
      <c r="CA181" s="668"/>
      <c r="CB181" s="657"/>
      <c r="CC181" s="657"/>
      <c r="CD181" s="657"/>
      <c r="CE181" s="657"/>
      <c r="CF181" s="657"/>
      <c r="CG181" s="657"/>
      <c r="CH181" s="657"/>
      <c r="CI181" s="657"/>
    </row>
    <row r="182" spans="1:87" ht="9.9499999999999993" customHeight="1">
      <c r="A182" s="1386"/>
      <c r="B182" s="1387"/>
      <c r="C182" s="1388"/>
      <c r="D182" s="1390"/>
      <c r="E182" s="1390"/>
      <c r="F182" s="1390"/>
      <c r="G182" s="691"/>
      <c r="H182" s="692"/>
      <c r="I182" s="692"/>
      <c r="J182" s="687"/>
      <c r="K182" s="1466"/>
      <c r="L182" s="1466"/>
      <c r="M182" s="1466"/>
      <c r="N182" s="1466"/>
      <c r="O182" s="1408"/>
      <c r="P182" s="1409"/>
      <c r="Q182" s="1410"/>
      <c r="R182" s="1464"/>
      <c r="S182" s="1464"/>
      <c r="T182" s="1464"/>
      <c r="U182" s="1464"/>
      <c r="V182" s="1464"/>
      <c r="W182" s="1464"/>
      <c r="X182" s="1464"/>
      <c r="Y182" s="736"/>
      <c r="Z182" s="670"/>
      <c r="AA182" s="663"/>
      <c r="AB182" s="663"/>
      <c r="AC182" s="663"/>
      <c r="AD182" s="671"/>
      <c r="AE182" s="663"/>
      <c r="AF182" s="663"/>
      <c r="AG182" s="663"/>
      <c r="AH182" s="671"/>
      <c r="AI182" s="736"/>
      <c r="AJ182" s="736"/>
      <c r="AK182" s="685"/>
      <c r="AL182" s="686"/>
      <c r="AM182" s="685"/>
      <c r="AN182" s="685"/>
      <c r="AO182" s="685"/>
      <c r="AP182" s="686"/>
      <c r="AQ182" s="685"/>
      <c r="AR182" s="685"/>
      <c r="AS182" s="685"/>
      <c r="AT182" s="686"/>
      <c r="AU182" s="685"/>
      <c r="AV182" s="685"/>
      <c r="AW182" s="685"/>
      <c r="AX182" s="686"/>
      <c r="AY182" s="685"/>
      <c r="AZ182" s="685"/>
      <c r="BA182" s="685"/>
      <c r="BB182" s="686"/>
      <c r="BC182" s="685"/>
      <c r="BD182" s="685"/>
      <c r="BE182" s="663"/>
      <c r="BF182" s="687"/>
      <c r="BG182" s="688"/>
      <c r="BH182" s="688"/>
      <c r="BI182" s="688"/>
      <c r="BJ182" s="687"/>
      <c r="BK182" s="688"/>
      <c r="BL182" s="688"/>
      <c r="BM182" s="688"/>
      <c r="BN182" s="687"/>
      <c r="BO182" s="688"/>
      <c r="BP182" s="688"/>
      <c r="BQ182" s="688"/>
      <c r="BR182" s="687"/>
      <c r="BS182" s="688"/>
      <c r="BT182" s="688"/>
      <c r="BU182" s="688"/>
      <c r="BV182" s="687"/>
      <c r="BW182" s="736"/>
      <c r="BX182" s="736"/>
      <c r="BY182" s="736"/>
      <c r="BZ182" s="737"/>
      <c r="CA182" s="672"/>
      <c r="CB182" s="657"/>
      <c r="CC182" s="657"/>
      <c r="CD182" s="657"/>
      <c r="CE182" s="657"/>
      <c r="CF182" s="657"/>
      <c r="CG182" s="657"/>
      <c r="CH182" s="657"/>
      <c r="CI182" s="657"/>
    </row>
    <row r="183" spans="1:87" ht="9.9499999999999993" customHeight="1">
      <c r="A183" s="1468" t="s">
        <v>15</v>
      </c>
      <c r="B183" s="1468"/>
      <c r="C183" s="1468"/>
      <c r="D183" s="1390"/>
      <c r="E183" s="1390"/>
      <c r="F183" s="1390"/>
      <c r="G183" s="691"/>
      <c r="H183" s="692"/>
      <c r="I183" s="692"/>
      <c r="J183" s="687"/>
      <c r="K183" s="1466"/>
      <c r="L183" s="1466"/>
      <c r="M183" s="1466"/>
      <c r="N183" s="1466"/>
      <c r="O183" s="1408"/>
      <c r="P183" s="1409"/>
      <c r="Q183" s="1410"/>
      <c r="R183" s="1464"/>
      <c r="S183" s="1464"/>
      <c r="T183" s="1464"/>
      <c r="U183" s="1464"/>
      <c r="V183" s="1464"/>
      <c r="W183" s="1464"/>
      <c r="X183" s="1464"/>
      <c r="Y183" s="736"/>
      <c r="Z183" s="670"/>
      <c r="AA183" s="663"/>
      <c r="AB183" s="663"/>
      <c r="AC183" s="663"/>
      <c r="AD183" s="671"/>
      <c r="AE183" s="663"/>
      <c r="AF183" s="663"/>
      <c r="AG183" s="663"/>
      <c r="AH183" s="671"/>
      <c r="AI183" s="736"/>
      <c r="AJ183" s="736"/>
      <c r="AK183" s="688"/>
      <c r="AL183" s="687"/>
      <c r="AM183" s="688"/>
      <c r="AN183" s="688"/>
      <c r="AO183" s="688"/>
      <c r="AP183" s="687"/>
      <c r="AQ183" s="688"/>
      <c r="AR183" s="688"/>
      <c r="AS183" s="688"/>
      <c r="AT183" s="687"/>
      <c r="AU183" s="688"/>
      <c r="AV183" s="688"/>
      <c r="AW183" s="688"/>
      <c r="AX183" s="687"/>
      <c r="AY183" s="688"/>
      <c r="AZ183" s="688"/>
      <c r="BA183" s="688"/>
      <c r="BB183" s="687"/>
      <c r="BC183" s="688"/>
      <c r="BD183" s="688"/>
      <c r="BE183" s="688"/>
      <c r="BF183" s="687"/>
      <c r="BG183" s="688"/>
      <c r="BH183" s="688"/>
      <c r="BI183" s="688"/>
      <c r="BJ183" s="687"/>
      <c r="BK183" s="688"/>
      <c r="BL183" s="688"/>
      <c r="BM183" s="688"/>
      <c r="BN183" s="687"/>
      <c r="BO183" s="688"/>
      <c r="BP183" s="688"/>
      <c r="BQ183" s="688"/>
      <c r="BR183" s="687"/>
      <c r="BS183" s="688"/>
      <c r="BT183" s="688"/>
      <c r="BU183" s="688"/>
      <c r="BV183" s="687"/>
      <c r="BW183" s="736"/>
      <c r="BX183" s="736"/>
      <c r="BY183" s="736"/>
      <c r="BZ183" s="737"/>
      <c r="CA183" s="672"/>
      <c r="CB183" s="657"/>
      <c r="CC183" s="657"/>
      <c r="CD183" s="657"/>
      <c r="CE183" s="657"/>
      <c r="CF183" s="657"/>
      <c r="CG183" s="657"/>
      <c r="CH183" s="657"/>
      <c r="CI183" s="657"/>
    </row>
    <row r="184" spans="1:87" ht="9.9499999999999993" customHeight="1">
      <c r="A184" s="1415"/>
      <c r="B184" s="1415"/>
      <c r="C184" s="1415"/>
      <c r="D184" s="1390"/>
      <c r="E184" s="1390"/>
      <c r="F184" s="1390"/>
      <c r="G184" s="691"/>
      <c r="H184" s="692"/>
      <c r="I184" s="692"/>
      <c r="J184" s="687"/>
      <c r="K184" s="1466"/>
      <c r="L184" s="1466"/>
      <c r="M184" s="1466"/>
      <c r="N184" s="1466"/>
      <c r="O184" s="1408"/>
      <c r="P184" s="1409"/>
      <c r="Q184" s="1410"/>
      <c r="R184" s="1464"/>
      <c r="S184" s="1464"/>
      <c r="T184" s="1464"/>
      <c r="U184" s="1464"/>
      <c r="V184" s="1464"/>
      <c r="W184" s="1464"/>
      <c r="X184" s="1464"/>
      <c r="Y184" s="736"/>
      <c r="Z184" s="670"/>
      <c r="AA184" s="663"/>
      <c r="AB184" s="663"/>
      <c r="AC184" s="663"/>
      <c r="AD184" s="671"/>
      <c r="AE184" s="663"/>
      <c r="AF184" s="663"/>
      <c r="AG184" s="663"/>
      <c r="AH184" s="671"/>
      <c r="AI184" s="736"/>
      <c r="AJ184" s="736"/>
      <c r="AK184" s="685"/>
      <c r="AL184" s="686"/>
      <c r="AM184" s="685"/>
      <c r="AN184" s="685"/>
      <c r="AO184" s="685"/>
      <c r="AP184" s="686"/>
      <c r="AQ184" s="685"/>
      <c r="AR184" s="685"/>
      <c r="AS184" s="685"/>
      <c r="AT184" s="686"/>
      <c r="AU184" s="685"/>
      <c r="AV184" s="685"/>
      <c r="AW184" s="685"/>
      <c r="AX184" s="686"/>
      <c r="AY184" s="685"/>
      <c r="AZ184" s="685"/>
      <c r="BA184" s="685"/>
      <c r="BB184" s="686"/>
      <c r="BC184" s="685"/>
      <c r="BD184" s="685"/>
      <c r="BE184" s="685"/>
      <c r="BF184" s="686"/>
      <c r="BG184" s="685"/>
      <c r="BH184" s="685"/>
      <c r="BI184" s="685"/>
      <c r="BJ184" s="686"/>
      <c r="BK184" s="685"/>
      <c r="BL184" s="685"/>
      <c r="BM184" s="685"/>
      <c r="BN184" s="686"/>
      <c r="BO184" s="685"/>
      <c r="BP184" s="685"/>
      <c r="BQ184" s="685"/>
      <c r="BR184" s="686"/>
      <c r="BS184" s="685"/>
      <c r="BT184" s="685"/>
      <c r="BU184" s="685"/>
      <c r="BV184" s="686"/>
      <c r="BW184" s="736"/>
      <c r="BX184" s="736"/>
      <c r="BY184" s="736"/>
      <c r="BZ184" s="737"/>
      <c r="CA184" s="668"/>
      <c r="CB184" s="657"/>
      <c r="CC184" s="657"/>
      <c r="CD184" s="657"/>
      <c r="CE184" s="657"/>
      <c r="CF184" s="657"/>
      <c r="CG184" s="657"/>
      <c r="CH184" s="657"/>
      <c r="CI184" s="657"/>
    </row>
    <row r="185" spans="1:87" ht="9.9499999999999993" customHeight="1">
      <c r="A185" s="1469"/>
      <c r="B185" s="1469"/>
      <c r="C185" s="1469"/>
      <c r="D185" s="1390"/>
      <c r="E185" s="1390"/>
      <c r="F185" s="1390"/>
      <c r="G185" s="691"/>
      <c r="H185" s="692"/>
      <c r="I185" s="692"/>
      <c r="J185" s="687"/>
      <c r="K185" s="1466"/>
      <c r="L185" s="1466"/>
      <c r="M185" s="1466"/>
      <c r="N185" s="1466"/>
      <c r="O185" s="1408"/>
      <c r="P185" s="1409"/>
      <c r="Q185" s="1410"/>
      <c r="R185" s="1464"/>
      <c r="S185" s="1464"/>
      <c r="T185" s="1464"/>
      <c r="U185" s="1464"/>
      <c r="V185" s="1464"/>
      <c r="W185" s="1464"/>
      <c r="X185" s="1464"/>
      <c r="Y185" s="736"/>
      <c r="Z185" s="670"/>
      <c r="AA185" s="663"/>
      <c r="AB185" s="663"/>
      <c r="AC185" s="663"/>
      <c r="AD185" s="671"/>
      <c r="AE185" s="663"/>
      <c r="AF185" s="663"/>
      <c r="AG185" s="663"/>
      <c r="AH185" s="671"/>
      <c r="AI185" s="736"/>
      <c r="AJ185" s="736"/>
      <c r="AK185" s="685"/>
      <c r="AL185" s="686"/>
      <c r="AM185" s="685"/>
      <c r="AN185" s="685"/>
      <c r="AO185" s="685"/>
      <c r="AP185" s="686"/>
      <c r="AQ185" s="685"/>
      <c r="AR185" s="685"/>
      <c r="AS185" s="685"/>
      <c r="AT185" s="686"/>
      <c r="AU185" s="685"/>
      <c r="AV185" s="685"/>
      <c r="AW185" s="685"/>
      <c r="AX185" s="686"/>
      <c r="AY185" s="685"/>
      <c r="AZ185" s="685"/>
      <c r="BA185" s="685"/>
      <c r="BB185" s="686"/>
      <c r="BC185" s="685"/>
      <c r="BD185" s="685"/>
      <c r="BE185" s="685"/>
      <c r="BF185" s="686"/>
      <c r="BG185" s="685"/>
      <c r="BH185" s="685"/>
      <c r="BI185" s="685"/>
      <c r="BJ185" s="686"/>
      <c r="BK185" s="685"/>
      <c r="BL185" s="685"/>
      <c r="BM185" s="685"/>
      <c r="BN185" s="686"/>
      <c r="BO185" s="685"/>
      <c r="BP185" s="685"/>
      <c r="BQ185" s="685"/>
      <c r="BR185" s="686"/>
      <c r="BS185" s="685"/>
      <c r="BT185" s="685"/>
      <c r="BU185" s="685"/>
      <c r="BV185" s="686"/>
      <c r="BW185" s="736"/>
      <c r="BX185" s="736"/>
      <c r="BY185" s="736"/>
      <c r="BZ185" s="737"/>
      <c r="CA185" s="668"/>
      <c r="CB185" s="657"/>
      <c r="CC185" s="657"/>
      <c r="CD185" s="657"/>
      <c r="CE185" s="657"/>
      <c r="CF185" s="657"/>
      <c r="CG185" s="657"/>
      <c r="CH185" s="657"/>
      <c r="CI185" s="657"/>
    </row>
    <row r="186" spans="1:87" ht="9.9499999999999993" customHeight="1" thickBot="1">
      <c r="A186" s="1470" t="str">
        <f>BE157</f>
        <v/>
      </c>
      <c r="B186" s="1471"/>
      <c r="C186" s="1472"/>
      <c r="D186" s="1467"/>
      <c r="E186" s="1467"/>
      <c r="F186" s="1467"/>
      <c r="G186" s="691"/>
      <c r="H186" s="692"/>
      <c r="I186" s="692"/>
      <c r="J186" s="687"/>
      <c r="K186" s="1466"/>
      <c r="L186" s="1466"/>
      <c r="M186" s="1466"/>
      <c r="N186" s="1466"/>
      <c r="O186" s="1408"/>
      <c r="P186" s="1409"/>
      <c r="Q186" s="1410"/>
      <c r="R186" s="1464"/>
      <c r="S186" s="1464"/>
      <c r="T186" s="1464"/>
      <c r="U186" s="1464"/>
      <c r="V186" s="1464"/>
      <c r="W186" s="1464"/>
      <c r="X186" s="1464"/>
      <c r="Y186" s="736"/>
      <c r="Z186" s="670"/>
      <c r="AA186" s="663"/>
      <c r="AB186" s="663"/>
      <c r="AC186" s="663"/>
      <c r="AD186" s="671"/>
      <c r="AE186" s="663"/>
      <c r="AF186" s="663"/>
      <c r="AG186" s="663"/>
      <c r="AH186" s="671"/>
      <c r="AI186" s="736"/>
      <c r="AJ186" s="736"/>
      <c r="AK186" s="685"/>
      <c r="AL186" s="686"/>
      <c r="AM186" s="685"/>
      <c r="AN186" s="685"/>
      <c r="AO186" s="685"/>
      <c r="AP186" s="686"/>
      <c r="AQ186" s="685"/>
      <c r="AR186" s="685"/>
      <c r="AS186" s="685"/>
      <c r="AT186" s="686"/>
      <c r="AU186" s="685"/>
      <c r="AV186" s="685"/>
      <c r="AW186" s="685"/>
      <c r="AX186" s="686"/>
      <c r="AY186" s="685"/>
      <c r="AZ186" s="685"/>
      <c r="BA186" s="685"/>
      <c r="BB186" s="686"/>
      <c r="BC186" s="685"/>
      <c r="BD186" s="685"/>
      <c r="BE186" s="685"/>
      <c r="BF186" s="686"/>
      <c r="BG186" s="685"/>
      <c r="BH186" s="685"/>
      <c r="BI186" s="685"/>
      <c r="BJ186" s="686"/>
      <c r="BK186" s="685"/>
      <c r="BL186" s="685"/>
      <c r="BM186" s="685"/>
      <c r="BN186" s="686"/>
      <c r="BO186" s="685"/>
      <c r="BP186" s="685"/>
      <c r="BQ186" s="685"/>
      <c r="BR186" s="686"/>
      <c r="BS186" s="685"/>
      <c r="BT186" s="685"/>
      <c r="BU186" s="685"/>
      <c r="BV186" s="686"/>
      <c r="BW186" s="736"/>
      <c r="BX186" s="736"/>
      <c r="BY186" s="736"/>
      <c r="BZ186" s="737"/>
      <c r="CA186" s="668"/>
      <c r="CB186" s="657"/>
      <c r="CC186" s="657"/>
      <c r="CD186" s="657"/>
      <c r="CE186" s="657"/>
      <c r="CF186" s="657"/>
      <c r="CG186" s="657"/>
      <c r="CH186" s="657"/>
      <c r="CI186" s="657"/>
    </row>
    <row r="187" spans="1:87" ht="9.9499999999999993" customHeight="1">
      <c r="A187" s="1386"/>
      <c r="B187" s="1387"/>
      <c r="C187" s="1388"/>
      <c r="D187" s="1390"/>
      <c r="E187" s="1390"/>
      <c r="F187" s="1390"/>
      <c r="G187" s="695"/>
      <c r="H187" s="696"/>
      <c r="I187" s="696"/>
      <c r="J187" s="690"/>
      <c r="K187" s="1466"/>
      <c r="L187" s="1466"/>
      <c r="M187" s="1466"/>
      <c r="N187" s="1466"/>
      <c r="O187" s="1408"/>
      <c r="P187" s="1409"/>
      <c r="Q187" s="1410"/>
      <c r="R187" s="1464"/>
      <c r="S187" s="1464"/>
      <c r="T187" s="1464"/>
      <c r="U187" s="1464"/>
      <c r="V187" s="1464"/>
      <c r="W187" s="1464"/>
      <c r="X187" s="1464"/>
      <c r="Y187" s="739"/>
      <c r="Z187" s="675"/>
      <c r="AA187" s="676"/>
      <c r="AB187" s="676"/>
      <c r="AC187" s="676"/>
      <c r="AD187" s="677"/>
      <c r="AE187" s="676"/>
      <c r="AF187" s="676"/>
      <c r="AG187" s="676"/>
      <c r="AH187" s="677"/>
      <c r="AI187" s="739"/>
      <c r="AJ187" s="739"/>
      <c r="AK187" s="689"/>
      <c r="AL187" s="690"/>
      <c r="AM187" s="689"/>
      <c r="AN187" s="689"/>
      <c r="AO187" s="689"/>
      <c r="AP187" s="690"/>
      <c r="AQ187" s="689"/>
      <c r="AR187" s="689"/>
      <c r="AS187" s="689"/>
      <c r="AT187" s="690"/>
      <c r="AU187" s="689"/>
      <c r="AV187" s="689"/>
      <c r="AW187" s="689"/>
      <c r="AX187" s="690"/>
      <c r="AY187" s="689"/>
      <c r="AZ187" s="689"/>
      <c r="BA187" s="689"/>
      <c r="BB187" s="690"/>
      <c r="BC187" s="689"/>
      <c r="BD187" s="689"/>
      <c r="BE187" s="689"/>
      <c r="BF187" s="690"/>
      <c r="BG187" s="689"/>
      <c r="BH187" s="689"/>
      <c r="BI187" s="689"/>
      <c r="BJ187" s="690"/>
      <c r="BK187" s="689"/>
      <c r="BL187" s="689"/>
      <c r="BM187" s="689"/>
      <c r="BN187" s="690"/>
      <c r="BO187" s="689"/>
      <c r="BP187" s="689"/>
      <c r="BQ187" s="689"/>
      <c r="BR187" s="690"/>
      <c r="BS187" s="689"/>
      <c r="BT187" s="689"/>
      <c r="BU187" s="689"/>
      <c r="BV187" s="690"/>
      <c r="BW187" s="689"/>
      <c r="BX187" s="689"/>
      <c r="BY187" s="689"/>
      <c r="BZ187" s="697"/>
      <c r="CA187" s="679"/>
      <c r="CB187" s="657"/>
      <c r="CC187" s="657"/>
      <c r="CD187" s="657"/>
      <c r="CE187" s="657"/>
      <c r="CF187" s="657"/>
      <c r="CG187" s="657"/>
      <c r="CH187" s="657"/>
      <c r="CI187" s="657"/>
    </row>
    <row r="188" spans="1:87" ht="9.9499999999999993" customHeight="1">
      <c r="A188" s="1386"/>
      <c r="B188" s="1387"/>
      <c r="C188" s="1388"/>
      <c r="D188" s="1390" t="s">
        <v>77</v>
      </c>
      <c r="E188" s="1390"/>
      <c r="F188" s="1390"/>
      <c r="G188" s="698"/>
      <c r="H188" s="699"/>
      <c r="I188" s="699"/>
      <c r="J188" s="700"/>
      <c r="K188" s="1466"/>
      <c r="L188" s="1466"/>
      <c r="M188" s="1466"/>
      <c r="N188" s="1466"/>
      <c r="O188" s="1408"/>
      <c r="P188" s="1409"/>
      <c r="Q188" s="1410"/>
      <c r="R188" s="1464"/>
      <c r="S188" s="1464"/>
      <c r="T188" s="1464"/>
      <c r="U188" s="1464"/>
      <c r="V188" s="1464"/>
      <c r="W188" s="1464"/>
      <c r="X188" s="1464"/>
      <c r="Y188" s="682"/>
      <c r="Z188" s="683"/>
      <c r="AA188" s="662"/>
      <c r="AB188" s="662"/>
      <c r="AC188" s="662"/>
      <c r="AD188" s="683"/>
      <c r="AE188" s="662"/>
      <c r="AF188" s="662"/>
      <c r="AG188" s="735"/>
      <c r="AH188" s="702"/>
      <c r="AI188" s="735"/>
      <c r="AJ188" s="735"/>
      <c r="AK188" s="680"/>
      <c r="AL188" s="681"/>
      <c r="AM188" s="680"/>
      <c r="AN188" s="680"/>
      <c r="AO188" s="680"/>
      <c r="AP188" s="681"/>
      <c r="AQ188" s="680"/>
      <c r="AR188" s="680"/>
      <c r="AS188" s="680"/>
      <c r="AT188" s="681"/>
      <c r="AU188" s="680"/>
      <c r="AV188" s="680"/>
      <c r="AW188" s="680"/>
      <c r="AX188" s="681"/>
      <c r="AY188" s="680"/>
      <c r="AZ188" s="680"/>
      <c r="BA188" s="680"/>
      <c r="BB188" s="681"/>
      <c r="BC188" s="680"/>
      <c r="BD188" s="680"/>
      <c r="BE188" s="680"/>
      <c r="BF188" s="681"/>
      <c r="BG188" s="680"/>
      <c r="BH188" s="680"/>
      <c r="BI188" s="680"/>
      <c r="BJ188" s="681"/>
      <c r="BK188" s="680"/>
      <c r="BL188" s="680"/>
      <c r="BM188" s="680"/>
      <c r="BN188" s="681"/>
      <c r="BO188" s="680"/>
      <c r="BP188" s="680"/>
      <c r="BQ188" s="680"/>
      <c r="BR188" s="681"/>
      <c r="BS188" s="680"/>
      <c r="BT188" s="680"/>
      <c r="BU188" s="680"/>
      <c r="BV188" s="681"/>
      <c r="BW188" s="680"/>
      <c r="BX188" s="680"/>
      <c r="BY188" s="680"/>
      <c r="BZ188" s="684"/>
      <c r="CA188" s="668"/>
      <c r="CB188" s="657"/>
      <c r="CC188" s="657"/>
      <c r="CD188" s="657"/>
      <c r="CE188" s="657"/>
      <c r="CF188" s="657"/>
      <c r="CG188" s="657"/>
      <c r="CH188" s="657"/>
      <c r="CI188" s="657"/>
    </row>
    <row r="189" spans="1:87" ht="9.9499999999999993" customHeight="1">
      <c r="A189" s="1468" t="s">
        <v>14</v>
      </c>
      <c r="B189" s="1468"/>
      <c r="C189" s="1468"/>
      <c r="D189" s="1390"/>
      <c r="E189" s="1390"/>
      <c r="F189" s="1390"/>
      <c r="G189" s="691"/>
      <c r="H189" s="692"/>
      <c r="I189" s="692"/>
      <c r="J189" s="687"/>
      <c r="K189" s="1466"/>
      <c r="L189" s="1466"/>
      <c r="M189" s="1466"/>
      <c r="N189" s="1466"/>
      <c r="O189" s="1408"/>
      <c r="P189" s="1409"/>
      <c r="Q189" s="1410"/>
      <c r="R189" s="1464"/>
      <c r="S189" s="1464"/>
      <c r="T189" s="1464"/>
      <c r="U189" s="1464"/>
      <c r="V189" s="1464"/>
      <c r="W189" s="1464"/>
      <c r="X189" s="1464"/>
      <c r="Y189" s="663"/>
      <c r="Z189" s="671"/>
      <c r="AA189" s="663"/>
      <c r="AB189" s="663"/>
      <c r="AC189" s="663"/>
      <c r="AD189" s="671"/>
      <c r="AE189" s="663"/>
      <c r="AF189" s="663"/>
      <c r="AG189" s="736"/>
      <c r="AH189" s="670"/>
      <c r="AI189" s="736"/>
      <c r="AJ189" s="736"/>
      <c r="AK189" s="685"/>
      <c r="AL189" s="686"/>
      <c r="AM189" s="685"/>
      <c r="AN189" s="685"/>
      <c r="AO189" s="685"/>
      <c r="AP189" s="686"/>
      <c r="AQ189" s="685"/>
      <c r="AR189" s="685"/>
      <c r="AS189" s="685"/>
      <c r="AT189" s="686"/>
      <c r="AU189" s="685"/>
      <c r="AV189" s="685"/>
      <c r="AW189" s="685"/>
      <c r="AX189" s="686"/>
      <c r="AY189" s="685"/>
      <c r="AZ189" s="685"/>
      <c r="BA189" s="685"/>
      <c r="BB189" s="686"/>
      <c r="BC189" s="685"/>
      <c r="BD189" s="685"/>
      <c r="BE189" s="685"/>
      <c r="BF189" s="686"/>
      <c r="BG189" s="685"/>
      <c r="BH189" s="685"/>
      <c r="BI189" s="685"/>
      <c r="BJ189" s="686"/>
      <c r="BK189" s="685"/>
      <c r="BL189" s="685"/>
      <c r="BM189" s="685"/>
      <c r="BN189" s="686"/>
      <c r="BO189" s="685"/>
      <c r="BP189" s="685"/>
      <c r="BQ189" s="685"/>
      <c r="BR189" s="686"/>
      <c r="BS189" s="685"/>
      <c r="BT189" s="685"/>
      <c r="BU189" s="685"/>
      <c r="BV189" s="686"/>
      <c r="BW189" s="736"/>
      <c r="BX189" s="736"/>
      <c r="BY189" s="736"/>
      <c r="BZ189" s="737"/>
      <c r="CA189" s="668"/>
      <c r="CB189" s="657"/>
      <c r="CC189" s="657"/>
      <c r="CD189" s="657"/>
      <c r="CE189" s="657"/>
      <c r="CF189" s="657"/>
      <c r="CG189" s="657"/>
      <c r="CH189" s="657"/>
      <c r="CI189" s="657"/>
    </row>
    <row r="190" spans="1:87" ht="9.9499999999999993" customHeight="1">
      <c r="A190" s="1415"/>
      <c r="B190" s="1415"/>
      <c r="C190" s="1415"/>
      <c r="D190" s="1390"/>
      <c r="E190" s="1390"/>
      <c r="F190" s="1390"/>
      <c r="G190" s="691"/>
      <c r="H190" s="692"/>
      <c r="I190" s="692"/>
      <c r="J190" s="687"/>
      <c r="K190" s="1466"/>
      <c r="L190" s="1466"/>
      <c r="M190" s="1466"/>
      <c r="N190" s="1466"/>
      <c r="O190" s="1408"/>
      <c r="P190" s="1409"/>
      <c r="Q190" s="1410"/>
      <c r="R190" s="1464"/>
      <c r="S190" s="1464"/>
      <c r="T190" s="1464"/>
      <c r="U190" s="1464"/>
      <c r="V190" s="1464"/>
      <c r="W190" s="1464"/>
      <c r="X190" s="1464"/>
      <c r="Y190" s="663"/>
      <c r="Z190" s="671"/>
      <c r="AA190" s="663"/>
      <c r="AB190" s="663"/>
      <c r="AC190" s="663"/>
      <c r="AD190" s="671"/>
      <c r="AE190" s="663"/>
      <c r="AF190" s="663"/>
      <c r="AG190" s="736"/>
      <c r="AH190" s="670"/>
      <c r="AI190" s="736"/>
      <c r="AJ190" s="736"/>
      <c r="AK190" s="685"/>
      <c r="AL190" s="686"/>
      <c r="AM190" s="685"/>
      <c r="AN190" s="685"/>
      <c r="AO190" s="685"/>
      <c r="AP190" s="686"/>
      <c r="AQ190" s="685"/>
      <c r="AR190" s="685"/>
      <c r="AS190" s="685"/>
      <c r="AT190" s="686"/>
      <c r="AU190" s="685"/>
      <c r="AV190" s="685"/>
      <c r="AW190" s="685"/>
      <c r="AX190" s="686"/>
      <c r="AY190" s="685"/>
      <c r="AZ190" s="685"/>
      <c r="BA190" s="685"/>
      <c r="BB190" s="686"/>
      <c r="BC190" s="685"/>
      <c r="BD190" s="685"/>
      <c r="BE190" s="663"/>
      <c r="BF190" s="687"/>
      <c r="BG190" s="688"/>
      <c r="BH190" s="688"/>
      <c r="BI190" s="688"/>
      <c r="BJ190" s="687"/>
      <c r="BK190" s="688"/>
      <c r="BL190" s="688"/>
      <c r="BM190" s="688"/>
      <c r="BN190" s="687"/>
      <c r="BO190" s="688"/>
      <c r="BP190" s="688"/>
      <c r="BQ190" s="688"/>
      <c r="BR190" s="687"/>
      <c r="BS190" s="688"/>
      <c r="BT190" s="688"/>
      <c r="BU190" s="688"/>
      <c r="BV190" s="687"/>
      <c r="BW190" s="736"/>
      <c r="BX190" s="736"/>
      <c r="BY190" s="736"/>
      <c r="BZ190" s="737"/>
      <c r="CA190" s="672"/>
      <c r="CB190" s="657"/>
      <c r="CC190" s="657"/>
      <c r="CD190" s="657"/>
      <c r="CE190" s="657"/>
      <c r="CF190" s="657"/>
      <c r="CG190" s="657"/>
      <c r="CH190" s="657"/>
      <c r="CI190" s="657"/>
    </row>
    <row r="191" spans="1:87" ht="9.9499999999999993" customHeight="1">
      <c r="A191" s="1469"/>
      <c r="B191" s="1469"/>
      <c r="C191" s="1469"/>
      <c r="D191" s="1390"/>
      <c r="E191" s="1390"/>
      <c r="F191" s="1390"/>
      <c r="G191" s="691"/>
      <c r="H191" s="692"/>
      <c r="I191" s="692"/>
      <c r="J191" s="687"/>
      <c r="K191" s="1466"/>
      <c r="L191" s="1466"/>
      <c r="M191" s="1466"/>
      <c r="N191" s="1466"/>
      <c r="O191" s="1408"/>
      <c r="P191" s="1409"/>
      <c r="Q191" s="1410"/>
      <c r="R191" s="1464"/>
      <c r="S191" s="1464"/>
      <c r="T191" s="1464"/>
      <c r="U191" s="1464"/>
      <c r="V191" s="1464"/>
      <c r="W191" s="1464"/>
      <c r="X191" s="1464"/>
      <c r="Y191" s="663"/>
      <c r="Z191" s="671"/>
      <c r="AA191" s="663"/>
      <c r="AB191" s="663"/>
      <c r="AC191" s="663"/>
      <c r="AD191" s="671"/>
      <c r="AE191" s="663"/>
      <c r="AF191" s="663"/>
      <c r="AG191" s="736"/>
      <c r="AH191" s="670"/>
      <c r="AI191" s="736"/>
      <c r="AJ191" s="736"/>
      <c r="AK191" s="688"/>
      <c r="AL191" s="687"/>
      <c r="AM191" s="688"/>
      <c r="AN191" s="688"/>
      <c r="AO191" s="688"/>
      <c r="AP191" s="687"/>
      <c r="AQ191" s="688"/>
      <c r="AR191" s="688"/>
      <c r="AS191" s="688"/>
      <c r="AT191" s="687"/>
      <c r="AU191" s="688"/>
      <c r="AV191" s="688"/>
      <c r="AW191" s="688"/>
      <c r="AX191" s="687"/>
      <c r="AY191" s="688"/>
      <c r="AZ191" s="688"/>
      <c r="BA191" s="688"/>
      <c r="BB191" s="687"/>
      <c r="BC191" s="688"/>
      <c r="BD191" s="688"/>
      <c r="BE191" s="688"/>
      <c r="BF191" s="687"/>
      <c r="BG191" s="688"/>
      <c r="BH191" s="688"/>
      <c r="BI191" s="688"/>
      <c r="BJ191" s="687"/>
      <c r="BK191" s="688"/>
      <c r="BL191" s="688"/>
      <c r="BM191" s="688"/>
      <c r="BN191" s="687"/>
      <c r="BO191" s="688"/>
      <c r="BP191" s="688"/>
      <c r="BQ191" s="688"/>
      <c r="BR191" s="687"/>
      <c r="BS191" s="688"/>
      <c r="BT191" s="688"/>
      <c r="BU191" s="688"/>
      <c r="BV191" s="687"/>
      <c r="BW191" s="736"/>
      <c r="BX191" s="736"/>
      <c r="BY191" s="736"/>
      <c r="BZ191" s="737"/>
      <c r="CA191" s="672"/>
      <c r="CB191" s="657"/>
      <c r="CC191" s="657"/>
      <c r="CD191" s="657"/>
      <c r="CE191" s="657"/>
      <c r="CF191" s="657"/>
      <c r="CG191" s="657"/>
      <c r="CH191" s="657"/>
      <c r="CI191" s="657"/>
    </row>
    <row r="192" spans="1:87" ht="9.9499999999999993" customHeight="1">
      <c r="A192" s="1473" t="s">
        <v>38</v>
      </c>
      <c r="B192" s="1473"/>
      <c r="C192" s="1473"/>
      <c r="D192" s="1390"/>
      <c r="E192" s="1390"/>
      <c r="F192" s="1390"/>
      <c r="G192" s="691"/>
      <c r="H192" s="692"/>
      <c r="I192" s="692"/>
      <c r="J192" s="687"/>
      <c r="K192" s="1466"/>
      <c r="L192" s="1466"/>
      <c r="M192" s="1466"/>
      <c r="N192" s="1466"/>
      <c r="O192" s="1408"/>
      <c r="P192" s="1409"/>
      <c r="Q192" s="1410"/>
      <c r="R192" s="1464"/>
      <c r="S192" s="1464"/>
      <c r="T192" s="1464"/>
      <c r="U192" s="1464"/>
      <c r="V192" s="1464"/>
      <c r="W192" s="1464"/>
      <c r="X192" s="1464"/>
      <c r="Y192" s="663"/>
      <c r="Z192" s="671"/>
      <c r="AA192" s="663"/>
      <c r="AB192" s="663"/>
      <c r="AC192" s="663"/>
      <c r="AD192" s="671"/>
      <c r="AE192" s="663"/>
      <c r="AF192" s="663"/>
      <c r="AG192" s="736"/>
      <c r="AH192" s="670"/>
      <c r="AI192" s="736"/>
      <c r="AJ192" s="736"/>
      <c r="AK192" s="685"/>
      <c r="AL192" s="686"/>
      <c r="AM192" s="685"/>
      <c r="AN192" s="685"/>
      <c r="AO192" s="685"/>
      <c r="AP192" s="686"/>
      <c r="AQ192" s="685"/>
      <c r="AR192" s="685"/>
      <c r="AS192" s="685"/>
      <c r="AT192" s="686"/>
      <c r="AU192" s="685"/>
      <c r="AV192" s="685"/>
      <c r="AW192" s="685"/>
      <c r="AX192" s="686"/>
      <c r="AY192" s="685"/>
      <c r="AZ192" s="685"/>
      <c r="BA192" s="685"/>
      <c r="BB192" s="686"/>
      <c r="BC192" s="685"/>
      <c r="BD192" s="685"/>
      <c r="BE192" s="685"/>
      <c r="BF192" s="686"/>
      <c r="BG192" s="685"/>
      <c r="BH192" s="685"/>
      <c r="BI192" s="685"/>
      <c r="BJ192" s="686"/>
      <c r="BK192" s="685"/>
      <c r="BL192" s="685"/>
      <c r="BM192" s="685"/>
      <c r="BN192" s="686"/>
      <c r="BO192" s="685"/>
      <c r="BP192" s="685"/>
      <c r="BQ192" s="685"/>
      <c r="BR192" s="686"/>
      <c r="BS192" s="685"/>
      <c r="BT192" s="685"/>
      <c r="BU192" s="685"/>
      <c r="BV192" s="686"/>
      <c r="BW192" s="736"/>
      <c r="BX192" s="736"/>
      <c r="BY192" s="736"/>
      <c r="BZ192" s="737"/>
      <c r="CA192" s="668"/>
      <c r="CB192" s="657"/>
      <c r="CC192" s="657"/>
      <c r="CD192" s="657"/>
      <c r="CE192" s="657"/>
      <c r="CF192" s="657"/>
      <c r="CG192" s="657"/>
      <c r="CH192" s="657"/>
      <c r="CI192" s="657"/>
    </row>
    <row r="193" spans="1:87" ht="9.9499999999999993" customHeight="1">
      <c r="A193" s="1474" t="str">
        <f>BK157</f>
        <v/>
      </c>
      <c r="B193" s="1474"/>
      <c r="C193" s="1474"/>
      <c r="D193" s="1390"/>
      <c r="E193" s="1390"/>
      <c r="F193" s="1390"/>
      <c r="G193" s="691"/>
      <c r="H193" s="692"/>
      <c r="I193" s="692"/>
      <c r="J193" s="687"/>
      <c r="K193" s="1466"/>
      <c r="L193" s="1466"/>
      <c r="M193" s="1466"/>
      <c r="N193" s="1466"/>
      <c r="O193" s="1408"/>
      <c r="P193" s="1409"/>
      <c r="Q193" s="1410"/>
      <c r="R193" s="1464"/>
      <c r="S193" s="1464"/>
      <c r="T193" s="1464"/>
      <c r="U193" s="1464"/>
      <c r="V193" s="1464"/>
      <c r="W193" s="1464"/>
      <c r="X193" s="1464"/>
      <c r="Y193" s="663"/>
      <c r="Z193" s="671"/>
      <c r="AA193" s="663"/>
      <c r="AB193" s="663"/>
      <c r="AC193" s="663"/>
      <c r="AD193" s="671"/>
      <c r="AE193" s="663"/>
      <c r="AF193" s="663"/>
      <c r="AG193" s="736"/>
      <c r="AH193" s="670"/>
      <c r="AI193" s="736"/>
      <c r="AJ193" s="736"/>
      <c r="AK193" s="685"/>
      <c r="AL193" s="686"/>
      <c r="AM193" s="685"/>
      <c r="AN193" s="685"/>
      <c r="AO193" s="685"/>
      <c r="AP193" s="686"/>
      <c r="AQ193" s="685"/>
      <c r="AR193" s="685"/>
      <c r="AS193" s="685"/>
      <c r="AT193" s="686"/>
      <c r="AU193" s="685"/>
      <c r="AV193" s="685"/>
      <c r="AW193" s="685"/>
      <c r="AX193" s="686"/>
      <c r="AY193" s="685"/>
      <c r="AZ193" s="685"/>
      <c r="BA193" s="685"/>
      <c r="BB193" s="686"/>
      <c r="BC193" s="685"/>
      <c r="BD193" s="685"/>
      <c r="BE193" s="685"/>
      <c r="BF193" s="686"/>
      <c r="BG193" s="685"/>
      <c r="BH193" s="685"/>
      <c r="BI193" s="685"/>
      <c r="BJ193" s="686"/>
      <c r="BK193" s="685"/>
      <c r="BL193" s="685"/>
      <c r="BM193" s="685"/>
      <c r="BN193" s="686"/>
      <c r="BO193" s="685"/>
      <c r="BP193" s="685"/>
      <c r="BQ193" s="685"/>
      <c r="BR193" s="686"/>
      <c r="BS193" s="685"/>
      <c r="BT193" s="685"/>
      <c r="BU193" s="685"/>
      <c r="BV193" s="686"/>
      <c r="BW193" s="736"/>
      <c r="BX193" s="736"/>
      <c r="BY193" s="736"/>
      <c r="BZ193" s="737"/>
      <c r="CA193" s="668"/>
      <c r="CB193" s="657"/>
      <c r="CC193" s="657"/>
      <c r="CD193" s="657"/>
      <c r="CE193" s="657"/>
      <c r="CF193" s="657"/>
      <c r="CG193" s="657"/>
      <c r="CH193" s="657"/>
      <c r="CI193" s="657"/>
    </row>
    <row r="194" spans="1:87" ht="9.9499999999999993" customHeight="1">
      <c r="A194" s="1475"/>
      <c r="B194" s="1475"/>
      <c r="C194" s="1475"/>
      <c r="D194" s="1390"/>
      <c r="E194" s="1390"/>
      <c r="F194" s="1390"/>
      <c r="G194" s="691"/>
      <c r="H194" s="692"/>
      <c r="I194" s="692"/>
      <c r="J194" s="687"/>
      <c r="K194" s="1466"/>
      <c r="L194" s="1466"/>
      <c r="M194" s="1466"/>
      <c r="N194" s="1466"/>
      <c r="O194" s="1408"/>
      <c r="P194" s="1409"/>
      <c r="Q194" s="1410"/>
      <c r="R194" s="1464"/>
      <c r="S194" s="1464"/>
      <c r="T194" s="1464"/>
      <c r="U194" s="1464"/>
      <c r="V194" s="1464"/>
      <c r="W194" s="1464"/>
      <c r="X194" s="1464"/>
      <c r="Y194" s="663"/>
      <c r="Z194" s="671"/>
      <c r="AA194" s="663"/>
      <c r="AB194" s="663"/>
      <c r="AC194" s="663"/>
      <c r="AD194" s="671"/>
      <c r="AE194" s="663"/>
      <c r="AF194" s="663"/>
      <c r="AG194" s="736"/>
      <c r="AH194" s="670"/>
      <c r="AI194" s="736"/>
      <c r="AJ194" s="736"/>
      <c r="AK194" s="685"/>
      <c r="AL194" s="686"/>
      <c r="AM194" s="685"/>
      <c r="AN194" s="685"/>
      <c r="AO194" s="685"/>
      <c r="AP194" s="686"/>
      <c r="AQ194" s="685"/>
      <c r="AR194" s="685"/>
      <c r="AS194" s="685"/>
      <c r="AT194" s="686"/>
      <c r="AU194" s="685"/>
      <c r="AV194" s="685"/>
      <c r="AW194" s="685"/>
      <c r="AX194" s="686"/>
      <c r="AY194" s="685"/>
      <c r="AZ194" s="685"/>
      <c r="BA194" s="685"/>
      <c r="BB194" s="686"/>
      <c r="BC194" s="685"/>
      <c r="BD194" s="685"/>
      <c r="BE194" s="685"/>
      <c r="BF194" s="686"/>
      <c r="BG194" s="685"/>
      <c r="BH194" s="685"/>
      <c r="BI194" s="685"/>
      <c r="BJ194" s="686"/>
      <c r="BK194" s="685"/>
      <c r="BL194" s="685"/>
      <c r="BM194" s="685"/>
      <c r="BN194" s="686"/>
      <c r="BO194" s="685"/>
      <c r="BP194" s="685"/>
      <c r="BQ194" s="685"/>
      <c r="BR194" s="686"/>
      <c r="BS194" s="685"/>
      <c r="BT194" s="685"/>
      <c r="BU194" s="685"/>
      <c r="BV194" s="686"/>
      <c r="BW194" s="736"/>
      <c r="BX194" s="736"/>
      <c r="BY194" s="736"/>
      <c r="BZ194" s="737"/>
      <c r="CA194" s="668"/>
      <c r="CB194" s="657"/>
      <c r="CC194" s="657"/>
      <c r="CD194" s="657"/>
      <c r="CE194" s="657"/>
      <c r="CF194" s="657"/>
      <c r="CG194" s="657"/>
      <c r="CH194" s="657"/>
      <c r="CI194" s="657"/>
    </row>
    <row r="195" spans="1:87" ht="9.9499999999999993" customHeight="1">
      <c r="A195" s="1468" t="s">
        <v>37</v>
      </c>
      <c r="B195" s="1468"/>
      <c r="C195" s="1468"/>
      <c r="D195" s="1390"/>
      <c r="E195" s="1390"/>
      <c r="F195" s="1390"/>
      <c r="G195" s="695"/>
      <c r="H195" s="696"/>
      <c r="I195" s="696"/>
      <c r="J195" s="697"/>
      <c r="K195" s="1466"/>
      <c r="L195" s="1466"/>
      <c r="M195" s="1466"/>
      <c r="N195" s="1466"/>
      <c r="O195" s="1411"/>
      <c r="P195" s="1412"/>
      <c r="Q195" s="1413"/>
      <c r="R195" s="1464"/>
      <c r="S195" s="1464"/>
      <c r="T195" s="1464"/>
      <c r="U195" s="1464"/>
      <c r="V195" s="1464"/>
      <c r="W195" s="1464"/>
      <c r="X195" s="1464"/>
      <c r="Y195" s="676"/>
      <c r="Z195" s="676"/>
      <c r="AA195" s="706"/>
      <c r="AB195" s="676"/>
      <c r="AC195" s="676"/>
      <c r="AD195" s="676"/>
      <c r="AE195" s="706"/>
      <c r="AF195" s="676"/>
      <c r="AG195" s="739"/>
      <c r="AH195" s="740"/>
      <c r="AI195" s="739"/>
      <c r="AJ195" s="739"/>
      <c r="AK195" s="689"/>
      <c r="AL195" s="689"/>
      <c r="AM195" s="705"/>
      <c r="AN195" s="689"/>
      <c r="AO195" s="689"/>
      <c r="AP195" s="689"/>
      <c r="AQ195" s="705"/>
      <c r="AR195" s="689"/>
      <c r="AS195" s="689"/>
      <c r="AT195" s="689"/>
      <c r="AU195" s="705"/>
      <c r="AV195" s="689"/>
      <c r="AW195" s="689"/>
      <c r="AX195" s="689"/>
      <c r="AY195" s="705"/>
      <c r="AZ195" s="689"/>
      <c r="BA195" s="689"/>
      <c r="BB195" s="689"/>
      <c r="BC195" s="705"/>
      <c r="BD195" s="689"/>
      <c r="BE195" s="689"/>
      <c r="BF195" s="689"/>
      <c r="BG195" s="705"/>
      <c r="BH195" s="689"/>
      <c r="BI195" s="689"/>
      <c r="BJ195" s="689"/>
      <c r="BK195" s="705"/>
      <c r="BL195" s="689"/>
      <c r="BM195" s="689"/>
      <c r="BN195" s="689"/>
      <c r="BO195" s="705"/>
      <c r="BP195" s="689"/>
      <c r="BQ195" s="689"/>
      <c r="BR195" s="689"/>
      <c r="BS195" s="705"/>
      <c r="BT195" s="689"/>
      <c r="BU195" s="689"/>
      <c r="BV195" s="689"/>
      <c r="BW195" s="738"/>
      <c r="BX195" s="739"/>
      <c r="BY195" s="739"/>
      <c r="BZ195" s="740"/>
      <c r="CA195" s="679"/>
      <c r="CB195" s="657"/>
      <c r="CC195" s="657"/>
      <c r="CD195" s="657"/>
      <c r="CE195" s="657"/>
      <c r="CF195" s="657"/>
      <c r="CG195" s="657"/>
      <c r="CH195" s="657"/>
      <c r="CI195" s="657"/>
    </row>
    <row r="196" spans="1:87" ht="13.5" customHeight="1">
      <c r="A196" s="708"/>
      <c r="B196" s="708"/>
      <c r="C196" s="708"/>
      <c r="D196" s="708"/>
      <c r="E196" s="708"/>
      <c r="F196" s="708"/>
      <c r="G196" s="1461"/>
      <c r="H196" s="1461"/>
      <c r="I196" s="1391">
        <v>0.25</v>
      </c>
      <c r="J196" s="1391"/>
      <c r="K196" s="1391"/>
      <c r="L196" s="1391"/>
      <c r="M196" s="1391">
        <v>0.29166666666666669</v>
      </c>
      <c r="N196" s="1391"/>
      <c r="O196" s="1391"/>
      <c r="P196" s="1391"/>
      <c r="Q196" s="1391">
        <v>0.33333333333333331</v>
      </c>
      <c r="R196" s="1391"/>
      <c r="S196" s="1391"/>
      <c r="T196" s="1391"/>
      <c r="U196" s="1391">
        <v>0.375</v>
      </c>
      <c r="V196" s="1391"/>
      <c r="W196" s="1391"/>
      <c r="X196" s="1391"/>
      <c r="Y196" s="1391">
        <v>0.41666666666666669</v>
      </c>
      <c r="Z196" s="1418"/>
      <c r="AA196" s="1391"/>
      <c r="AB196" s="1391"/>
      <c r="AC196" s="1391">
        <v>0.45833333333333331</v>
      </c>
      <c r="AD196" s="1391"/>
      <c r="AE196" s="1391"/>
      <c r="AF196" s="1391"/>
      <c r="AG196" s="1385">
        <v>0.5</v>
      </c>
      <c r="AH196" s="1385"/>
      <c r="AI196" s="1385"/>
      <c r="AJ196" s="1385"/>
      <c r="AK196" s="1385">
        <v>4.1666666666666664E-2</v>
      </c>
      <c r="AL196" s="1385"/>
      <c r="AM196" s="1385"/>
      <c r="AN196" s="1385"/>
      <c r="AO196" s="1385">
        <v>8.3333333333333329E-2</v>
      </c>
      <c r="AP196" s="1385"/>
      <c r="AQ196" s="1385"/>
      <c r="AR196" s="1385"/>
      <c r="AS196" s="1385">
        <v>0.125</v>
      </c>
      <c r="AT196" s="1385"/>
      <c r="AU196" s="1385"/>
      <c r="AV196" s="1385"/>
      <c r="AW196" s="1385">
        <v>0.16666666666666666</v>
      </c>
      <c r="AX196" s="1385"/>
      <c r="AY196" s="1385"/>
      <c r="AZ196" s="1385"/>
      <c r="BA196" s="1385">
        <v>0.20833333333333334</v>
      </c>
      <c r="BB196" s="1385"/>
      <c r="BC196" s="1385"/>
      <c r="BD196" s="1385"/>
      <c r="BE196" s="1385">
        <v>0.25</v>
      </c>
      <c r="BF196" s="1385"/>
      <c r="BG196" s="1385"/>
      <c r="BH196" s="1385"/>
      <c r="BI196" s="1385">
        <v>0.29166666666666669</v>
      </c>
      <c r="BJ196" s="1385"/>
      <c r="BK196" s="1385"/>
      <c r="BL196" s="1385"/>
      <c r="BM196" s="1385">
        <v>0.33333333333333331</v>
      </c>
      <c r="BN196" s="1385"/>
      <c r="BO196" s="1385"/>
      <c r="BP196" s="1385"/>
      <c r="BQ196" s="1385">
        <v>0.375</v>
      </c>
      <c r="BR196" s="1385"/>
      <c r="BS196" s="1385"/>
      <c r="BT196" s="1385"/>
      <c r="BU196" s="1385">
        <v>0.41666666666666669</v>
      </c>
      <c r="BV196" s="1414"/>
      <c r="BW196" s="1414"/>
      <c r="BX196" s="1414"/>
      <c r="BY196" s="652"/>
      <c r="BZ196" s="652"/>
      <c r="CA196" s="652"/>
      <c r="CB196" s="657"/>
      <c r="CC196" s="657"/>
      <c r="CD196" s="657"/>
      <c r="CE196" s="657"/>
      <c r="CF196" s="657"/>
      <c r="CG196" s="657"/>
      <c r="CH196" s="657"/>
      <c r="CI196" s="657"/>
    </row>
    <row r="197" spans="1:87" ht="13.5" customHeight="1">
      <c r="A197" s="1415" t="s">
        <v>75</v>
      </c>
      <c r="B197" s="1415"/>
      <c r="C197" s="1415"/>
      <c r="D197" s="1416"/>
      <c r="E197" s="1416"/>
      <c r="F197" s="1416"/>
      <c r="G197" s="1416"/>
      <c r="H197" s="1416"/>
      <c r="I197" s="1416"/>
      <c r="J197" s="1416"/>
      <c r="K197" s="1416"/>
      <c r="L197" s="1416"/>
      <c r="M197" s="1416"/>
      <c r="N197" s="1416"/>
      <c r="O197" s="1416"/>
      <c r="P197" s="1416"/>
      <c r="Q197" s="1416"/>
      <c r="R197" s="1416"/>
      <c r="S197" s="1416"/>
      <c r="T197" s="1416"/>
      <c r="U197" s="1416"/>
      <c r="V197" s="1416"/>
      <c r="W197" s="1416"/>
      <c r="X197" s="1416"/>
      <c r="Y197" s="1416"/>
      <c r="Z197" s="1416"/>
      <c r="AA197" s="1416"/>
      <c r="AB197" s="1416"/>
      <c r="AC197" s="1416"/>
      <c r="AD197" s="1416"/>
      <c r="AE197" s="1416"/>
      <c r="AF197" s="1416"/>
      <c r="AG197" s="1416"/>
      <c r="AH197" s="1416"/>
      <c r="AI197" s="1416"/>
      <c r="AJ197" s="1416"/>
      <c r="AK197" s="1416"/>
      <c r="AL197" s="1416"/>
      <c r="AM197" s="1416"/>
      <c r="AN197" s="1416"/>
      <c r="AO197" s="1416"/>
      <c r="AP197" s="1416"/>
      <c r="AQ197" s="1416"/>
      <c r="AR197" s="1416"/>
      <c r="AS197" s="1416"/>
      <c r="AT197" s="1416"/>
      <c r="AU197" s="1416"/>
      <c r="AV197" s="1416"/>
      <c r="AW197" s="1416"/>
      <c r="AX197" s="1416"/>
      <c r="AY197" s="1416"/>
      <c r="AZ197" s="1416"/>
      <c r="BA197" s="1416"/>
      <c r="BB197" s="1416"/>
      <c r="BC197" s="1416"/>
      <c r="BD197" s="1416"/>
      <c r="BE197" s="1416"/>
      <c r="BF197" s="1416"/>
      <c r="BG197" s="1416"/>
      <c r="BH197" s="1416"/>
      <c r="BI197" s="1416"/>
      <c r="BJ197" s="1416"/>
      <c r="BK197" s="1416"/>
      <c r="BL197" s="1416"/>
      <c r="BM197" s="1416"/>
      <c r="BN197" s="1416"/>
      <c r="BO197" s="1416"/>
      <c r="BP197" s="1416"/>
      <c r="BQ197" s="1416"/>
      <c r="BR197" s="1416"/>
      <c r="BS197" s="1416"/>
      <c r="BT197" s="1416"/>
      <c r="BU197" s="1416"/>
      <c r="BV197" s="1416"/>
      <c r="BW197" s="1416"/>
      <c r="BX197" s="1416"/>
      <c r="BY197" s="1416"/>
      <c r="BZ197" s="1416"/>
      <c r="CA197" s="672"/>
      <c r="CB197" s="709"/>
      <c r="CC197" s="709"/>
      <c r="CD197" s="709"/>
      <c r="CE197" s="709"/>
      <c r="CF197" s="709"/>
      <c r="CG197" s="709"/>
      <c r="CH197" s="709"/>
      <c r="CI197" s="709"/>
    </row>
    <row r="198" spans="1:87">
      <c r="A198" s="1415"/>
      <c r="B198" s="1415"/>
      <c r="C198" s="1415"/>
      <c r="D198" s="1416"/>
      <c r="E198" s="1416"/>
      <c r="F198" s="1416"/>
      <c r="G198" s="1416"/>
      <c r="H198" s="1416"/>
      <c r="I198" s="1416"/>
      <c r="J198" s="1416"/>
      <c r="K198" s="1416"/>
      <c r="L198" s="1416"/>
      <c r="M198" s="1416"/>
      <c r="N198" s="1416"/>
      <c r="O198" s="1416"/>
      <c r="P198" s="1416"/>
      <c r="Q198" s="1416"/>
      <c r="R198" s="1416"/>
      <c r="S198" s="1416"/>
      <c r="T198" s="1416"/>
      <c r="U198" s="1416"/>
      <c r="V198" s="1416"/>
      <c r="W198" s="1416"/>
      <c r="X198" s="1416"/>
      <c r="Y198" s="1416"/>
      <c r="Z198" s="1416"/>
      <c r="AA198" s="1416"/>
      <c r="AB198" s="1416"/>
      <c r="AC198" s="1416"/>
      <c r="AD198" s="1416"/>
      <c r="AE198" s="1416"/>
      <c r="AF198" s="1416"/>
      <c r="AG198" s="1416"/>
      <c r="AH198" s="1416"/>
      <c r="AI198" s="1416"/>
      <c r="AJ198" s="1416"/>
      <c r="AK198" s="1416"/>
      <c r="AL198" s="1416"/>
      <c r="AM198" s="1416"/>
      <c r="AN198" s="1416"/>
      <c r="AO198" s="1416"/>
      <c r="AP198" s="1416"/>
      <c r="AQ198" s="1416"/>
      <c r="AR198" s="1416"/>
      <c r="AS198" s="1416"/>
      <c r="AT198" s="1416"/>
      <c r="AU198" s="1416"/>
      <c r="AV198" s="1416"/>
      <c r="AW198" s="1416"/>
      <c r="AX198" s="1416"/>
      <c r="AY198" s="1416"/>
      <c r="AZ198" s="1416"/>
      <c r="BA198" s="1416"/>
      <c r="BB198" s="1416"/>
      <c r="BC198" s="1416"/>
      <c r="BD198" s="1416"/>
      <c r="BE198" s="1416"/>
      <c r="BF198" s="1416"/>
      <c r="BG198" s="1416"/>
      <c r="BH198" s="1416"/>
      <c r="BI198" s="1416"/>
      <c r="BJ198" s="1416"/>
      <c r="BK198" s="1416"/>
      <c r="BL198" s="1416"/>
      <c r="BM198" s="1416"/>
      <c r="BN198" s="1416"/>
      <c r="BO198" s="1416"/>
      <c r="BP198" s="1416"/>
      <c r="BQ198" s="1416"/>
      <c r="BR198" s="1416"/>
      <c r="BS198" s="1416"/>
      <c r="BT198" s="1416"/>
      <c r="BU198" s="1416"/>
      <c r="BV198" s="1416"/>
      <c r="BW198" s="1416"/>
      <c r="BX198" s="1416"/>
      <c r="BY198" s="1416"/>
      <c r="BZ198" s="1416"/>
      <c r="CA198" s="672"/>
      <c r="CB198" s="709"/>
      <c r="CC198" s="709"/>
      <c r="CD198" s="709"/>
      <c r="CE198" s="709"/>
      <c r="CF198" s="709"/>
      <c r="CG198" s="709"/>
      <c r="CH198" s="709"/>
      <c r="CI198" s="709"/>
    </row>
    <row r="199" spans="1:87">
      <c r="A199" s="1415"/>
      <c r="B199" s="1415"/>
      <c r="C199" s="1415"/>
      <c r="D199" s="1416"/>
      <c r="E199" s="1416"/>
      <c r="F199" s="1416"/>
      <c r="G199" s="1416"/>
      <c r="H199" s="1416"/>
      <c r="I199" s="1416"/>
      <c r="J199" s="1416"/>
      <c r="K199" s="1416"/>
      <c r="L199" s="1416"/>
      <c r="M199" s="1416"/>
      <c r="N199" s="1416"/>
      <c r="O199" s="1416"/>
      <c r="P199" s="1416"/>
      <c r="Q199" s="1416"/>
      <c r="R199" s="1416"/>
      <c r="S199" s="1416"/>
      <c r="T199" s="1416"/>
      <c r="U199" s="1416"/>
      <c r="V199" s="1416"/>
      <c r="W199" s="1416"/>
      <c r="X199" s="1416"/>
      <c r="Y199" s="1416"/>
      <c r="Z199" s="1416"/>
      <c r="AA199" s="1416"/>
      <c r="AB199" s="1416"/>
      <c r="AC199" s="1416"/>
      <c r="AD199" s="1416"/>
      <c r="AE199" s="1416"/>
      <c r="AF199" s="1416"/>
      <c r="AG199" s="1416"/>
      <c r="AH199" s="1416"/>
      <c r="AI199" s="1416"/>
      <c r="AJ199" s="1416"/>
      <c r="AK199" s="1416"/>
      <c r="AL199" s="1416"/>
      <c r="AM199" s="1416"/>
      <c r="AN199" s="1416"/>
      <c r="AO199" s="1416"/>
      <c r="AP199" s="1416"/>
      <c r="AQ199" s="1416"/>
      <c r="AR199" s="1416"/>
      <c r="AS199" s="1416"/>
      <c r="AT199" s="1416"/>
      <c r="AU199" s="1416"/>
      <c r="AV199" s="1416"/>
      <c r="AW199" s="1416"/>
      <c r="AX199" s="1416"/>
      <c r="AY199" s="1416"/>
      <c r="AZ199" s="1416"/>
      <c r="BA199" s="1416"/>
      <c r="BB199" s="1416"/>
      <c r="BC199" s="1416"/>
      <c r="BD199" s="1416"/>
      <c r="BE199" s="1416"/>
      <c r="BF199" s="1416"/>
      <c r="BG199" s="1416"/>
      <c r="BH199" s="1416"/>
      <c r="BI199" s="1416"/>
      <c r="BJ199" s="1416"/>
      <c r="BK199" s="1416"/>
      <c r="BL199" s="1416"/>
      <c r="BM199" s="1416"/>
      <c r="BN199" s="1416"/>
      <c r="BO199" s="1416"/>
      <c r="BP199" s="1416"/>
      <c r="BQ199" s="1416"/>
      <c r="BR199" s="1416"/>
      <c r="BS199" s="1416"/>
      <c r="BT199" s="1416"/>
      <c r="BU199" s="1416"/>
      <c r="BV199" s="1416"/>
      <c r="BW199" s="1416"/>
      <c r="BX199" s="1416"/>
      <c r="BY199" s="1416"/>
      <c r="BZ199" s="1416"/>
      <c r="CA199" s="672"/>
      <c r="CB199" s="709"/>
      <c r="CC199" s="709"/>
      <c r="CD199" s="709"/>
      <c r="CE199" s="709"/>
      <c r="CF199" s="709"/>
      <c r="CG199" s="709"/>
      <c r="CH199" s="709"/>
      <c r="CI199" s="709"/>
    </row>
    <row r="200" spans="1:87">
      <c r="A200" s="1415"/>
      <c r="B200" s="1415"/>
      <c r="C200" s="1415"/>
      <c r="D200" s="1416"/>
      <c r="E200" s="1416"/>
      <c r="F200" s="1416"/>
      <c r="G200" s="1416"/>
      <c r="H200" s="1416"/>
      <c r="I200" s="1416"/>
      <c r="J200" s="1416"/>
      <c r="K200" s="1416"/>
      <c r="L200" s="1416"/>
      <c r="M200" s="1416"/>
      <c r="N200" s="1416"/>
      <c r="O200" s="1416"/>
      <c r="P200" s="1416"/>
      <c r="Q200" s="1416"/>
      <c r="R200" s="1416"/>
      <c r="S200" s="1416"/>
      <c r="T200" s="1416"/>
      <c r="U200" s="1416"/>
      <c r="V200" s="1416"/>
      <c r="W200" s="1416"/>
      <c r="X200" s="1416"/>
      <c r="Y200" s="1416"/>
      <c r="Z200" s="1416"/>
      <c r="AA200" s="1416"/>
      <c r="AB200" s="1416"/>
      <c r="AC200" s="1416"/>
      <c r="AD200" s="1416"/>
      <c r="AE200" s="1416"/>
      <c r="AF200" s="1416"/>
      <c r="AG200" s="1416"/>
      <c r="AH200" s="1416"/>
      <c r="AI200" s="1416"/>
      <c r="AJ200" s="1416"/>
      <c r="AK200" s="1416"/>
      <c r="AL200" s="1416"/>
      <c r="AM200" s="1416"/>
      <c r="AN200" s="1416"/>
      <c r="AO200" s="1416"/>
      <c r="AP200" s="1416"/>
      <c r="AQ200" s="1416"/>
      <c r="AR200" s="1416"/>
      <c r="AS200" s="1416"/>
      <c r="AT200" s="1416"/>
      <c r="AU200" s="1416"/>
      <c r="AV200" s="1416"/>
      <c r="AW200" s="1416"/>
      <c r="AX200" s="1416"/>
      <c r="AY200" s="1416"/>
      <c r="AZ200" s="1416"/>
      <c r="BA200" s="1416"/>
      <c r="BB200" s="1416"/>
      <c r="BC200" s="1416"/>
      <c r="BD200" s="1416"/>
      <c r="BE200" s="1416"/>
      <c r="BF200" s="1416"/>
      <c r="BG200" s="1416"/>
      <c r="BH200" s="1416"/>
      <c r="BI200" s="1416"/>
      <c r="BJ200" s="1416"/>
      <c r="BK200" s="1416"/>
      <c r="BL200" s="1416"/>
      <c r="BM200" s="1416"/>
      <c r="BN200" s="1416"/>
      <c r="BO200" s="1416"/>
      <c r="BP200" s="1416"/>
      <c r="BQ200" s="1416"/>
      <c r="BR200" s="1416"/>
      <c r="BS200" s="1416"/>
      <c r="BT200" s="1416"/>
      <c r="BU200" s="1416"/>
      <c r="BV200" s="1416"/>
      <c r="BW200" s="1416"/>
      <c r="BX200" s="1416"/>
      <c r="BY200" s="1416"/>
      <c r="BZ200" s="1416"/>
      <c r="CA200" s="672"/>
      <c r="CB200" s="709"/>
      <c r="CC200" s="709"/>
      <c r="CD200" s="709"/>
      <c r="CE200" s="709"/>
      <c r="CF200" s="709"/>
      <c r="CG200" s="709"/>
      <c r="CH200" s="709"/>
      <c r="CI200" s="709"/>
    </row>
    <row r="201" spans="1:87">
      <c r="A201" s="1415"/>
      <c r="B201" s="1415"/>
      <c r="C201" s="1415"/>
      <c r="D201" s="1416"/>
      <c r="E201" s="1416"/>
      <c r="F201" s="1416"/>
      <c r="G201" s="1416"/>
      <c r="H201" s="1416"/>
      <c r="I201" s="1416"/>
      <c r="J201" s="1416"/>
      <c r="K201" s="1416"/>
      <c r="L201" s="1416"/>
      <c r="M201" s="1416"/>
      <c r="N201" s="1416"/>
      <c r="O201" s="1416"/>
      <c r="P201" s="1416"/>
      <c r="Q201" s="1416"/>
      <c r="R201" s="1416"/>
      <c r="S201" s="1416"/>
      <c r="T201" s="1416"/>
      <c r="U201" s="1416"/>
      <c r="V201" s="1416"/>
      <c r="W201" s="1416"/>
      <c r="X201" s="1416"/>
      <c r="Y201" s="1416"/>
      <c r="Z201" s="1416"/>
      <c r="AA201" s="1416"/>
      <c r="AB201" s="1416"/>
      <c r="AC201" s="1416"/>
      <c r="AD201" s="1416"/>
      <c r="AE201" s="1416"/>
      <c r="AF201" s="1416"/>
      <c r="AG201" s="1416"/>
      <c r="AH201" s="1416"/>
      <c r="AI201" s="1416"/>
      <c r="AJ201" s="1416"/>
      <c r="AK201" s="1416"/>
      <c r="AL201" s="1416"/>
      <c r="AM201" s="1416"/>
      <c r="AN201" s="1416"/>
      <c r="AO201" s="1416"/>
      <c r="AP201" s="1416"/>
      <c r="AQ201" s="1416"/>
      <c r="AR201" s="1416"/>
      <c r="AS201" s="1416"/>
      <c r="AT201" s="1416"/>
      <c r="AU201" s="1416"/>
      <c r="AV201" s="1416"/>
      <c r="AW201" s="1416"/>
      <c r="AX201" s="1416"/>
      <c r="AY201" s="1416"/>
      <c r="AZ201" s="1416"/>
      <c r="BA201" s="1416"/>
      <c r="BB201" s="1416"/>
      <c r="BC201" s="1416"/>
      <c r="BD201" s="1416"/>
      <c r="BE201" s="1416"/>
      <c r="BF201" s="1416"/>
      <c r="BG201" s="1416"/>
      <c r="BH201" s="1416"/>
      <c r="BI201" s="1416"/>
      <c r="BJ201" s="1416"/>
      <c r="BK201" s="1416"/>
      <c r="BL201" s="1416"/>
      <c r="BM201" s="1416"/>
      <c r="BN201" s="1416"/>
      <c r="BO201" s="1416"/>
      <c r="BP201" s="1416"/>
      <c r="BQ201" s="1416"/>
      <c r="BR201" s="1416"/>
      <c r="BS201" s="1416"/>
      <c r="BT201" s="1416"/>
      <c r="BU201" s="1416"/>
      <c r="BV201" s="1416"/>
      <c r="BW201" s="1416"/>
      <c r="BX201" s="1416"/>
      <c r="BY201" s="1416"/>
      <c r="BZ201" s="1416"/>
      <c r="CA201" s="672"/>
      <c r="CB201" s="709"/>
      <c r="CC201" s="709"/>
      <c r="CD201" s="709"/>
      <c r="CE201" s="709"/>
      <c r="CF201" s="709"/>
      <c r="CG201" s="709"/>
      <c r="CH201" s="709"/>
      <c r="CI201" s="709"/>
    </row>
    <row r="202" spans="1:87">
      <c r="A202" s="1417" t="s">
        <v>88</v>
      </c>
      <c r="B202" s="1417"/>
      <c r="C202" s="1417"/>
      <c r="D202" s="1417"/>
      <c r="E202" s="1417"/>
      <c r="F202" s="1417"/>
      <c r="G202" s="1417"/>
      <c r="H202" s="1417"/>
      <c r="I202" s="1417"/>
      <c r="J202" s="1417"/>
      <c r="K202" s="1417"/>
      <c r="L202" s="1417"/>
      <c r="M202" s="1417"/>
      <c r="N202" s="1417"/>
      <c r="O202" s="1417"/>
      <c r="P202" s="1417"/>
      <c r="Q202" s="1417"/>
      <c r="R202" s="1417"/>
      <c r="S202" s="1417"/>
      <c r="T202" s="1417"/>
      <c r="U202" s="1417"/>
      <c r="V202" s="1417"/>
      <c r="W202" s="1417"/>
      <c r="X202" s="1417"/>
      <c r="Y202" s="1417"/>
      <c r="Z202" s="1417"/>
      <c r="AA202" s="1417"/>
      <c r="AB202" s="1417"/>
      <c r="AC202" s="1417"/>
      <c r="AD202" s="1417"/>
      <c r="AE202" s="1417"/>
      <c r="AF202" s="1417"/>
      <c r="AG202" s="1417"/>
      <c r="AH202" s="1417"/>
      <c r="AI202" s="1417"/>
      <c r="AJ202" s="1417"/>
      <c r="AK202" s="1417"/>
      <c r="AL202" s="1417"/>
      <c r="AM202" s="1417"/>
      <c r="AN202" s="1417"/>
      <c r="AO202" s="1417"/>
      <c r="AP202" s="1417"/>
      <c r="AQ202" s="1417"/>
      <c r="AR202" s="1417"/>
      <c r="AS202" s="1417"/>
      <c r="AT202" s="1417"/>
      <c r="AU202" s="1417"/>
      <c r="AV202" s="1417"/>
      <c r="AW202" s="1417"/>
      <c r="AX202" s="1417"/>
      <c r="AY202" s="1417"/>
      <c r="AZ202" s="1417"/>
      <c r="BA202" s="1417"/>
      <c r="BB202" s="1417"/>
      <c r="BC202" s="1417"/>
      <c r="BD202" s="1417"/>
      <c r="BE202" s="1417"/>
      <c r="BF202" s="1417"/>
      <c r="BG202" s="1417"/>
      <c r="BH202" s="1417"/>
      <c r="BI202" s="1417"/>
      <c r="BJ202" s="1417"/>
      <c r="BK202" s="1417"/>
      <c r="BL202" s="1417"/>
      <c r="BM202" s="1417"/>
      <c r="BN202" s="1417"/>
      <c r="BO202" s="1417"/>
      <c r="BP202" s="1417"/>
      <c r="BQ202" s="1417"/>
      <c r="BR202" s="1417"/>
      <c r="BS202" s="1417"/>
      <c r="BT202" s="1417"/>
      <c r="BU202" s="1417"/>
      <c r="BV202" s="1417"/>
      <c r="BW202" s="1417"/>
      <c r="BX202" s="1417"/>
      <c r="BY202" s="1417"/>
      <c r="BZ202" s="1417"/>
      <c r="CA202" s="652"/>
      <c r="CB202" s="657"/>
      <c r="CC202" s="657"/>
      <c r="CD202" s="657"/>
      <c r="CE202" s="657"/>
      <c r="CF202" s="657"/>
      <c r="CG202" s="657"/>
      <c r="CH202" s="657"/>
      <c r="CI202" s="657"/>
    </row>
    <row r="203" spans="1:87">
      <c r="A203" s="1404" t="s">
        <v>87</v>
      </c>
      <c r="B203" s="1404"/>
      <c r="C203" s="1404"/>
      <c r="D203" s="1404"/>
      <c r="E203" s="1404"/>
      <c r="F203" s="1404"/>
      <c r="G203" s="1404"/>
      <c r="H203" s="1404"/>
      <c r="I203" s="1404"/>
      <c r="J203" s="1404"/>
      <c r="K203" s="1404"/>
      <c r="L203" s="1404"/>
      <c r="M203" s="1404"/>
      <c r="N203" s="1404"/>
      <c r="O203" s="1404"/>
      <c r="P203" s="1404"/>
      <c r="Q203" s="1404"/>
      <c r="R203" s="1404"/>
      <c r="S203" s="1404"/>
      <c r="T203" s="1404"/>
      <c r="U203" s="1404"/>
      <c r="V203" s="1404"/>
      <c r="W203" s="1404"/>
      <c r="X203" s="1404"/>
      <c r="Y203" s="1404"/>
      <c r="Z203" s="1404"/>
      <c r="AA203" s="1404"/>
      <c r="AB203" s="1404"/>
      <c r="AC203" s="1404"/>
      <c r="AD203" s="1404"/>
      <c r="AE203" s="1404"/>
      <c r="AF203" s="1404"/>
      <c r="AG203" s="1404"/>
      <c r="AH203" s="1404"/>
      <c r="AI203" s="1404"/>
      <c r="AJ203" s="1404"/>
      <c r="AK203" s="1404"/>
      <c r="AL203" s="1404"/>
      <c r="AM203" s="1404"/>
      <c r="AN203" s="1404"/>
      <c r="AO203" s="1404"/>
      <c r="AP203" s="1404"/>
      <c r="AQ203" s="1404"/>
      <c r="AR203" s="1404"/>
      <c r="AS203" s="1404"/>
      <c r="AT203" s="1404"/>
      <c r="AU203" s="1404"/>
      <c r="AV203" s="1404"/>
      <c r="AW203" s="1404"/>
      <c r="AX203" s="1404"/>
      <c r="AY203" s="1404"/>
      <c r="AZ203" s="1404"/>
      <c r="BA203" s="1404"/>
      <c r="BB203" s="1404"/>
      <c r="BC203" s="1404"/>
      <c r="BD203" s="1404"/>
      <c r="BE203" s="1404"/>
      <c r="BF203" s="1404"/>
      <c r="BG203" s="1404"/>
      <c r="BH203" s="1404"/>
      <c r="BI203" s="1404"/>
      <c r="BJ203" s="1404"/>
      <c r="BK203" s="1404"/>
      <c r="BL203" s="1404"/>
      <c r="BM203" s="1404"/>
      <c r="BN203" s="1404"/>
      <c r="BO203" s="1404"/>
      <c r="BP203" s="1404"/>
      <c r="BQ203" s="1404"/>
      <c r="BR203" s="1404"/>
      <c r="BS203" s="1404"/>
      <c r="BT203" s="1404"/>
      <c r="BU203" s="1404"/>
      <c r="BV203" s="1404"/>
      <c r="BW203" s="1404"/>
      <c r="BX203" s="1404"/>
      <c r="BY203" s="1404"/>
      <c r="BZ203" s="1404"/>
      <c r="CA203" s="652"/>
      <c r="CB203" s="657"/>
      <c r="CC203" s="657"/>
      <c r="CD203" s="657"/>
      <c r="CE203" s="657"/>
      <c r="CF203" s="657"/>
      <c r="CG203" s="657"/>
      <c r="CH203" s="657"/>
      <c r="CI203" s="657"/>
    </row>
    <row r="204" spans="1:87">
      <c r="A204" s="1404" t="s">
        <v>86</v>
      </c>
      <c r="B204" s="1404"/>
      <c r="C204" s="1404"/>
      <c r="D204" s="1404"/>
      <c r="E204" s="1404"/>
      <c r="F204" s="1404"/>
      <c r="G204" s="1404"/>
      <c r="H204" s="1404"/>
      <c r="I204" s="1404"/>
      <c r="J204" s="1404"/>
      <c r="K204" s="1404"/>
      <c r="L204" s="1404"/>
      <c r="M204" s="1404"/>
      <c r="N204" s="1404"/>
      <c r="O204" s="1404"/>
      <c r="P204" s="1404"/>
      <c r="Q204" s="1404"/>
      <c r="R204" s="1404"/>
      <c r="S204" s="1404"/>
      <c r="T204" s="1404"/>
      <c r="U204" s="1404"/>
      <c r="V204" s="1404"/>
      <c r="W204" s="1404"/>
      <c r="X204" s="1404"/>
      <c r="Y204" s="1404"/>
      <c r="Z204" s="1404"/>
      <c r="AA204" s="1404"/>
      <c r="AB204" s="1404"/>
      <c r="AC204" s="1404"/>
      <c r="AD204" s="1404"/>
      <c r="AE204" s="1404"/>
      <c r="AF204" s="1404"/>
      <c r="AG204" s="1404"/>
      <c r="AH204" s="1404"/>
      <c r="AI204" s="1404"/>
      <c r="AJ204" s="1404"/>
      <c r="AK204" s="1404"/>
      <c r="AL204" s="1404"/>
      <c r="AM204" s="1404"/>
      <c r="AN204" s="1404"/>
      <c r="AO204" s="1404"/>
      <c r="AP204" s="1404"/>
      <c r="AQ204" s="1404"/>
      <c r="AR204" s="1404"/>
      <c r="AS204" s="1404"/>
      <c r="AT204" s="1404"/>
      <c r="AU204" s="1404"/>
      <c r="AV204" s="1404"/>
      <c r="AW204" s="1404"/>
      <c r="AX204" s="1404"/>
      <c r="AY204" s="1404"/>
      <c r="AZ204" s="1404"/>
      <c r="BA204" s="1404"/>
      <c r="BB204" s="1404"/>
      <c r="BC204" s="1404"/>
      <c r="BD204" s="1404"/>
      <c r="BE204" s="1404"/>
      <c r="BF204" s="1404"/>
      <c r="BG204" s="1404"/>
      <c r="BH204" s="1404"/>
      <c r="BI204" s="1404"/>
      <c r="BJ204" s="1404"/>
      <c r="BK204" s="1404"/>
      <c r="BL204" s="1404"/>
      <c r="BM204" s="1404"/>
      <c r="BN204" s="1404"/>
      <c r="BO204" s="1404"/>
      <c r="BP204" s="1404"/>
      <c r="BQ204" s="1404"/>
      <c r="BR204" s="1404"/>
      <c r="BS204" s="1404"/>
      <c r="BT204" s="1404"/>
      <c r="BU204" s="1404"/>
      <c r="BV204" s="1404"/>
      <c r="BW204" s="1404"/>
      <c r="BX204" s="1404"/>
      <c r="BY204" s="1404"/>
      <c r="BZ204" s="1404"/>
      <c r="CA204" s="652"/>
      <c r="CB204" s="657"/>
      <c r="CC204" s="657"/>
      <c r="CD204" s="657"/>
      <c r="CE204" s="657"/>
      <c r="CF204" s="657"/>
      <c r="CG204" s="657"/>
      <c r="CH204" s="657"/>
      <c r="CI204" s="657"/>
    </row>
    <row r="205" spans="1:87" s="252" customFormat="1" ht="23.25">
      <c r="A205" s="1510" t="s">
        <v>3123</v>
      </c>
      <c r="B205" s="1510"/>
      <c r="C205" s="1510"/>
      <c r="D205" s="1510"/>
      <c r="E205" s="1510"/>
      <c r="F205" s="1510"/>
      <c r="G205" s="1510"/>
      <c r="H205" s="1510"/>
      <c r="I205" s="1510"/>
      <c r="J205" s="1510"/>
      <c r="K205" s="1510"/>
      <c r="L205" s="1510"/>
      <c r="M205" s="1510"/>
      <c r="N205" s="1510"/>
      <c r="O205" s="1510"/>
      <c r="P205" s="1510"/>
      <c r="Q205" s="1510"/>
      <c r="R205" s="1510"/>
      <c r="S205" s="1510"/>
      <c r="T205" s="1510"/>
      <c r="U205" s="1510"/>
      <c r="V205" s="1510"/>
      <c r="W205" s="1510"/>
      <c r="X205" s="1510"/>
      <c r="Y205" s="1510"/>
      <c r="Z205" s="1510"/>
      <c r="AA205" s="1510"/>
      <c r="AB205" s="1510"/>
      <c r="AC205" s="1510"/>
      <c r="AD205" s="1510"/>
      <c r="AE205" s="1510"/>
      <c r="AF205" s="1510"/>
      <c r="AG205" s="1510"/>
      <c r="AH205" s="1510"/>
      <c r="AI205" s="1510"/>
      <c r="AJ205" s="1510"/>
      <c r="AK205" s="1510"/>
      <c r="AL205" s="1510"/>
      <c r="AM205" s="1510"/>
      <c r="AN205" s="1510"/>
      <c r="AO205" s="1510"/>
      <c r="AP205" s="1510"/>
      <c r="AQ205" s="1510"/>
      <c r="AR205" s="1510"/>
      <c r="AS205" s="1510"/>
      <c r="AT205" s="1510"/>
      <c r="AU205" s="1510"/>
      <c r="AV205" s="1510"/>
      <c r="AW205" s="1510"/>
      <c r="AX205" s="1510"/>
      <c r="AY205" s="1510"/>
      <c r="AZ205" s="1510"/>
      <c r="BA205" s="1510"/>
      <c r="BB205" s="1510"/>
      <c r="BC205" s="1510"/>
      <c r="BD205" s="1510"/>
      <c r="BE205" s="1510"/>
      <c r="BF205" s="1510"/>
      <c r="BG205" s="1510"/>
      <c r="BH205" s="1510"/>
      <c r="BI205" s="1510"/>
      <c r="BJ205" s="1510"/>
      <c r="BK205" s="1510"/>
      <c r="BL205" s="1510"/>
      <c r="BM205" s="1510"/>
      <c r="BN205" s="1510"/>
      <c r="BO205" s="1510"/>
      <c r="BP205" s="1510"/>
      <c r="BQ205" s="1510"/>
      <c r="BR205" s="1510"/>
      <c r="BS205" s="1510"/>
      <c r="BT205" s="1510"/>
      <c r="BU205" s="1510"/>
      <c r="BV205" s="1510"/>
      <c r="BW205" s="1510"/>
      <c r="BX205" s="1510"/>
      <c r="BY205" s="1510"/>
      <c r="BZ205" s="1510"/>
      <c r="CA205" s="643"/>
      <c r="CB205" s="644"/>
      <c r="CC205" s="644"/>
      <c r="CD205" s="644"/>
      <c r="CE205" s="644"/>
      <c r="CF205" s="644"/>
      <c r="CG205" s="644"/>
      <c r="CH205" s="644"/>
      <c r="CI205" s="644"/>
    </row>
    <row r="206" spans="1:87" s="252" customFormat="1" ht="9.9499999999999993" customHeight="1">
      <c r="A206" s="238"/>
      <c r="B206" s="285"/>
      <c r="C206" s="285"/>
      <c r="D206" s="285"/>
      <c r="E206" s="285"/>
      <c r="F206" s="285"/>
      <c r="G206" s="285"/>
      <c r="H206" s="285"/>
      <c r="I206" s="285"/>
      <c r="J206" s="285"/>
      <c r="K206" s="285"/>
      <c r="L206" s="285"/>
      <c r="M206" s="285"/>
      <c r="N206" s="285"/>
      <c r="O206" s="285"/>
      <c r="P206" s="285"/>
      <c r="Q206" s="285"/>
      <c r="R206" s="285"/>
      <c r="S206" s="285"/>
      <c r="T206" s="285"/>
      <c r="U206" s="285"/>
      <c r="V206" s="285"/>
      <c r="W206" s="285"/>
      <c r="X206" s="285"/>
      <c r="Y206" s="285"/>
      <c r="Z206" s="285"/>
      <c r="AA206" s="285"/>
      <c r="AB206" s="285"/>
      <c r="AC206" s="285"/>
      <c r="AD206" s="285"/>
      <c r="AE206" s="285"/>
      <c r="AF206" s="285"/>
      <c r="AG206" s="285"/>
      <c r="AH206" s="285"/>
      <c r="AI206" s="285"/>
      <c r="AJ206" s="285"/>
      <c r="AK206" s="285"/>
      <c r="AL206" s="285"/>
      <c r="AM206" s="285"/>
      <c r="AN206" s="285"/>
      <c r="AO206" s="285"/>
      <c r="AP206" s="285"/>
      <c r="AQ206" s="285"/>
      <c r="AR206" s="285"/>
      <c r="AS206" s="285"/>
      <c r="AT206" s="285"/>
      <c r="AU206" s="238"/>
      <c r="AV206" s="238"/>
      <c r="AW206" s="285"/>
      <c r="AX206" s="294"/>
      <c r="AY206" s="294"/>
      <c r="AZ206" s="294"/>
      <c r="BA206" s="294"/>
      <c r="BB206" s="294"/>
      <c r="BC206" s="294"/>
      <c r="BD206" s="294"/>
      <c r="BE206" s="294"/>
      <c r="BF206" s="294"/>
      <c r="BG206" s="294"/>
      <c r="BH206" s="294"/>
      <c r="BI206" s="294"/>
      <c r="BJ206" s="294"/>
      <c r="BK206" s="294"/>
      <c r="BL206" s="294"/>
      <c r="BM206" s="294"/>
      <c r="BN206" s="294"/>
      <c r="BO206" s="294"/>
      <c r="BP206" s="294"/>
      <c r="BQ206" s="294"/>
      <c r="BR206" s="294"/>
      <c r="BS206" s="294"/>
      <c r="BT206" s="294"/>
      <c r="BU206" s="294"/>
      <c r="BV206" s="294"/>
      <c r="BW206" s="1525" t="s">
        <v>85</v>
      </c>
      <c r="BX206" s="1525"/>
      <c r="BY206" s="1517">
        <v>1</v>
      </c>
      <c r="BZ206" s="1517"/>
      <c r="CA206" s="294"/>
    </row>
    <row r="207" spans="1:87" s="252" customFormat="1" ht="9.9499999999999993" customHeight="1">
      <c r="A207" s="238"/>
      <c r="B207" s="285"/>
      <c r="C207" s="285"/>
      <c r="D207" s="285"/>
      <c r="E207" s="285"/>
      <c r="F207" s="285"/>
      <c r="G207" s="285"/>
      <c r="H207" s="285"/>
      <c r="I207" s="285"/>
      <c r="J207" s="285"/>
      <c r="K207" s="285"/>
      <c r="L207" s="285"/>
      <c r="M207" s="285"/>
      <c r="N207" s="285"/>
      <c r="O207" s="285"/>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c r="AR207" s="285"/>
      <c r="AS207" s="285"/>
      <c r="AT207" s="285"/>
      <c r="AU207" s="238"/>
      <c r="AV207" s="238"/>
      <c r="AW207" s="285"/>
      <c r="AX207" s="294"/>
      <c r="AY207" s="294"/>
      <c r="AZ207" s="294"/>
      <c r="BA207" s="294"/>
      <c r="BB207" s="294"/>
      <c r="BC207" s="294"/>
      <c r="BD207" s="294"/>
      <c r="BE207" s="294"/>
      <c r="BF207" s="294"/>
      <c r="BG207" s="294"/>
      <c r="BH207" s="294"/>
      <c r="BI207" s="294"/>
      <c r="BJ207" s="294"/>
      <c r="BK207" s="294"/>
      <c r="BL207" s="294"/>
      <c r="BM207" s="294"/>
      <c r="BN207" s="294"/>
      <c r="BO207" s="294"/>
      <c r="BP207" s="294"/>
      <c r="BQ207" s="294"/>
      <c r="BR207" s="294"/>
      <c r="BS207" s="294"/>
      <c r="BT207" s="294"/>
      <c r="BU207" s="294"/>
      <c r="BV207" s="294"/>
      <c r="BW207" s="294"/>
      <c r="BX207" s="294"/>
      <c r="BY207" s="294"/>
      <c r="BZ207" s="294"/>
      <c r="CA207" s="294"/>
    </row>
    <row r="208" spans="1:87" s="252" customFormat="1" ht="12" customHeight="1">
      <c r="A208" s="1526" t="s">
        <v>84</v>
      </c>
      <c r="B208" s="1526"/>
      <c r="C208" s="1526"/>
      <c r="D208" s="1526"/>
      <c r="E208" s="1526"/>
      <c r="F208" s="1526"/>
      <c r="G208" s="1526"/>
      <c r="H208" s="1527" t="str">
        <f>CONCATENATE('01 使用承認申請書'!D157)</f>
        <v/>
      </c>
      <c r="I208" s="1527"/>
      <c r="J208" s="1527"/>
      <c r="K208" s="1527"/>
      <c r="L208" s="1527"/>
      <c r="M208" s="1527"/>
      <c r="N208" s="1527"/>
      <c r="O208" s="1527"/>
      <c r="P208" s="1527"/>
      <c r="Q208" s="1527"/>
      <c r="R208" s="1527"/>
      <c r="S208" s="1527"/>
      <c r="T208" s="1527"/>
      <c r="U208" s="1527"/>
      <c r="V208" s="1527"/>
      <c r="W208" s="1527"/>
      <c r="X208" s="1526" t="s">
        <v>82</v>
      </c>
      <c r="Y208" s="1526"/>
      <c r="Z208" s="1526"/>
      <c r="AA208" s="1526"/>
      <c r="AB208" s="1526"/>
      <c r="AC208" s="1526"/>
      <c r="AD208" s="1526"/>
      <c r="AE208" s="1518" t="str">
        <f>CONCATENATE('01 使用承認申請書'!B165)</f>
        <v/>
      </c>
      <c r="AF208" s="1518"/>
      <c r="AG208" s="1518"/>
      <c r="AH208" s="1518"/>
      <c r="AI208" s="1516" t="s">
        <v>16</v>
      </c>
      <c r="AJ208" s="1516"/>
      <c r="AK208" s="1518" t="str">
        <f>CONCATENATE('01 使用承認申請書'!C167)</f>
        <v/>
      </c>
      <c r="AL208" s="1518"/>
      <c r="AM208" s="1516" t="s">
        <v>15</v>
      </c>
      <c r="AN208" s="1516"/>
      <c r="AO208" s="1518" t="str">
        <f>CONCATENATE('01 使用承認申請書'!F167)</f>
        <v/>
      </c>
      <c r="AP208" s="1518"/>
      <c r="AQ208" s="1516" t="s">
        <v>14</v>
      </c>
      <c r="AR208" s="1516"/>
      <c r="AS208" s="1516" t="s">
        <v>38</v>
      </c>
      <c r="AT208" s="1516"/>
      <c r="AU208" s="1518" t="str">
        <f>CONCATENATE('01 使用承認申請書'!J167)</f>
        <v/>
      </c>
      <c r="AV208" s="1518"/>
      <c r="AW208" s="1516" t="s">
        <v>37</v>
      </c>
      <c r="AX208" s="1516"/>
      <c r="AY208" s="1516" t="s">
        <v>35</v>
      </c>
      <c r="AZ208" s="1516"/>
      <c r="BA208" s="1518" t="str">
        <f>CONCATENATE('01 使用承認申請書'!C169)</f>
        <v/>
      </c>
      <c r="BB208" s="1518"/>
      <c r="BC208" s="1516" t="s">
        <v>15</v>
      </c>
      <c r="BD208" s="1516"/>
      <c r="BE208" s="1518" t="str">
        <f>CONCATENATE('01 使用承認申請書'!F169)</f>
        <v/>
      </c>
      <c r="BF208" s="1518"/>
      <c r="BG208" s="1516" t="s">
        <v>14</v>
      </c>
      <c r="BH208" s="1516"/>
      <c r="BI208" s="1516" t="s">
        <v>38</v>
      </c>
      <c r="BJ208" s="1516"/>
      <c r="BK208" s="1518" t="str">
        <f>CONCATENATE('01 使用承認申請書'!J169)</f>
        <v/>
      </c>
      <c r="BL208" s="1518"/>
      <c r="BM208" s="1516" t="s">
        <v>37</v>
      </c>
      <c r="BN208" s="1516"/>
      <c r="BO208" s="1516"/>
      <c r="BP208" s="1520"/>
      <c r="BQ208" s="1516"/>
      <c r="BR208" s="1516"/>
      <c r="BS208" s="1524" t="str">
        <f>CONCATENATE('01 使用承認申請書'!L166)</f>
        <v/>
      </c>
      <c r="BT208" s="1524"/>
      <c r="BU208" s="1516" t="s">
        <v>46</v>
      </c>
      <c r="BV208" s="1516"/>
      <c r="BW208" s="1524" t="str">
        <f>CONCATENATE('01 使用承認申請書'!Q166)</f>
        <v/>
      </c>
      <c r="BX208" s="1524"/>
      <c r="BY208" s="1516" t="s">
        <v>14</v>
      </c>
      <c r="BZ208" s="1516"/>
      <c r="CA208" s="294"/>
    </row>
    <row r="209" spans="1:87" s="252" customFormat="1" ht="12" customHeight="1">
      <c r="A209" s="1162"/>
      <c r="B209" s="1162"/>
      <c r="C209" s="1162"/>
      <c r="D209" s="1162"/>
      <c r="E209" s="1162"/>
      <c r="F209" s="1162"/>
      <c r="G209" s="1162"/>
      <c r="H209" s="1528"/>
      <c r="I209" s="1528"/>
      <c r="J209" s="1528"/>
      <c r="K209" s="1528"/>
      <c r="L209" s="1528"/>
      <c r="M209" s="1528"/>
      <c r="N209" s="1528"/>
      <c r="O209" s="1528"/>
      <c r="P209" s="1528"/>
      <c r="Q209" s="1528"/>
      <c r="R209" s="1528"/>
      <c r="S209" s="1528"/>
      <c r="T209" s="1528"/>
      <c r="U209" s="1528"/>
      <c r="V209" s="1528"/>
      <c r="W209" s="1528"/>
      <c r="X209" s="1162"/>
      <c r="Y209" s="1162"/>
      <c r="Z209" s="1162"/>
      <c r="AA209" s="1162"/>
      <c r="AB209" s="1162"/>
      <c r="AC209" s="1162"/>
      <c r="AD209" s="1162"/>
      <c r="AE209" s="1519"/>
      <c r="AF209" s="1519"/>
      <c r="AG209" s="1519"/>
      <c r="AH209" s="1519"/>
      <c r="AI209" s="1517"/>
      <c r="AJ209" s="1517"/>
      <c r="AK209" s="1519"/>
      <c r="AL209" s="1519"/>
      <c r="AM209" s="1517"/>
      <c r="AN209" s="1517"/>
      <c r="AO209" s="1519"/>
      <c r="AP209" s="1519"/>
      <c r="AQ209" s="1517"/>
      <c r="AR209" s="1517"/>
      <c r="AS209" s="1517"/>
      <c r="AT209" s="1517"/>
      <c r="AU209" s="1519"/>
      <c r="AV209" s="1519"/>
      <c r="AW209" s="1517"/>
      <c r="AX209" s="1517"/>
      <c r="AY209" s="1517"/>
      <c r="AZ209" s="1517"/>
      <c r="BA209" s="1519"/>
      <c r="BB209" s="1519"/>
      <c r="BC209" s="1517"/>
      <c r="BD209" s="1517"/>
      <c r="BE209" s="1519"/>
      <c r="BF209" s="1519"/>
      <c r="BG209" s="1517"/>
      <c r="BH209" s="1517"/>
      <c r="BI209" s="1517"/>
      <c r="BJ209" s="1517"/>
      <c r="BK209" s="1519"/>
      <c r="BL209" s="1519"/>
      <c r="BM209" s="1517"/>
      <c r="BN209" s="1517"/>
      <c r="BO209" s="1291"/>
      <c r="BP209" s="1291"/>
      <c r="BQ209" s="1517"/>
      <c r="BR209" s="1517"/>
      <c r="BS209" s="1517" t="s">
        <v>47</v>
      </c>
      <c r="BT209" s="1517"/>
      <c r="BU209" s="1517"/>
      <c r="BV209" s="1517"/>
      <c r="BW209" s="1529" t="str">
        <f>CONCATENATE('01 使用承認申請書'!V166)</f>
        <v/>
      </c>
      <c r="BX209" s="1529"/>
      <c r="BY209" s="1517" t="s">
        <v>14</v>
      </c>
      <c r="BZ209" s="1517"/>
      <c r="CA209" s="294"/>
    </row>
    <row r="210" spans="1:87" s="252" customFormat="1" ht="12" customHeight="1">
      <c r="A210" s="744"/>
      <c r="B210" s="744"/>
      <c r="C210" s="744"/>
      <c r="D210" s="744"/>
      <c r="E210" s="744"/>
      <c r="F210" s="744"/>
      <c r="G210" s="744"/>
      <c r="H210" s="745"/>
      <c r="I210" s="745"/>
      <c r="J210" s="745"/>
      <c r="K210" s="745"/>
      <c r="L210" s="745"/>
      <c r="M210" s="745"/>
      <c r="N210" s="745"/>
      <c r="O210" s="745"/>
      <c r="P210" s="745"/>
      <c r="Q210" s="745"/>
      <c r="R210" s="745"/>
      <c r="S210" s="745"/>
      <c r="T210" s="745"/>
      <c r="U210" s="745"/>
      <c r="V210" s="745"/>
      <c r="W210" s="745"/>
      <c r="X210" s="744"/>
      <c r="Y210" s="744"/>
      <c r="Z210" s="744"/>
      <c r="AA210" s="744"/>
      <c r="AB210" s="744"/>
      <c r="AC210" s="744"/>
      <c r="AD210" s="744"/>
      <c r="AE210" s="741"/>
      <c r="AF210" s="741"/>
      <c r="AG210" s="742"/>
      <c r="AH210" s="648"/>
      <c r="AI210" s="746"/>
      <c r="AJ210" s="741"/>
      <c r="AK210" s="742"/>
      <c r="AL210" s="742"/>
      <c r="AM210" s="741"/>
      <c r="AN210" s="741"/>
      <c r="AO210" s="742"/>
      <c r="AP210" s="742"/>
      <c r="AQ210" s="741"/>
      <c r="AR210" s="741"/>
      <c r="AS210" s="741"/>
      <c r="AT210" s="741"/>
      <c r="AU210" s="742"/>
      <c r="AV210" s="742"/>
      <c r="AW210" s="741"/>
      <c r="AX210" s="741"/>
      <c r="AY210" s="741"/>
      <c r="AZ210" s="741"/>
      <c r="BA210" s="742"/>
      <c r="BB210" s="742"/>
      <c r="BC210" s="741"/>
      <c r="BD210" s="741"/>
      <c r="BE210" s="742"/>
      <c r="BF210" s="742"/>
      <c r="BG210" s="741"/>
      <c r="BH210" s="741"/>
      <c r="BI210" s="741"/>
      <c r="BJ210" s="741"/>
      <c r="BK210" s="742"/>
      <c r="BL210" s="742"/>
      <c r="BM210" s="741"/>
      <c r="BN210" s="741"/>
      <c r="BO210" s="743"/>
      <c r="BP210" s="743"/>
      <c r="BQ210" s="741"/>
      <c r="BR210" s="741"/>
      <c r="BS210" s="741"/>
      <c r="BT210" s="741"/>
      <c r="BU210" s="741"/>
      <c r="BV210" s="741"/>
      <c r="BW210" s="649"/>
      <c r="BX210" s="649"/>
      <c r="BY210" s="741"/>
      <c r="BZ210" s="741"/>
      <c r="CA210" s="294"/>
    </row>
    <row r="211" spans="1:87" ht="10.5" customHeight="1">
      <c r="A211" s="650"/>
      <c r="B211" s="650"/>
      <c r="C211" s="650"/>
      <c r="D211" s="650"/>
      <c r="E211" s="650"/>
      <c r="F211" s="650"/>
      <c r="G211" s="651"/>
      <c r="H211" s="650"/>
      <c r="I211" s="650"/>
      <c r="J211" s="650"/>
      <c r="K211" s="650"/>
      <c r="L211" s="650"/>
      <c r="M211" s="1505">
        <v>0.28125</v>
      </c>
      <c r="N211" s="1506"/>
      <c r="O211" s="1506"/>
      <c r="P211" s="1506"/>
      <c r="Q211" s="1507" t="s">
        <v>1901</v>
      </c>
      <c r="R211" s="1507"/>
      <c r="S211" s="1507"/>
      <c r="T211" s="1505">
        <v>0.36458333333333331</v>
      </c>
      <c r="U211" s="1506"/>
      <c r="V211" s="1506"/>
      <c r="W211" s="1506"/>
      <c r="X211" s="650"/>
      <c r="Y211" s="650"/>
      <c r="Z211" s="650"/>
      <c r="AA211" s="652"/>
      <c r="AB211" s="652"/>
      <c r="AC211" s="652"/>
      <c r="AD211" s="652"/>
      <c r="AE211" s="652"/>
      <c r="AF211" s="1505">
        <v>0.47916666666666669</v>
      </c>
      <c r="AG211" s="1506"/>
      <c r="AH211" s="1506"/>
      <c r="AI211" s="1506"/>
      <c r="AJ211" s="1507" t="s">
        <v>1901</v>
      </c>
      <c r="AK211" s="1507"/>
      <c r="AL211" s="1507"/>
      <c r="AM211" s="1505">
        <v>6.25E-2</v>
      </c>
      <c r="AN211" s="1506"/>
      <c r="AO211" s="1506"/>
      <c r="AP211" s="1506"/>
      <c r="AQ211" s="652"/>
      <c r="AR211" s="652"/>
      <c r="AS211" s="652"/>
      <c r="AT211" s="652"/>
      <c r="AU211" s="652"/>
      <c r="AV211" s="652"/>
      <c r="AW211" s="652"/>
      <c r="AX211" s="652"/>
      <c r="AY211" s="652"/>
      <c r="AZ211" s="652"/>
      <c r="BA211" s="1505">
        <v>0.20833333333333334</v>
      </c>
      <c r="BB211" s="1506"/>
      <c r="BC211" s="1506"/>
      <c r="BD211" s="1506"/>
      <c r="BE211" s="1507" t="s">
        <v>1901</v>
      </c>
      <c r="BF211" s="1507"/>
      <c r="BG211" s="1507"/>
      <c r="BH211" s="1507"/>
      <c r="BI211" s="1505">
        <v>0.29166666666666669</v>
      </c>
      <c r="BJ211" s="1506"/>
      <c r="BK211" s="1506"/>
      <c r="BL211" s="1506"/>
      <c r="BM211" s="652"/>
      <c r="BN211" s="652"/>
      <c r="BO211" s="652"/>
      <c r="BP211" s="652"/>
      <c r="BQ211" s="652"/>
      <c r="BR211" s="652"/>
      <c r="BS211" s="652"/>
      <c r="BT211" s="652"/>
      <c r="BU211" s="652"/>
      <c r="BV211" s="652"/>
      <c r="BW211" s="652"/>
      <c r="BX211" s="652"/>
      <c r="BY211" s="652"/>
      <c r="BZ211" s="652"/>
      <c r="CA211" s="652"/>
    </row>
    <row r="212" spans="1:87" ht="10.5" customHeight="1">
      <c r="A212" s="650"/>
      <c r="B212" s="650"/>
      <c r="C212" s="650"/>
      <c r="D212" s="650"/>
      <c r="E212" s="650"/>
      <c r="F212" s="650"/>
      <c r="G212" s="651"/>
      <c r="H212" s="650"/>
      <c r="I212" s="650"/>
      <c r="J212" s="650"/>
      <c r="K212" s="650"/>
      <c r="L212" s="650"/>
      <c r="M212" s="650"/>
      <c r="N212" s="650"/>
      <c r="O212" s="1491" t="s">
        <v>1837</v>
      </c>
      <c r="P212" s="1492"/>
      <c r="Q212" s="1492"/>
      <c r="R212" s="1492"/>
      <c r="S212" s="1492"/>
      <c r="T212" s="1493"/>
      <c r="U212" s="650"/>
      <c r="V212" s="650"/>
      <c r="W212" s="650"/>
      <c r="X212" s="650"/>
      <c r="Y212" s="650"/>
      <c r="Z212" s="650"/>
      <c r="AA212" s="652"/>
      <c r="AB212" s="652"/>
      <c r="AC212" s="652"/>
      <c r="AD212" s="652"/>
      <c r="AE212" s="652"/>
      <c r="AF212" s="654"/>
      <c r="AG212" s="654"/>
      <c r="AH212" s="1491" t="s">
        <v>1837</v>
      </c>
      <c r="AI212" s="1494"/>
      <c r="AJ212" s="1494"/>
      <c r="AK212" s="1494"/>
      <c r="AL212" s="1494"/>
      <c r="AM212" s="1494"/>
      <c r="AN212" s="1495"/>
      <c r="AO212" s="652"/>
      <c r="AP212" s="652"/>
      <c r="AQ212" s="652"/>
      <c r="AR212" s="652"/>
      <c r="AS212" s="652"/>
      <c r="AT212" s="652"/>
      <c r="AU212" s="652"/>
      <c r="AV212" s="652"/>
      <c r="AW212" s="652"/>
      <c r="AX212" s="652"/>
      <c r="AY212" s="652"/>
      <c r="AZ212" s="652"/>
      <c r="BA212" s="652"/>
      <c r="BB212" s="652"/>
      <c r="BC212" s="1496" t="s">
        <v>1837</v>
      </c>
      <c r="BD212" s="1494"/>
      <c r="BE212" s="1494"/>
      <c r="BF212" s="1494"/>
      <c r="BG212" s="1494"/>
      <c r="BH212" s="1494"/>
      <c r="BI212" s="1494"/>
      <c r="BJ212" s="1495"/>
      <c r="BK212" s="652"/>
      <c r="BL212" s="652"/>
      <c r="BM212" s="652"/>
      <c r="BN212" s="652"/>
      <c r="BO212" s="652"/>
      <c r="BP212" s="652"/>
      <c r="BQ212" s="652"/>
      <c r="BR212" s="652"/>
      <c r="BS212" s="652"/>
      <c r="BT212" s="652"/>
      <c r="BU212" s="652"/>
      <c r="BV212" s="652"/>
      <c r="BW212" s="652"/>
      <c r="BX212" s="652"/>
      <c r="BY212" s="652"/>
      <c r="BZ212" s="652"/>
      <c r="CA212" s="652"/>
    </row>
    <row r="213" spans="1:87" ht="10.5" customHeight="1">
      <c r="A213" s="1497" t="s">
        <v>80</v>
      </c>
      <c r="B213" s="1497"/>
      <c r="C213" s="1497"/>
      <c r="D213" s="1497" t="s">
        <v>79</v>
      </c>
      <c r="E213" s="1497"/>
      <c r="F213" s="1497"/>
      <c r="G213" s="651"/>
      <c r="H213" s="650"/>
      <c r="I213" s="650"/>
      <c r="J213" s="650"/>
      <c r="K213" s="650"/>
      <c r="L213" s="650"/>
      <c r="M213" s="650"/>
      <c r="N213" s="650"/>
      <c r="O213" s="650"/>
      <c r="P213" s="650"/>
      <c r="Q213" s="650"/>
      <c r="R213" s="650"/>
      <c r="S213" s="650"/>
      <c r="T213" s="650"/>
      <c r="U213" s="650"/>
      <c r="V213" s="650"/>
      <c r="W213" s="650"/>
      <c r="X213" s="650"/>
      <c r="Y213" s="650"/>
      <c r="Z213" s="650"/>
      <c r="AA213" s="652"/>
      <c r="AB213" s="652"/>
      <c r="AC213" s="652"/>
      <c r="AD213" s="652"/>
      <c r="AE213" s="652"/>
      <c r="AF213" s="654"/>
      <c r="AG213" s="654"/>
      <c r="AH213" s="655"/>
      <c r="AI213" s="1498" t="s">
        <v>1404</v>
      </c>
      <c r="AJ213" s="1498"/>
      <c r="AK213" s="1498"/>
      <c r="AL213" s="1498"/>
      <c r="AM213" s="1498"/>
      <c r="AN213" s="1498"/>
      <c r="AO213" s="1498"/>
      <c r="AP213" s="1498"/>
      <c r="AQ213" s="1498"/>
      <c r="AR213" s="1498"/>
      <c r="AS213" s="1498"/>
      <c r="AT213" s="1498"/>
      <c r="AU213" s="1498"/>
      <c r="AV213" s="1498"/>
      <c r="AW213" s="1498"/>
      <c r="AX213" s="1498"/>
      <c r="AY213" s="1499" t="s">
        <v>1405</v>
      </c>
      <c r="AZ213" s="1500"/>
      <c r="BA213" s="1500"/>
      <c r="BB213" s="1500"/>
      <c r="BC213" s="1500"/>
      <c r="BD213" s="1500"/>
      <c r="BE213" s="1500"/>
      <c r="BF213" s="1500"/>
      <c r="BG213" s="1500"/>
      <c r="BH213" s="1500"/>
      <c r="BI213" s="1500"/>
      <c r="BJ213" s="1500"/>
      <c r="BK213" s="1500"/>
      <c r="BL213" s="1500"/>
      <c r="BM213" s="1500"/>
      <c r="BN213" s="1500"/>
      <c r="BO213" s="1500"/>
      <c r="BP213" s="1500"/>
      <c r="BQ213" s="1500"/>
      <c r="BR213" s="1500"/>
      <c r="BS213" s="1500"/>
      <c r="BT213" s="1501"/>
      <c r="BU213" s="1502" t="s">
        <v>76</v>
      </c>
      <c r="BV213" s="1503"/>
      <c r="BW213" s="1503"/>
      <c r="BX213" s="1503"/>
      <c r="BY213" s="1503"/>
      <c r="BZ213" s="1504"/>
      <c r="CA213" s="652"/>
    </row>
    <row r="214" spans="1:87" ht="10.5" customHeight="1">
      <c r="A214" s="1497"/>
      <c r="B214" s="1497"/>
      <c r="C214" s="1497"/>
      <c r="D214" s="1497"/>
      <c r="E214" s="1497"/>
      <c r="F214" s="1497"/>
      <c r="G214" s="1461"/>
      <c r="H214" s="1461"/>
      <c r="I214" s="1391">
        <v>0.25</v>
      </c>
      <c r="J214" s="1391"/>
      <c r="K214" s="1391"/>
      <c r="L214" s="1391"/>
      <c r="M214" s="1391">
        <v>0.29166666666666669</v>
      </c>
      <c r="N214" s="1391"/>
      <c r="O214" s="1391"/>
      <c r="P214" s="1391"/>
      <c r="Q214" s="1391">
        <v>0.33333333333333331</v>
      </c>
      <c r="R214" s="1391"/>
      <c r="S214" s="1391"/>
      <c r="T214" s="1391"/>
      <c r="U214" s="1391">
        <v>0.375</v>
      </c>
      <c r="V214" s="1391"/>
      <c r="W214" s="1391"/>
      <c r="X214" s="1391"/>
      <c r="Y214" s="1391">
        <v>0.41666666666666669</v>
      </c>
      <c r="Z214" s="1418"/>
      <c r="AA214" s="1391"/>
      <c r="AB214" s="1391"/>
      <c r="AC214" s="1391">
        <v>0.45833333333333331</v>
      </c>
      <c r="AD214" s="1391"/>
      <c r="AE214" s="1391"/>
      <c r="AF214" s="1391"/>
      <c r="AG214" s="1385">
        <v>0.5</v>
      </c>
      <c r="AH214" s="1385"/>
      <c r="AI214" s="1385"/>
      <c r="AJ214" s="1385"/>
      <c r="AK214" s="1385">
        <v>4.1666666666666664E-2</v>
      </c>
      <c r="AL214" s="1385"/>
      <c r="AM214" s="1385"/>
      <c r="AN214" s="1385"/>
      <c r="AO214" s="1385">
        <v>8.3333333333333329E-2</v>
      </c>
      <c r="AP214" s="1385"/>
      <c r="AQ214" s="1385"/>
      <c r="AR214" s="1385"/>
      <c r="AS214" s="1385">
        <v>0.125</v>
      </c>
      <c r="AT214" s="1385"/>
      <c r="AU214" s="1385"/>
      <c r="AV214" s="1385"/>
      <c r="AW214" s="1385">
        <v>0.16666666666666666</v>
      </c>
      <c r="AX214" s="1385"/>
      <c r="AY214" s="1385"/>
      <c r="AZ214" s="1385"/>
      <c r="BA214" s="1385">
        <v>0.20833333333333334</v>
      </c>
      <c r="BB214" s="1385"/>
      <c r="BC214" s="1385"/>
      <c r="BD214" s="1385"/>
      <c r="BE214" s="1385">
        <v>0.25</v>
      </c>
      <c r="BF214" s="1385"/>
      <c r="BG214" s="1385"/>
      <c r="BH214" s="1385"/>
      <c r="BI214" s="1385">
        <v>0.29166666666666669</v>
      </c>
      <c r="BJ214" s="1385"/>
      <c r="BK214" s="1385"/>
      <c r="BL214" s="1385"/>
      <c r="BM214" s="1385">
        <v>0.33333333333333331</v>
      </c>
      <c r="BN214" s="1385"/>
      <c r="BO214" s="1385"/>
      <c r="BP214" s="1385"/>
      <c r="BQ214" s="1385">
        <v>0.375</v>
      </c>
      <c r="BR214" s="1385"/>
      <c r="BS214" s="1385"/>
      <c r="BT214" s="1385"/>
      <c r="BU214" s="1385">
        <v>0.41666666666666669</v>
      </c>
      <c r="BV214" s="1414"/>
      <c r="BW214" s="1414"/>
      <c r="BX214" s="1414"/>
      <c r="BY214" s="1385"/>
      <c r="BZ214" s="1385"/>
      <c r="CA214" s="656"/>
      <c r="CB214" s="657"/>
      <c r="CC214" s="657"/>
      <c r="CD214" s="657"/>
      <c r="CE214" s="657"/>
      <c r="CF214" s="657"/>
      <c r="CG214" s="657"/>
      <c r="CH214" s="657"/>
      <c r="CI214" s="657"/>
    </row>
    <row r="215" spans="1:87" ht="9.9499999999999993" customHeight="1">
      <c r="A215" s="1482" t="str">
        <f>AK208</f>
        <v/>
      </c>
      <c r="B215" s="1482"/>
      <c r="C215" s="1482"/>
      <c r="D215" s="1390" t="s">
        <v>78</v>
      </c>
      <c r="E215" s="1390"/>
      <c r="F215" s="1390"/>
      <c r="G215" s="1395" t="s">
        <v>3026</v>
      </c>
      <c r="H215" s="1396"/>
      <c r="I215" s="1396"/>
      <c r="J215" s="1396"/>
      <c r="K215" s="1396"/>
      <c r="L215" s="1396"/>
      <c r="M215" s="1396"/>
      <c r="N215" s="1396"/>
      <c r="O215" s="1396"/>
      <c r="P215" s="1396"/>
      <c r="Q215" s="1396"/>
      <c r="R215" s="1396"/>
      <c r="S215" s="1396"/>
      <c r="T215" s="1396"/>
      <c r="U215" s="1396"/>
      <c r="V215" s="1397"/>
      <c r="W215" s="658"/>
      <c r="X215" s="658"/>
      <c r="Y215" s="658"/>
      <c r="Z215" s="658"/>
      <c r="AA215" s="1464" t="s">
        <v>3027</v>
      </c>
      <c r="AB215" s="1464"/>
      <c r="AC215" s="1451" t="s">
        <v>3124</v>
      </c>
      <c r="AD215" s="1451"/>
      <c r="AE215" s="1451"/>
      <c r="AF215" s="1451"/>
      <c r="AG215" s="1451"/>
      <c r="AH215" s="1451"/>
      <c r="AI215" s="1451"/>
      <c r="AJ215" s="1451"/>
      <c r="AK215" s="1451"/>
      <c r="AL215" s="1451"/>
      <c r="AM215" s="1451"/>
      <c r="AN215" s="1451"/>
      <c r="AO215" s="1451"/>
      <c r="AP215" s="1535"/>
      <c r="AQ215" s="1451" t="s">
        <v>3122</v>
      </c>
      <c r="AR215" s="1451"/>
      <c r="AS215" s="1451"/>
      <c r="AT215" s="1451"/>
      <c r="AU215" s="1451"/>
      <c r="AV215" s="1451"/>
      <c r="AW215" s="1451"/>
      <c r="AX215" s="1451"/>
      <c r="AY215" s="1464" t="s">
        <v>3121</v>
      </c>
      <c r="AZ215" s="1464"/>
      <c r="BA215" s="1464"/>
      <c r="BB215" s="1464"/>
      <c r="BC215" s="1465" t="s">
        <v>3036</v>
      </c>
      <c r="BD215" s="1465"/>
      <c r="BE215" s="1465"/>
      <c r="BF215" s="1465"/>
      <c r="BG215" s="1465" t="s">
        <v>3016</v>
      </c>
      <c r="BH215" s="1465"/>
      <c r="BI215" s="1465"/>
      <c r="BJ215" s="1465"/>
      <c r="BK215" s="1464" t="s">
        <v>3014</v>
      </c>
      <c r="BL215" s="1464"/>
      <c r="BM215" s="1464"/>
      <c r="BN215" s="1464"/>
      <c r="BO215" s="1466" t="s">
        <v>3033</v>
      </c>
      <c r="BP215" s="1466"/>
      <c r="BQ215" s="1466"/>
      <c r="BR215" s="1466"/>
      <c r="BS215" s="1466" t="s">
        <v>3034</v>
      </c>
      <c r="BT215" s="1466"/>
      <c r="BU215" s="1464" t="s">
        <v>3028</v>
      </c>
      <c r="BV215" s="1464"/>
      <c r="BW215" s="1464"/>
      <c r="BX215" s="1464"/>
      <c r="BY215" s="1464"/>
      <c r="BZ215" s="1464"/>
      <c r="CA215" s="668"/>
      <c r="CB215" s="657"/>
      <c r="CC215" s="657"/>
      <c r="CD215" s="657"/>
      <c r="CE215" s="657"/>
      <c r="CF215" s="657"/>
      <c r="CG215" s="657"/>
      <c r="CH215" s="657"/>
      <c r="CI215" s="657"/>
    </row>
    <row r="216" spans="1:87" ht="9.9499999999999993" customHeight="1">
      <c r="A216" s="1482"/>
      <c r="B216" s="1482"/>
      <c r="C216" s="1482"/>
      <c r="D216" s="1390"/>
      <c r="E216" s="1390"/>
      <c r="F216" s="1390"/>
      <c r="G216" s="1398"/>
      <c r="H216" s="1399"/>
      <c r="I216" s="1399"/>
      <c r="J216" s="1399"/>
      <c r="K216" s="1399"/>
      <c r="L216" s="1399"/>
      <c r="M216" s="1399"/>
      <c r="N216" s="1399"/>
      <c r="O216" s="1399"/>
      <c r="P216" s="1399"/>
      <c r="Q216" s="1399"/>
      <c r="R216" s="1399"/>
      <c r="S216" s="1399"/>
      <c r="T216" s="1399"/>
      <c r="U216" s="1399"/>
      <c r="V216" s="1400"/>
      <c r="W216" s="669"/>
      <c r="X216" s="669"/>
      <c r="Y216" s="669"/>
      <c r="Z216" s="669"/>
      <c r="AA216" s="1464"/>
      <c r="AB216" s="1464"/>
      <c r="AC216" s="1451"/>
      <c r="AD216" s="1451"/>
      <c r="AE216" s="1451"/>
      <c r="AF216" s="1451"/>
      <c r="AG216" s="1451"/>
      <c r="AH216" s="1451"/>
      <c r="AI216" s="1451"/>
      <c r="AJ216" s="1451"/>
      <c r="AK216" s="1451"/>
      <c r="AL216" s="1451"/>
      <c r="AM216" s="1451"/>
      <c r="AN216" s="1451"/>
      <c r="AO216" s="1451"/>
      <c r="AP216" s="1535"/>
      <c r="AQ216" s="1451"/>
      <c r="AR216" s="1451"/>
      <c r="AS216" s="1451"/>
      <c r="AT216" s="1451"/>
      <c r="AU216" s="1451"/>
      <c r="AV216" s="1451"/>
      <c r="AW216" s="1451"/>
      <c r="AX216" s="1451"/>
      <c r="AY216" s="1464"/>
      <c r="AZ216" s="1464"/>
      <c r="BA216" s="1464"/>
      <c r="BB216" s="1464"/>
      <c r="BC216" s="1465"/>
      <c r="BD216" s="1465"/>
      <c r="BE216" s="1465"/>
      <c r="BF216" s="1465"/>
      <c r="BG216" s="1465"/>
      <c r="BH216" s="1465"/>
      <c r="BI216" s="1465"/>
      <c r="BJ216" s="1465"/>
      <c r="BK216" s="1464"/>
      <c r="BL216" s="1464"/>
      <c r="BM216" s="1464"/>
      <c r="BN216" s="1464"/>
      <c r="BO216" s="1466"/>
      <c r="BP216" s="1466"/>
      <c r="BQ216" s="1466"/>
      <c r="BR216" s="1466"/>
      <c r="BS216" s="1466"/>
      <c r="BT216" s="1466"/>
      <c r="BU216" s="1464"/>
      <c r="BV216" s="1464"/>
      <c r="BW216" s="1464"/>
      <c r="BX216" s="1464"/>
      <c r="BY216" s="1464"/>
      <c r="BZ216" s="1464"/>
      <c r="CA216" s="668"/>
      <c r="CB216" s="657"/>
      <c r="CC216" s="657"/>
      <c r="CD216" s="657"/>
      <c r="CE216" s="657"/>
      <c r="CF216" s="657"/>
      <c r="CG216" s="657"/>
      <c r="CH216" s="657"/>
      <c r="CI216" s="657"/>
    </row>
    <row r="217" spans="1:87" ht="9.9499999999999993" customHeight="1">
      <c r="A217" s="1483"/>
      <c r="B217" s="1483"/>
      <c r="C217" s="1483"/>
      <c r="D217" s="1390"/>
      <c r="E217" s="1390"/>
      <c r="F217" s="1390"/>
      <c r="G217" s="1398"/>
      <c r="H217" s="1399"/>
      <c r="I217" s="1399"/>
      <c r="J217" s="1399"/>
      <c r="K217" s="1399"/>
      <c r="L217" s="1399"/>
      <c r="M217" s="1399"/>
      <c r="N217" s="1399"/>
      <c r="O217" s="1399"/>
      <c r="P217" s="1399"/>
      <c r="Q217" s="1399"/>
      <c r="R217" s="1399"/>
      <c r="S217" s="1399"/>
      <c r="T217" s="1399"/>
      <c r="U217" s="1399"/>
      <c r="V217" s="1400"/>
      <c r="W217" s="669"/>
      <c r="X217" s="669"/>
      <c r="Y217" s="669"/>
      <c r="Z217" s="669"/>
      <c r="AA217" s="1464"/>
      <c r="AB217" s="1464"/>
      <c r="AC217" s="1451"/>
      <c r="AD217" s="1451"/>
      <c r="AE217" s="1451"/>
      <c r="AF217" s="1451"/>
      <c r="AG217" s="1451"/>
      <c r="AH217" s="1451"/>
      <c r="AI217" s="1451"/>
      <c r="AJ217" s="1451"/>
      <c r="AK217" s="1451"/>
      <c r="AL217" s="1451"/>
      <c r="AM217" s="1451"/>
      <c r="AN217" s="1451"/>
      <c r="AO217" s="1451"/>
      <c r="AP217" s="1535"/>
      <c r="AQ217" s="1451"/>
      <c r="AR217" s="1451"/>
      <c r="AS217" s="1451"/>
      <c r="AT217" s="1451"/>
      <c r="AU217" s="1451"/>
      <c r="AV217" s="1451"/>
      <c r="AW217" s="1451"/>
      <c r="AX217" s="1451"/>
      <c r="AY217" s="1464"/>
      <c r="AZ217" s="1464"/>
      <c r="BA217" s="1464"/>
      <c r="BB217" s="1464"/>
      <c r="BC217" s="1465"/>
      <c r="BD217" s="1465"/>
      <c r="BE217" s="1465"/>
      <c r="BF217" s="1465"/>
      <c r="BG217" s="1465"/>
      <c r="BH217" s="1465"/>
      <c r="BI217" s="1465"/>
      <c r="BJ217" s="1465"/>
      <c r="BK217" s="1464"/>
      <c r="BL217" s="1464"/>
      <c r="BM217" s="1464"/>
      <c r="BN217" s="1464"/>
      <c r="BO217" s="1466"/>
      <c r="BP217" s="1466"/>
      <c r="BQ217" s="1466"/>
      <c r="BR217" s="1466"/>
      <c r="BS217" s="1466"/>
      <c r="BT217" s="1466"/>
      <c r="BU217" s="1464"/>
      <c r="BV217" s="1464"/>
      <c r="BW217" s="1464"/>
      <c r="BX217" s="1464"/>
      <c r="BY217" s="1464"/>
      <c r="BZ217" s="1464"/>
      <c r="CA217" s="672"/>
      <c r="CB217" s="657"/>
      <c r="CC217" s="657"/>
      <c r="CD217" s="657"/>
      <c r="CE217" s="657"/>
      <c r="CF217" s="657"/>
      <c r="CG217" s="657"/>
      <c r="CH217" s="657"/>
      <c r="CI217" s="657"/>
    </row>
    <row r="218" spans="1:87" ht="9.9499999999999993" customHeight="1">
      <c r="A218" s="1389" t="s">
        <v>15</v>
      </c>
      <c r="B218" s="1389"/>
      <c r="C218" s="1389"/>
      <c r="D218" s="1390"/>
      <c r="E218" s="1390"/>
      <c r="F218" s="1390"/>
      <c r="G218" s="1398"/>
      <c r="H218" s="1399"/>
      <c r="I218" s="1399"/>
      <c r="J218" s="1399"/>
      <c r="K218" s="1399"/>
      <c r="L218" s="1399"/>
      <c r="M218" s="1399"/>
      <c r="N218" s="1399"/>
      <c r="O218" s="1399"/>
      <c r="P218" s="1399"/>
      <c r="Q218" s="1399"/>
      <c r="R218" s="1399"/>
      <c r="S218" s="1399"/>
      <c r="T218" s="1399"/>
      <c r="U218" s="1399"/>
      <c r="V218" s="1400"/>
      <c r="W218" s="669"/>
      <c r="X218" s="669"/>
      <c r="Y218" s="669"/>
      <c r="Z218" s="669"/>
      <c r="AA218" s="1464"/>
      <c r="AB218" s="1464"/>
      <c r="AC218" s="1451"/>
      <c r="AD218" s="1451"/>
      <c r="AE218" s="1451"/>
      <c r="AF218" s="1451"/>
      <c r="AG218" s="1451"/>
      <c r="AH218" s="1451"/>
      <c r="AI218" s="1451"/>
      <c r="AJ218" s="1451"/>
      <c r="AK218" s="1451"/>
      <c r="AL218" s="1451"/>
      <c r="AM218" s="1451"/>
      <c r="AN218" s="1451"/>
      <c r="AO218" s="1451"/>
      <c r="AP218" s="1535"/>
      <c r="AQ218" s="1451"/>
      <c r="AR218" s="1451"/>
      <c r="AS218" s="1451"/>
      <c r="AT218" s="1451"/>
      <c r="AU218" s="1451"/>
      <c r="AV218" s="1451"/>
      <c r="AW218" s="1451"/>
      <c r="AX218" s="1451"/>
      <c r="AY218" s="1464"/>
      <c r="AZ218" s="1464"/>
      <c r="BA218" s="1464"/>
      <c r="BB218" s="1464"/>
      <c r="BC218" s="1465"/>
      <c r="BD218" s="1465"/>
      <c r="BE218" s="1465"/>
      <c r="BF218" s="1465"/>
      <c r="BG218" s="1465"/>
      <c r="BH218" s="1465"/>
      <c r="BI218" s="1465"/>
      <c r="BJ218" s="1465"/>
      <c r="BK218" s="1464"/>
      <c r="BL218" s="1464"/>
      <c r="BM218" s="1464"/>
      <c r="BN218" s="1464"/>
      <c r="BO218" s="1466"/>
      <c r="BP218" s="1466"/>
      <c r="BQ218" s="1466"/>
      <c r="BR218" s="1466"/>
      <c r="BS218" s="1466"/>
      <c r="BT218" s="1466"/>
      <c r="BU218" s="1464"/>
      <c r="BV218" s="1464"/>
      <c r="BW218" s="1464"/>
      <c r="BX218" s="1464"/>
      <c r="BY218" s="1464"/>
      <c r="BZ218" s="1464"/>
      <c r="CA218" s="672"/>
      <c r="CB218" s="657"/>
      <c r="CC218" s="657"/>
      <c r="CD218" s="657"/>
      <c r="CE218" s="657"/>
      <c r="CF218" s="657"/>
      <c r="CG218" s="657"/>
      <c r="CH218" s="657"/>
      <c r="CI218" s="657"/>
    </row>
    <row r="219" spans="1:87" ht="9.9499999999999993" customHeight="1">
      <c r="A219" s="1390"/>
      <c r="B219" s="1390"/>
      <c r="C219" s="1390"/>
      <c r="D219" s="1390"/>
      <c r="E219" s="1390"/>
      <c r="F219" s="1390"/>
      <c r="G219" s="1398"/>
      <c r="H219" s="1399"/>
      <c r="I219" s="1399"/>
      <c r="J219" s="1399"/>
      <c r="K219" s="1399"/>
      <c r="L219" s="1399"/>
      <c r="M219" s="1399"/>
      <c r="N219" s="1399"/>
      <c r="O219" s="1399"/>
      <c r="P219" s="1399"/>
      <c r="Q219" s="1399"/>
      <c r="R219" s="1399"/>
      <c r="S219" s="1399"/>
      <c r="T219" s="1399"/>
      <c r="U219" s="1399"/>
      <c r="V219" s="1400"/>
      <c r="W219" s="669"/>
      <c r="X219" s="669"/>
      <c r="Y219" s="669"/>
      <c r="Z219" s="669"/>
      <c r="AA219" s="1464"/>
      <c r="AB219" s="1464"/>
      <c r="AC219" s="1451"/>
      <c r="AD219" s="1451"/>
      <c r="AE219" s="1451"/>
      <c r="AF219" s="1451"/>
      <c r="AG219" s="1451"/>
      <c r="AH219" s="1451"/>
      <c r="AI219" s="1451"/>
      <c r="AJ219" s="1451"/>
      <c r="AK219" s="1451"/>
      <c r="AL219" s="1451"/>
      <c r="AM219" s="1451"/>
      <c r="AN219" s="1451"/>
      <c r="AO219" s="1451"/>
      <c r="AP219" s="1535"/>
      <c r="AQ219" s="1451"/>
      <c r="AR219" s="1451"/>
      <c r="AS219" s="1451"/>
      <c r="AT219" s="1451"/>
      <c r="AU219" s="1451"/>
      <c r="AV219" s="1451"/>
      <c r="AW219" s="1451"/>
      <c r="AX219" s="1451"/>
      <c r="AY219" s="1464"/>
      <c r="AZ219" s="1464"/>
      <c r="BA219" s="1464"/>
      <c r="BB219" s="1464"/>
      <c r="BC219" s="1465"/>
      <c r="BD219" s="1465"/>
      <c r="BE219" s="1465"/>
      <c r="BF219" s="1465"/>
      <c r="BG219" s="1465"/>
      <c r="BH219" s="1465"/>
      <c r="BI219" s="1465"/>
      <c r="BJ219" s="1465"/>
      <c r="BK219" s="1464"/>
      <c r="BL219" s="1464"/>
      <c r="BM219" s="1464"/>
      <c r="BN219" s="1464"/>
      <c r="BO219" s="1466"/>
      <c r="BP219" s="1466"/>
      <c r="BQ219" s="1466"/>
      <c r="BR219" s="1466"/>
      <c r="BS219" s="1466"/>
      <c r="BT219" s="1466"/>
      <c r="BU219" s="1464"/>
      <c r="BV219" s="1464"/>
      <c r="BW219" s="1464"/>
      <c r="BX219" s="1464"/>
      <c r="BY219" s="1464"/>
      <c r="BZ219" s="1464"/>
      <c r="CA219" s="668"/>
      <c r="CB219" s="657"/>
      <c r="CC219" s="657"/>
      <c r="CD219" s="657"/>
      <c r="CE219" s="657"/>
      <c r="CF219" s="657"/>
      <c r="CG219" s="657"/>
      <c r="CH219" s="657"/>
      <c r="CI219" s="657"/>
    </row>
    <row r="220" spans="1:87" ht="9.9499999999999993" customHeight="1">
      <c r="A220" s="1484"/>
      <c r="B220" s="1484"/>
      <c r="C220" s="1484"/>
      <c r="D220" s="1390"/>
      <c r="E220" s="1390"/>
      <c r="F220" s="1390"/>
      <c r="G220" s="1398"/>
      <c r="H220" s="1399"/>
      <c r="I220" s="1399"/>
      <c r="J220" s="1399"/>
      <c r="K220" s="1399"/>
      <c r="L220" s="1399"/>
      <c r="M220" s="1399"/>
      <c r="N220" s="1399"/>
      <c r="O220" s="1399"/>
      <c r="P220" s="1399"/>
      <c r="Q220" s="1399"/>
      <c r="R220" s="1399"/>
      <c r="S220" s="1399"/>
      <c r="T220" s="1399"/>
      <c r="U220" s="1399"/>
      <c r="V220" s="1400"/>
      <c r="W220" s="669"/>
      <c r="X220" s="669"/>
      <c r="Y220" s="669"/>
      <c r="Z220" s="669"/>
      <c r="AA220" s="1464"/>
      <c r="AB220" s="1464"/>
      <c r="AC220" s="1451"/>
      <c r="AD220" s="1451"/>
      <c r="AE220" s="1451"/>
      <c r="AF220" s="1451"/>
      <c r="AG220" s="1451"/>
      <c r="AH220" s="1451"/>
      <c r="AI220" s="1451"/>
      <c r="AJ220" s="1451"/>
      <c r="AK220" s="1451"/>
      <c r="AL220" s="1451"/>
      <c r="AM220" s="1451"/>
      <c r="AN220" s="1451"/>
      <c r="AO220" s="1451"/>
      <c r="AP220" s="1535"/>
      <c r="AQ220" s="1451"/>
      <c r="AR220" s="1451"/>
      <c r="AS220" s="1451"/>
      <c r="AT220" s="1451"/>
      <c r="AU220" s="1451"/>
      <c r="AV220" s="1451"/>
      <c r="AW220" s="1451"/>
      <c r="AX220" s="1451"/>
      <c r="AY220" s="1464"/>
      <c r="AZ220" s="1464"/>
      <c r="BA220" s="1464"/>
      <c r="BB220" s="1464"/>
      <c r="BC220" s="1465"/>
      <c r="BD220" s="1465"/>
      <c r="BE220" s="1465"/>
      <c r="BF220" s="1465"/>
      <c r="BG220" s="1465"/>
      <c r="BH220" s="1465"/>
      <c r="BI220" s="1465"/>
      <c r="BJ220" s="1465"/>
      <c r="BK220" s="1464"/>
      <c r="BL220" s="1464"/>
      <c r="BM220" s="1464"/>
      <c r="BN220" s="1464"/>
      <c r="BO220" s="1466"/>
      <c r="BP220" s="1466"/>
      <c r="BQ220" s="1466"/>
      <c r="BR220" s="1466"/>
      <c r="BS220" s="1466"/>
      <c r="BT220" s="1466"/>
      <c r="BU220" s="1464"/>
      <c r="BV220" s="1464"/>
      <c r="BW220" s="1464"/>
      <c r="BX220" s="1464"/>
      <c r="BY220" s="1464"/>
      <c r="BZ220" s="1464"/>
      <c r="CA220" s="668"/>
      <c r="CB220" s="657"/>
      <c r="CC220" s="657"/>
      <c r="CD220" s="657"/>
      <c r="CE220" s="657"/>
      <c r="CF220" s="657"/>
      <c r="CG220" s="657"/>
      <c r="CH220" s="657"/>
      <c r="CI220" s="657"/>
    </row>
    <row r="221" spans="1:87" ht="9.9499999999999993" customHeight="1">
      <c r="A221" s="1485" t="str">
        <f>AO208</f>
        <v/>
      </c>
      <c r="B221" s="1485"/>
      <c r="C221" s="1485"/>
      <c r="D221" s="1390"/>
      <c r="E221" s="1390"/>
      <c r="F221" s="1390"/>
      <c r="G221" s="1398"/>
      <c r="H221" s="1399"/>
      <c r="I221" s="1399"/>
      <c r="J221" s="1399"/>
      <c r="K221" s="1399"/>
      <c r="L221" s="1399"/>
      <c r="M221" s="1399"/>
      <c r="N221" s="1399"/>
      <c r="O221" s="1399"/>
      <c r="P221" s="1399"/>
      <c r="Q221" s="1399"/>
      <c r="R221" s="1399"/>
      <c r="S221" s="1399"/>
      <c r="T221" s="1399"/>
      <c r="U221" s="1399"/>
      <c r="V221" s="1400"/>
      <c r="W221" s="669"/>
      <c r="X221" s="669"/>
      <c r="Y221" s="669"/>
      <c r="Z221" s="669"/>
      <c r="AA221" s="1464"/>
      <c r="AB221" s="1464"/>
      <c r="AC221" s="1451"/>
      <c r="AD221" s="1451"/>
      <c r="AE221" s="1451"/>
      <c r="AF221" s="1451"/>
      <c r="AG221" s="1451"/>
      <c r="AH221" s="1451"/>
      <c r="AI221" s="1451"/>
      <c r="AJ221" s="1451"/>
      <c r="AK221" s="1451"/>
      <c r="AL221" s="1451"/>
      <c r="AM221" s="1451"/>
      <c r="AN221" s="1451"/>
      <c r="AO221" s="1451"/>
      <c r="AP221" s="1535"/>
      <c r="AQ221" s="1451"/>
      <c r="AR221" s="1451"/>
      <c r="AS221" s="1451"/>
      <c r="AT221" s="1451"/>
      <c r="AU221" s="1451"/>
      <c r="AV221" s="1451"/>
      <c r="AW221" s="1451"/>
      <c r="AX221" s="1451"/>
      <c r="AY221" s="1464"/>
      <c r="AZ221" s="1464"/>
      <c r="BA221" s="1464"/>
      <c r="BB221" s="1464"/>
      <c r="BC221" s="1465"/>
      <c r="BD221" s="1465"/>
      <c r="BE221" s="1465"/>
      <c r="BF221" s="1465"/>
      <c r="BG221" s="1465"/>
      <c r="BH221" s="1465"/>
      <c r="BI221" s="1465"/>
      <c r="BJ221" s="1465"/>
      <c r="BK221" s="1464"/>
      <c r="BL221" s="1464"/>
      <c r="BM221" s="1464"/>
      <c r="BN221" s="1464"/>
      <c r="BO221" s="1466"/>
      <c r="BP221" s="1466"/>
      <c r="BQ221" s="1466"/>
      <c r="BR221" s="1466"/>
      <c r="BS221" s="1466"/>
      <c r="BT221" s="1466"/>
      <c r="BU221" s="1464"/>
      <c r="BV221" s="1464"/>
      <c r="BW221" s="1464"/>
      <c r="BX221" s="1464"/>
      <c r="BY221" s="1464"/>
      <c r="BZ221" s="1464"/>
      <c r="CA221" s="668"/>
      <c r="CB221" s="657"/>
      <c r="CC221" s="657"/>
      <c r="CD221" s="657"/>
      <c r="CE221" s="657"/>
      <c r="CF221" s="657"/>
      <c r="CG221" s="657"/>
      <c r="CH221" s="657"/>
      <c r="CI221" s="657"/>
    </row>
    <row r="222" spans="1:87" ht="9.9499999999999993" customHeight="1">
      <c r="A222" s="1482"/>
      <c r="B222" s="1482"/>
      <c r="C222" s="1482"/>
      <c r="D222" s="1390"/>
      <c r="E222" s="1390"/>
      <c r="F222" s="1390"/>
      <c r="G222" s="1398"/>
      <c r="H222" s="1399"/>
      <c r="I222" s="1399"/>
      <c r="J222" s="1399"/>
      <c r="K222" s="1399"/>
      <c r="L222" s="1399"/>
      <c r="M222" s="1399"/>
      <c r="N222" s="1399"/>
      <c r="O222" s="1399"/>
      <c r="P222" s="1399"/>
      <c r="Q222" s="1399"/>
      <c r="R222" s="1399"/>
      <c r="S222" s="1399"/>
      <c r="T222" s="1399"/>
      <c r="U222" s="1399"/>
      <c r="V222" s="1400"/>
      <c r="W222" s="673"/>
      <c r="X222" s="673"/>
      <c r="Y222" s="673"/>
      <c r="Z222" s="673"/>
      <c r="AA222" s="1464"/>
      <c r="AB222" s="1464"/>
      <c r="AC222" s="1451"/>
      <c r="AD222" s="1451"/>
      <c r="AE222" s="1451"/>
      <c r="AF222" s="1451"/>
      <c r="AG222" s="1451"/>
      <c r="AH222" s="1451"/>
      <c r="AI222" s="1451"/>
      <c r="AJ222" s="1451"/>
      <c r="AK222" s="1451"/>
      <c r="AL222" s="1451"/>
      <c r="AM222" s="1451"/>
      <c r="AN222" s="1451"/>
      <c r="AO222" s="1451"/>
      <c r="AP222" s="1535"/>
      <c r="AQ222" s="1451"/>
      <c r="AR222" s="1451"/>
      <c r="AS222" s="1451"/>
      <c r="AT222" s="1451"/>
      <c r="AU222" s="1451"/>
      <c r="AV222" s="1451"/>
      <c r="AW222" s="1451"/>
      <c r="AX222" s="1451"/>
      <c r="AY222" s="1464"/>
      <c r="AZ222" s="1464"/>
      <c r="BA222" s="1464"/>
      <c r="BB222" s="1464"/>
      <c r="BC222" s="1465"/>
      <c r="BD222" s="1465"/>
      <c r="BE222" s="1465"/>
      <c r="BF222" s="1465"/>
      <c r="BG222" s="1465"/>
      <c r="BH222" s="1465"/>
      <c r="BI222" s="1465"/>
      <c r="BJ222" s="1465"/>
      <c r="BK222" s="1464"/>
      <c r="BL222" s="1464"/>
      <c r="BM222" s="1464"/>
      <c r="BN222" s="1464"/>
      <c r="BO222" s="1466"/>
      <c r="BP222" s="1466"/>
      <c r="BQ222" s="1466"/>
      <c r="BR222" s="1466"/>
      <c r="BS222" s="1466"/>
      <c r="BT222" s="1466"/>
      <c r="BU222" s="1464"/>
      <c r="BV222" s="1464"/>
      <c r="BW222" s="1464"/>
      <c r="BX222" s="1464"/>
      <c r="BY222" s="1464"/>
      <c r="BZ222" s="1464"/>
      <c r="CA222" s="679"/>
      <c r="CB222" s="657"/>
      <c r="CC222" s="657"/>
      <c r="CD222" s="657"/>
      <c r="CE222" s="657"/>
      <c r="CF222" s="657"/>
      <c r="CG222" s="657"/>
      <c r="CH222" s="657"/>
      <c r="CI222" s="657"/>
    </row>
    <row r="223" spans="1:87" ht="9.9499999999999993" customHeight="1">
      <c r="A223" s="1483"/>
      <c r="B223" s="1483"/>
      <c r="C223" s="1483"/>
      <c r="D223" s="1390" t="s">
        <v>77</v>
      </c>
      <c r="E223" s="1390"/>
      <c r="F223" s="1390"/>
      <c r="G223" s="1398"/>
      <c r="H223" s="1399"/>
      <c r="I223" s="1399"/>
      <c r="J223" s="1399"/>
      <c r="K223" s="1399"/>
      <c r="L223" s="1399"/>
      <c r="M223" s="1399"/>
      <c r="N223" s="1399"/>
      <c r="O223" s="1399"/>
      <c r="P223" s="1399"/>
      <c r="Q223" s="1399"/>
      <c r="R223" s="1399"/>
      <c r="S223" s="1399"/>
      <c r="T223" s="1399"/>
      <c r="U223" s="1399"/>
      <c r="V223" s="1400"/>
      <c r="W223" s="669"/>
      <c r="X223" s="669"/>
      <c r="Y223" s="669"/>
      <c r="Z223" s="669"/>
      <c r="AA223" s="1464"/>
      <c r="AB223" s="1464"/>
      <c r="AC223" s="1422" t="s">
        <v>3051</v>
      </c>
      <c r="AD223" s="1423"/>
      <c r="AE223" s="1423"/>
      <c r="AF223" s="1423"/>
      <c r="AG223" s="1423"/>
      <c r="AH223" s="1424"/>
      <c r="AI223" s="1451" t="s">
        <v>3039</v>
      </c>
      <c r="AJ223" s="1451"/>
      <c r="AK223" s="1451"/>
      <c r="AL223" s="1451"/>
      <c r="AM223" s="1422" t="s">
        <v>3052</v>
      </c>
      <c r="AN223" s="1443"/>
      <c r="AO223" s="1443"/>
      <c r="AP223" s="1443"/>
      <c r="AQ223" s="1451"/>
      <c r="AR223" s="1451"/>
      <c r="AS223" s="1451"/>
      <c r="AT223" s="1451"/>
      <c r="AU223" s="1451"/>
      <c r="AV223" s="1451"/>
      <c r="AW223" s="1451"/>
      <c r="AX223" s="1451"/>
      <c r="AY223" s="1464"/>
      <c r="AZ223" s="1464"/>
      <c r="BA223" s="1464"/>
      <c r="BB223" s="1464"/>
      <c r="BC223" s="1465"/>
      <c r="BD223" s="1465"/>
      <c r="BE223" s="1465"/>
      <c r="BF223" s="1465"/>
      <c r="BG223" s="1465"/>
      <c r="BH223" s="1465"/>
      <c r="BI223" s="1465"/>
      <c r="BJ223" s="1465"/>
      <c r="BK223" s="1464"/>
      <c r="BL223" s="1464"/>
      <c r="BM223" s="1464"/>
      <c r="BN223" s="1464"/>
      <c r="BO223" s="1466"/>
      <c r="BP223" s="1466"/>
      <c r="BQ223" s="1466"/>
      <c r="BR223" s="1466"/>
      <c r="BS223" s="1466"/>
      <c r="BT223" s="1466"/>
      <c r="BU223" s="1464"/>
      <c r="BV223" s="1464"/>
      <c r="BW223" s="1464"/>
      <c r="BX223" s="1464"/>
      <c r="BY223" s="1464"/>
      <c r="BZ223" s="1464"/>
      <c r="CA223" s="668"/>
      <c r="CB223" s="657"/>
      <c r="CC223" s="657"/>
      <c r="CD223" s="657"/>
      <c r="CE223" s="657"/>
      <c r="CF223" s="657"/>
      <c r="CG223" s="657"/>
      <c r="CH223" s="657"/>
      <c r="CI223" s="657"/>
    </row>
    <row r="224" spans="1:87" ht="9.9499999999999993" customHeight="1">
      <c r="A224" s="1468" t="s">
        <v>14</v>
      </c>
      <c r="B224" s="1468"/>
      <c r="C224" s="1468"/>
      <c r="D224" s="1390"/>
      <c r="E224" s="1390"/>
      <c r="F224" s="1390"/>
      <c r="G224" s="1398"/>
      <c r="H224" s="1399"/>
      <c r="I224" s="1399"/>
      <c r="J224" s="1399"/>
      <c r="K224" s="1399"/>
      <c r="L224" s="1399"/>
      <c r="M224" s="1399"/>
      <c r="N224" s="1399"/>
      <c r="O224" s="1399"/>
      <c r="P224" s="1399"/>
      <c r="Q224" s="1399"/>
      <c r="R224" s="1399"/>
      <c r="S224" s="1399"/>
      <c r="T224" s="1399"/>
      <c r="U224" s="1399"/>
      <c r="V224" s="1400"/>
      <c r="W224" s="669"/>
      <c r="X224" s="669"/>
      <c r="Y224" s="669"/>
      <c r="Z224" s="669"/>
      <c r="AA224" s="1464"/>
      <c r="AB224" s="1464"/>
      <c r="AC224" s="1425"/>
      <c r="AD224" s="1426"/>
      <c r="AE224" s="1426"/>
      <c r="AF224" s="1426"/>
      <c r="AG224" s="1426"/>
      <c r="AH224" s="1427"/>
      <c r="AI224" s="1451"/>
      <c r="AJ224" s="1451"/>
      <c r="AK224" s="1451"/>
      <c r="AL224" s="1451"/>
      <c r="AM224" s="1445"/>
      <c r="AN224" s="1446"/>
      <c r="AO224" s="1446"/>
      <c r="AP224" s="1446"/>
      <c r="AQ224" s="1451"/>
      <c r="AR224" s="1451"/>
      <c r="AS224" s="1451"/>
      <c r="AT224" s="1451"/>
      <c r="AU224" s="1451"/>
      <c r="AV224" s="1451"/>
      <c r="AW224" s="1451"/>
      <c r="AX224" s="1451"/>
      <c r="AY224" s="1464"/>
      <c r="AZ224" s="1464"/>
      <c r="BA224" s="1464"/>
      <c r="BB224" s="1464"/>
      <c r="BC224" s="1465"/>
      <c r="BD224" s="1465"/>
      <c r="BE224" s="1465"/>
      <c r="BF224" s="1465"/>
      <c r="BG224" s="1465"/>
      <c r="BH224" s="1465"/>
      <c r="BI224" s="1465"/>
      <c r="BJ224" s="1465"/>
      <c r="BK224" s="1464"/>
      <c r="BL224" s="1464"/>
      <c r="BM224" s="1464"/>
      <c r="BN224" s="1464"/>
      <c r="BO224" s="1466"/>
      <c r="BP224" s="1466"/>
      <c r="BQ224" s="1466"/>
      <c r="BR224" s="1466"/>
      <c r="BS224" s="1466"/>
      <c r="BT224" s="1466"/>
      <c r="BU224" s="1464"/>
      <c r="BV224" s="1464"/>
      <c r="BW224" s="1464"/>
      <c r="BX224" s="1464"/>
      <c r="BY224" s="1464"/>
      <c r="BZ224" s="1464"/>
      <c r="CA224" s="668"/>
      <c r="CB224" s="657"/>
      <c r="CC224" s="657"/>
      <c r="CD224" s="657"/>
      <c r="CE224" s="657"/>
      <c r="CF224" s="657"/>
      <c r="CG224" s="657"/>
      <c r="CH224" s="657"/>
      <c r="CI224" s="657"/>
    </row>
    <row r="225" spans="1:87" ht="9.9499999999999993" customHeight="1">
      <c r="A225" s="1415"/>
      <c r="B225" s="1415"/>
      <c r="C225" s="1415"/>
      <c r="D225" s="1390"/>
      <c r="E225" s="1390"/>
      <c r="F225" s="1390"/>
      <c r="G225" s="1398"/>
      <c r="H225" s="1399"/>
      <c r="I225" s="1399"/>
      <c r="J225" s="1399"/>
      <c r="K225" s="1399"/>
      <c r="L225" s="1399"/>
      <c r="M225" s="1399"/>
      <c r="N225" s="1399"/>
      <c r="O225" s="1399"/>
      <c r="P225" s="1399"/>
      <c r="Q225" s="1399"/>
      <c r="R225" s="1399"/>
      <c r="S225" s="1399"/>
      <c r="T225" s="1399"/>
      <c r="U225" s="1399"/>
      <c r="V225" s="1400"/>
      <c r="W225" s="669"/>
      <c r="X225" s="669"/>
      <c r="Y225" s="669"/>
      <c r="Z225" s="669"/>
      <c r="AA225" s="1464"/>
      <c r="AB225" s="1464"/>
      <c r="AC225" s="1425"/>
      <c r="AD225" s="1426"/>
      <c r="AE225" s="1426"/>
      <c r="AF225" s="1426"/>
      <c r="AG225" s="1426"/>
      <c r="AH225" s="1427"/>
      <c r="AI225" s="1451"/>
      <c r="AJ225" s="1451"/>
      <c r="AK225" s="1451"/>
      <c r="AL225" s="1451"/>
      <c r="AM225" s="1445"/>
      <c r="AN225" s="1446"/>
      <c r="AO225" s="1446"/>
      <c r="AP225" s="1446"/>
      <c r="AQ225" s="1451"/>
      <c r="AR225" s="1451"/>
      <c r="AS225" s="1451"/>
      <c r="AT225" s="1451"/>
      <c r="AU225" s="1451"/>
      <c r="AV225" s="1451"/>
      <c r="AW225" s="1451"/>
      <c r="AX225" s="1451"/>
      <c r="AY225" s="1464"/>
      <c r="AZ225" s="1464"/>
      <c r="BA225" s="1464"/>
      <c r="BB225" s="1464"/>
      <c r="BC225" s="1465"/>
      <c r="BD225" s="1465"/>
      <c r="BE225" s="1465"/>
      <c r="BF225" s="1465"/>
      <c r="BG225" s="1465"/>
      <c r="BH225" s="1465"/>
      <c r="BI225" s="1465"/>
      <c r="BJ225" s="1465"/>
      <c r="BK225" s="1464"/>
      <c r="BL225" s="1464"/>
      <c r="BM225" s="1464"/>
      <c r="BN225" s="1464"/>
      <c r="BO225" s="1466"/>
      <c r="BP225" s="1466"/>
      <c r="BQ225" s="1466"/>
      <c r="BR225" s="1466"/>
      <c r="BS225" s="1466"/>
      <c r="BT225" s="1466"/>
      <c r="BU225" s="1464"/>
      <c r="BV225" s="1464"/>
      <c r="BW225" s="1464"/>
      <c r="BX225" s="1464"/>
      <c r="BY225" s="1464"/>
      <c r="BZ225" s="1464"/>
      <c r="CA225" s="672"/>
      <c r="CB225" s="657"/>
      <c r="CC225" s="657"/>
      <c r="CD225" s="657"/>
      <c r="CE225" s="657"/>
      <c r="CF225" s="657"/>
      <c r="CG225" s="657"/>
      <c r="CH225" s="657"/>
      <c r="CI225" s="657"/>
    </row>
    <row r="226" spans="1:87" ht="9.9499999999999993" customHeight="1">
      <c r="A226" s="1469"/>
      <c r="B226" s="1469"/>
      <c r="C226" s="1469"/>
      <c r="D226" s="1390"/>
      <c r="E226" s="1390"/>
      <c r="F226" s="1390"/>
      <c r="G226" s="1398"/>
      <c r="H226" s="1399"/>
      <c r="I226" s="1399"/>
      <c r="J226" s="1399"/>
      <c r="K226" s="1399"/>
      <c r="L226" s="1399"/>
      <c r="M226" s="1399"/>
      <c r="N226" s="1399"/>
      <c r="O226" s="1399"/>
      <c r="P226" s="1399"/>
      <c r="Q226" s="1399"/>
      <c r="R226" s="1399"/>
      <c r="S226" s="1399"/>
      <c r="T226" s="1399"/>
      <c r="U226" s="1399"/>
      <c r="V226" s="1400"/>
      <c r="W226" s="669"/>
      <c r="X226" s="669"/>
      <c r="Y226" s="669"/>
      <c r="Z226" s="669"/>
      <c r="AA226" s="1464"/>
      <c r="AB226" s="1464"/>
      <c r="AC226" s="1425"/>
      <c r="AD226" s="1426"/>
      <c r="AE226" s="1426"/>
      <c r="AF226" s="1426"/>
      <c r="AG226" s="1426"/>
      <c r="AH226" s="1427"/>
      <c r="AI226" s="1451"/>
      <c r="AJ226" s="1451"/>
      <c r="AK226" s="1451"/>
      <c r="AL226" s="1451"/>
      <c r="AM226" s="1445"/>
      <c r="AN226" s="1446"/>
      <c r="AO226" s="1446"/>
      <c r="AP226" s="1446"/>
      <c r="AQ226" s="1451"/>
      <c r="AR226" s="1451"/>
      <c r="AS226" s="1451"/>
      <c r="AT226" s="1451"/>
      <c r="AU226" s="1451"/>
      <c r="AV226" s="1451"/>
      <c r="AW226" s="1451"/>
      <c r="AX226" s="1451"/>
      <c r="AY226" s="1464"/>
      <c r="AZ226" s="1464"/>
      <c r="BA226" s="1464"/>
      <c r="BB226" s="1464"/>
      <c r="BC226" s="1465"/>
      <c r="BD226" s="1465"/>
      <c r="BE226" s="1465"/>
      <c r="BF226" s="1465"/>
      <c r="BG226" s="1465"/>
      <c r="BH226" s="1465"/>
      <c r="BI226" s="1465"/>
      <c r="BJ226" s="1465"/>
      <c r="BK226" s="1464"/>
      <c r="BL226" s="1464"/>
      <c r="BM226" s="1464"/>
      <c r="BN226" s="1464"/>
      <c r="BO226" s="1466"/>
      <c r="BP226" s="1466"/>
      <c r="BQ226" s="1466"/>
      <c r="BR226" s="1466"/>
      <c r="BS226" s="1466"/>
      <c r="BT226" s="1466"/>
      <c r="BU226" s="1464"/>
      <c r="BV226" s="1464"/>
      <c r="BW226" s="1464"/>
      <c r="BX226" s="1464"/>
      <c r="BY226" s="1464"/>
      <c r="BZ226" s="1464"/>
      <c r="CA226" s="672"/>
      <c r="CB226" s="657"/>
      <c r="CC226" s="657"/>
      <c r="CD226" s="657"/>
      <c r="CE226" s="657"/>
      <c r="CF226" s="657"/>
      <c r="CG226" s="657"/>
      <c r="CH226" s="657"/>
      <c r="CI226" s="657"/>
    </row>
    <row r="227" spans="1:87" ht="9.9499999999999993" customHeight="1">
      <c r="A227" s="1473" t="s">
        <v>38</v>
      </c>
      <c r="B227" s="1473"/>
      <c r="C227" s="1473"/>
      <c r="D227" s="1390"/>
      <c r="E227" s="1390"/>
      <c r="F227" s="1390"/>
      <c r="G227" s="1398"/>
      <c r="H227" s="1399"/>
      <c r="I227" s="1399"/>
      <c r="J227" s="1399"/>
      <c r="K227" s="1399"/>
      <c r="L227" s="1399"/>
      <c r="M227" s="1399"/>
      <c r="N227" s="1399"/>
      <c r="O227" s="1399"/>
      <c r="P227" s="1399"/>
      <c r="Q227" s="1399"/>
      <c r="R227" s="1399"/>
      <c r="S227" s="1399"/>
      <c r="T227" s="1399"/>
      <c r="U227" s="1399"/>
      <c r="V227" s="1400"/>
      <c r="W227" s="669"/>
      <c r="X227" s="669"/>
      <c r="Y227" s="669"/>
      <c r="Z227" s="669"/>
      <c r="AA227" s="1464"/>
      <c r="AB227" s="1464"/>
      <c r="AC227" s="1425"/>
      <c r="AD227" s="1426"/>
      <c r="AE227" s="1426"/>
      <c r="AF227" s="1426"/>
      <c r="AG227" s="1426"/>
      <c r="AH227" s="1427"/>
      <c r="AI227" s="1451"/>
      <c r="AJ227" s="1451"/>
      <c r="AK227" s="1451"/>
      <c r="AL227" s="1451"/>
      <c r="AM227" s="1445"/>
      <c r="AN227" s="1446"/>
      <c r="AO227" s="1446"/>
      <c r="AP227" s="1446"/>
      <c r="AQ227" s="1451"/>
      <c r="AR227" s="1451"/>
      <c r="AS227" s="1451"/>
      <c r="AT227" s="1451"/>
      <c r="AU227" s="1451"/>
      <c r="AV227" s="1451"/>
      <c r="AW227" s="1451"/>
      <c r="AX227" s="1451"/>
      <c r="AY227" s="1464"/>
      <c r="AZ227" s="1464"/>
      <c r="BA227" s="1464"/>
      <c r="BB227" s="1464"/>
      <c r="BC227" s="1465"/>
      <c r="BD227" s="1465"/>
      <c r="BE227" s="1465"/>
      <c r="BF227" s="1465"/>
      <c r="BG227" s="1465"/>
      <c r="BH227" s="1465"/>
      <c r="BI227" s="1465"/>
      <c r="BJ227" s="1465"/>
      <c r="BK227" s="1464"/>
      <c r="BL227" s="1464"/>
      <c r="BM227" s="1464"/>
      <c r="BN227" s="1464"/>
      <c r="BO227" s="1466"/>
      <c r="BP227" s="1466"/>
      <c r="BQ227" s="1466"/>
      <c r="BR227" s="1466"/>
      <c r="BS227" s="1466"/>
      <c r="BT227" s="1466"/>
      <c r="BU227" s="1464"/>
      <c r="BV227" s="1464"/>
      <c r="BW227" s="1464"/>
      <c r="BX227" s="1464"/>
      <c r="BY227" s="1464"/>
      <c r="BZ227" s="1464"/>
      <c r="CA227" s="668"/>
      <c r="CB227" s="657"/>
      <c r="CC227" s="657"/>
      <c r="CD227" s="657"/>
      <c r="CE227" s="657"/>
      <c r="CF227" s="657"/>
      <c r="CG227" s="657"/>
      <c r="CH227" s="657"/>
      <c r="CI227" s="657"/>
    </row>
    <row r="228" spans="1:87" ht="9.9499999999999993" customHeight="1">
      <c r="A228" s="1474" t="str">
        <f>AU208</f>
        <v/>
      </c>
      <c r="B228" s="1474"/>
      <c r="C228" s="1474"/>
      <c r="D228" s="1390"/>
      <c r="E228" s="1390"/>
      <c r="F228" s="1390"/>
      <c r="G228" s="1398"/>
      <c r="H228" s="1399"/>
      <c r="I228" s="1399"/>
      <c r="J228" s="1399"/>
      <c r="K228" s="1399"/>
      <c r="L228" s="1399"/>
      <c r="M228" s="1399"/>
      <c r="N228" s="1399"/>
      <c r="O228" s="1399"/>
      <c r="P228" s="1399"/>
      <c r="Q228" s="1399"/>
      <c r="R228" s="1399"/>
      <c r="S228" s="1399"/>
      <c r="T228" s="1399"/>
      <c r="U228" s="1399"/>
      <c r="V228" s="1400"/>
      <c r="W228" s="669"/>
      <c r="X228" s="669"/>
      <c r="Y228" s="669"/>
      <c r="Z228" s="669"/>
      <c r="AA228" s="1464"/>
      <c r="AB228" s="1464"/>
      <c r="AC228" s="1425"/>
      <c r="AD228" s="1426"/>
      <c r="AE228" s="1426"/>
      <c r="AF228" s="1426"/>
      <c r="AG228" s="1426"/>
      <c r="AH228" s="1427"/>
      <c r="AI228" s="1451"/>
      <c r="AJ228" s="1451"/>
      <c r="AK228" s="1451"/>
      <c r="AL228" s="1451"/>
      <c r="AM228" s="1445"/>
      <c r="AN228" s="1446"/>
      <c r="AO228" s="1446"/>
      <c r="AP228" s="1446"/>
      <c r="AQ228" s="1451"/>
      <c r="AR228" s="1451"/>
      <c r="AS228" s="1451"/>
      <c r="AT228" s="1451"/>
      <c r="AU228" s="1451"/>
      <c r="AV228" s="1451"/>
      <c r="AW228" s="1451"/>
      <c r="AX228" s="1451"/>
      <c r="AY228" s="1464"/>
      <c r="AZ228" s="1464"/>
      <c r="BA228" s="1464"/>
      <c r="BB228" s="1464"/>
      <c r="BC228" s="1465"/>
      <c r="BD228" s="1465"/>
      <c r="BE228" s="1465"/>
      <c r="BF228" s="1465"/>
      <c r="BG228" s="1465"/>
      <c r="BH228" s="1465"/>
      <c r="BI228" s="1465"/>
      <c r="BJ228" s="1465"/>
      <c r="BK228" s="1464"/>
      <c r="BL228" s="1464"/>
      <c r="BM228" s="1464"/>
      <c r="BN228" s="1464"/>
      <c r="BO228" s="1466"/>
      <c r="BP228" s="1466"/>
      <c r="BQ228" s="1466"/>
      <c r="BR228" s="1466"/>
      <c r="BS228" s="1466"/>
      <c r="BT228" s="1466"/>
      <c r="BU228" s="1464"/>
      <c r="BV228" s="1464"/>
      <c r="BW228" s="1464"/>
      <c r="BX228" s="1464"/>
      <c r="BY228" s="1464"/>
      <c r="BZ228" s="1464"/>
      <c r="CA228" s="668"/>
      <c r="CB228" s="657"/>
      <c r="CC228" s="657"/>
      <c r="CD228" s="657"/>
      <c r="CE228" s="657"/>
      <c r="CF228" s="657"/>
      <c r="CG228" s="657"/>
      <c r="CH228" s="657"/>
      <c r="CI228" s="657"/>
    </row>
    <row r="229" spans="1:87" ht="9.9499999999999993" customHeight="1">
      <c r="A229" s="1475"/>
      <c r="B229" s="1475"/>
      <c r="C229" s="1475"/>
      <c r="D229" s="1390"/>
      <c r="E229" s="1390"/>
      <c r="F229" s="1390"/>
      <c r="G229" s="1398"/>
      <c r="H229" s="1399"/>
      <c r="I229" s="1399"/>
      <c r="J229" s="1399"/>
      <c r="K229" s="1399"/>
      <c r="L229" s="1399"/>
      <c r="M229" s="1399"/>
      <c r="N229" s="1399"/>
      <c r="O229" s="1399"/>
      <c r="P229" s="1399"/>
      <c r="Q229" s="1399"/>
      <c r="R229" s="1399"/>
      <c r="S229" s="1399"/>
      <c r="T229" s="1399"/>
      <c r="U229" s="1399"/>
      <c r="V229" s="1400"/>
      <c r="W229" s="669"/>
      <c r="X229" s="669"/>
      <c r="Y229" s="669"/>
      <c r="Z229" s="669"/>
      <c r="AA229" s="1464"/>
      <c r="AB229" s="1464"/>
      <c r="AC229" s="1425"/>
      <c r="AD229" s="1426"/>
      <c r="AE229" s="1426"/>
      <c r="AF229" s="1426"/>
      <c r="AG229" s="1426"/>
      <c r="AH229" s="1427"/>
      <c r="AI229" s="1451"/>
      <c r="AJ229" s="1451"/>
      <c r="AK229" s="1451"/>
      <c r="AL229" s="1451"/>
      <c r="AM229" s="1445"/>
      <c r="AN229" s="1446"/>
      <c r="AO229" s="1446"/>
      <c r="AP229" s="1446"/>
      <c r="AQ229" s="1451"/>
      <c r="AR229" s="1451"/>
      <c r="AS229" s="1451"/>
      <c r="AT229" s="1451"/>
      <c r="AU229" s="1451"/>
      <c r="AV229" s="1451"/>
      <c r="AW229" s="1451"/>
      <c r="AX229" s="1451"/>
      <c r="AY229" s="1464"/>
      <c r="AZ229" s="1464"/>
      <c r="BA229" s="1464"/>
      <c r="BB229" s="1464"/>
      <c r="BC229" s="1465"/>
      <c r="BD229" s="1465"/>
      <c r="BE229" s="1465"/>
      <c r="BF229" s="1465"/>
      <c r="BG229" s="1465"/>
      <c r="BH229" s="1465"/>
      <c r="BI229" s="1465"/>
      <c r="BJ229" s="1465"/>
      <c r="BK229" s="1464"/>
      <c r="BL229" s="1464"/>
      <c r="BM229" s="1464"/>
      <c r="BN229" s="1464"/>
      <c r="BO229" s="1466"/>
      <c r="BP229" s="1466"/>
      <c r="BQ229" s="1466"/>
      <c r="BR229" s="1466"/>
      <c r="BS229" s="1466"/>
      <c r="BT229" s="1466"/>
      <c r="BU229" s="1464"/>
      <c r="BV229" s="1464"/>
      <c r="BW229" s="1464"/>
      <c r="BX229" s="1464"/>
      <c r="BY229" s="1464"/>
      <c r="BZ229" s="1464"/>
      <c r="CA229" s="668"/>
      <c r="CB229" s="657"/>
      <c r="CC229" s="657"/>
      <c r="CD229" s="657"/>
      <c r="CE229" s="657"/>
      <c r="CF229" s="657"/>
      <c r="CG229" s="657"/>
      <c r="CH229" s="657"/>
      <c r="CI229" s="657"/>
    </row>
    <row r="230" spans="1:87" ht="9.9499999999999993" customHeight="1">
      <c r="A230" s="1486" t="s">
        <v>37</v>
      </c>
      <c r="B230" s="1487"/>
      <c r="C230" s="1488"/>
      <c r="D230" s="1390"/>
      <c r="E230" s="1390"/>
      <c r="F230" s="1390"/>
      <c r="G230" s="1401"/>
      <c r="H230" s="1402"/>
      <c r="I230" s="1402"/>
      <c r="J230" s="1402"/>
      <c r="K230" s="1402"/>
      <c r="L230" s="1402"/>
      <c r="M230" s="1402"/>
      <c r="N230" s="1402"/>
      <c r="O230" s="1402"/>
      <c r="P230" s="1402"/>
      <c r="Q230" s="1402"/>
      <c r="R230" s="1402"/>
      <c r="S230" s="1402"/>
      <c r="T230" s="1402"/>
      <c r="U230" s="1402"/>
      <c r="V230" s="1403"/>
      <c r="W230" s="673"/>
      <c r="X230" s="673"/>
      <c r="Y230" s="673"/>
      <c r="Z230" s="673"/>
      <c r="AA230" s="1464"/>
      <c r="AB230" s="1464"/>
      <c r="AC230" s="1428"/>
      <c r="AD230" s="1429"/>
      <c r="AE230" s="1429"/>
      <c r="AF230" s="1429"/>
      <c r="AG230" s="1429"/>
      <c r="AH230" s="1430"/>
      <c r="AI230" s="1451"/>
      <c r="AJ230" s="1451"/>
      <c r="AK230" s="1451"/>
      <c r="AL230" s="1451"/>
      <c r="AM230" s="1448"/>
      <c r="AN230" s="1449"/>
      <c r="AO230" s="1449"/>
      <c r="AP230" s="1449"/>
      <c r="AQ230" s="1451"/>
      <c r="AR230" s="1451"/>
      <c r="AS230" s="1451"/>
      <c r="AT230" s="1451"/>
      <c r="AU230" s="1451"/>
      <c r="AV230" s="1451"/>
      <c r="AW230" s="1451"/>
      <c r="AX230" s="1451"/>
      <c r="AY230" s="1464"/>
      <c r="AZ230" s="1464"/>
      <c r="BA230" s="1464"/>
      <c r="BB230" s="1464"/>
      <c r="BC230" s="1465"/>
      <c r="BD230" s="1465"/>
      <c r="BE230" s="1465"/>
      <c r="BF230" s="1465"/>
      <c r="BG230" s="1465"/>
      <c r="BH230" s="1465"/>
      <c r="BI230" s="1465"/>
      <c r="BJ230" s="1465"/>
      <c r="BK230" s="1464"/>
      <c r="BL230" s="1464"/>
      <c r="BM230" s="1464"/>
      <c r="BN230" s="1464"/>
      <c r="BO230" s="1466"/>
      <c r="BP230" s="1466"/>
      <c r="BQ230" s="1466"/>
      <c r="BR230" s="1466"/>
      <c r="BS230" s="1466"/>
      <c r="BT230" s="1466"/>
      <c r="BU230" s="1464"/>
      <c r="BV230" s="1464"/>
      <c r="BW230" s="1464"/>
      <c r="BX230" s="1464"/>
      <c r="BY230" s="1464"/>
      <c r="BZ230" s="1464"/>
      <c r="CA230" s="679"/>
      <c r="CB230" s="657"/>
      <c r="CC230" s="657"/>
      <c r="CD230" s="657"/>
      <c r="CE230" s="657"/>
      <c r="CF230" s="657"/>
      <c r="CG230" s="657"/>
      <c r="CH230" s="657"/>
      <c r="CI230" s="657"/>
    </row>
    <row r="231" spans="1:87" ht="9.9499999999999993" customHeight="1">
      <c r="A231" s="1386" t="str">
        <f>BA208</f>
        <v/>
      </c>
      <c r="B231" s="1387"/>
      <c r="C231" s="1388"/>
      <c r="D231" s="1389" t="s">
        <v>78</v>
      </c>
      <c r="E231" s="1389"/>
      <c r="F231" s="1389"/>
      <c r="G231" s="691"/>
      <c r="H231" s="692"/>
      <c r="I231" s="692"/>
      <c r="J231" s="687"/>
      <c r="K231" s="1466" t="s">
        <v>3029</v>
      </c>
      <c r="L231" s="1466"/>
      <c r="M231" s="1466"/>
      <c r="N231" s="1466"/>
      <c r="O231" s="1405" t="s">
        <v>3015</v>
      </c>
      <c r="P231" s="1406"/>
      <c r="Q231" s="1407"/>
      <c r="R231" s="1464" t="s">
        <v>3030</v>
      </c>
      <c r="S231" s="1464"/>
      <c r="T231" s="1464"/>
      <c r="U231" s="1464" t="s">
        <v>3031</v>
      </c>
      <c r="V231" s="1464"/>
      <c r="W231" s="1464" t="s">
        <v>384</v>
      </c>
      <c r="X231" s="1464"/>
      <c r="Y231" s="736"/>
      <c r="Z231" s="670"/>
      <c r="AA231" s="694"/>
      <c r="AB231" s="663"/>
      <c r="AC231" s="663"/>
      <c r="AD231" s="671"/>
      <c r="AE231" s="663"/>
      <c r="AF231" s="663"/>
      <c r="AG231" s="663"/>
      <c r="AH231" s="671"/>
      <c r="AI231" s="736"/>
      <c r="AJ231" s="736"/>
      <c r="AK231" s="685"/>
      <c r="AL231" s="686"/>
      <c r="AM231" s="685"/>
      <c r="AN231" s="685"/>
      <c r="AO231" s="685"/>
      <c r="AP231" s="686"/>
      <c r="AQ231" s="685"/>
      <c r="AR231" s="685"/>
      <c r="AS231" s="685"/>
      <c r="AT231" s="686"/>
      <c r="AU231" s="685"/>
      <c r="AV231" s="685"/>
      <c r="AW231" s="685"/>
      <c r="AX231" s="686"/>
      <c r="AY231" s="685"/>
      <c r="AZ231" s="685"/>
      <c r="BA231" s="685"/>
      <c r="BB231" s="686"/>
      <c r="BC231" s="685"/>
      <c r="BD231" s="685"/>
      <c r="BE231" s="685"/>
      <c r="BF231" s="686"/>
      <c r="BG231" s="685"/>
      <c r="BH231" s="685"/>
      <c r="BI231" s="685"/>
      <c r="BJ231" s="686"/>
      <c r="BK231" s="685"/>
      <c r="BL231" s="685"/>
      <c r="BM231" s="685"/>
      <c r="BN231" s="686"/>
      <c r="BO231" s="685"/>
      <c r="BP231" s="685"/>
      <c r="BQ231" s="685"/>
      <c r="BR231" s="686"/>
      <c r="BS231" s="685"/>
      <c r="BT231" s="685"/>
      <c r="BU231" s="685"/>
      <c r="BV231" s="686"/>
      <c r="BW231" s="685"/>
      <c r="BX231" s="685"/>
      <c r="BY231" s="685"/>
      <c r="BZ231" s="737"/>
      <c r="CA231" s="668"/>
      <c r="CB231" s="657"/>
      <c r="CC231" s="657"/>
      <c r="CD231" s="657"/>
      <c r="CE231" s="657"/>
      <c r="CF231" s="657"/>
      <c r="CG231" s="657"/>
      <c r="CH231" s="657"/>
      <c r="CI231" s="657"/>
    </row>
    <row r="232" spans="1:87" ht="9.9499999999999993" customHeight="1">
      <c r="A232" s="1386"/>
      <c r="B232" s="1387"/>
      <c r="C232" s="1388"/>
      <c r="D232" s="1390"/>
      <c r="E232" s="1390"/>
      <c r="F232" s="1390"/>
      <c r="G232" s="691"/>
      <c r="H232" s="692"/>
      <c r="I232" s="692"/>
      <c r="J232" s="687"/>
      <c r="K232" s="1466"/>
      <c r="L232" s="1466"/>
      <c r="M232" s="1466"/>
      <c r="N232" s="1466"/>
      <c r="O232" s="1408"/>
      <c r="P232" s="1409"/>
      <c r="Q232" s="1410"/>
      <c r="R232" s="1464"/>
      <c r="S232" s="1464"/>
      <c r="T232" s="1464"/>
      <c r="U232" s="1464"/>
      <c r="V232" s="1464"/>
      <c r="W232" s="1464"/>
      <c r="X232" s="1464"/>
      <c r="Y232" s="736"/>
      <c r="Z232" s="670"/>
      <c r="AA232" s="663"/>
      <c r="AB232" s="663"/>
      <c r="AC232" s="663"/>
      <c r="AD232" s="671"/>
      <c r="AE232" s="663"/>
      <c r="AF232" s="663"/>
      <c r="AG232" s="663"/>
      <c r="AH232" s="671"/>
      <c r="AI232" s="736"/>
      <c r="AJ232" s="736"/>
      <c r="AK232" s="685"/>
      <c r="AL232" s="686"/>
      <c r="AM232" s="685"/>
      <c r="AN232" s="685"/>
      <c r="AO232" s="685"/>
      <c r="AP232" s="686"/>
      <c r="AQ232" s="685"/>
      <c r="AR232" s="685"/>
      <c r="AS232" s="685"/>
      <c r="AT232" s="686"/>
      <c r="AU232" s="685"/>
      <c r="AV232" s="685"/>
      <c r="AW232" s="685"/>
      <c r="AX232" s="686"/>
      <c r="AY232" s="685"/>
      <c r="AZ232" s="685"/>
      <c r="BA232" s="685"/>
      <c r="BB232" s="686"/>
      <c r="BC232" s="685"/>
      <c r="BD232" s="685"/>
      <c r="BE232" s="685"/>
      <c r="BF232" s="686"/>
      <c r="BG232" s="685"/>
      <c r="BH232" s="685"/>
      <c r="BI232" s="685"/>
      <c r="BJ232" s="686"/>
      <c r="BK232" s="685"/>
      <c r="BL232" s="685"/>
      <c r="BM232" s="685"/>
      <c r="BN232" s="686"/>
      <c r="BO232" s="685"/>
      <c r="BP232" s="685"/>
      <c r="BQ232" s="685"/>
      <c r="BR232" s="686"/>
      <c r="BS232" s="685"/>
      <c r="BT232" s="685"/>
      <c r="BU232" s="685"/>
      <c r="BV232" s="686"/>
      <c r="BW232" s="736"/>
      <c r="BX232" s="736"/>
      <c r="BY232" s="736"/>
      <c r="BZ232" s="737"/>
      <c r="CA232" s="668"/>
      <c r="CB232" s="657"/>
      <c r="CC232" s="657"/>
      <c r="CD232" s="657"/>
      <c r="CE232" s="657"/>
      <c r="CF232" s="657"/>
      <c r="CG232" s="657"/>
      <c r="CH232" s="657"/>
      <c r="CI232" s="657"/>
    </row>
    <row r="233" spans="1:87" ht="9.9499999999999993" customHeight="1">
      <c r="A233" s="1386"/>
      <c r="B233" s="1387"/>
      <c r="C233" s="1388"/>
      <c r="D233" s="1390"/>
      <c r="E233" s="1390"/>
      <c r="F233" s="1390"/>
      <c r="G233" s="691"/>
      <c r="H233" s="692"/>
      <c r="I233" s="692"/>
      <c r="J233" s="687"/>
      <c r="K233" s="1466"/>
      <c r="L233" s="1466"/>
      <c r="M233" s="1466"/>
      <c r="N233" s="1466"/>
      <c r="O233" s="1408"/>
      <c r="P233" s="1409"/>
      <c r="Q233" s="1410"/>
      <c r="R233" s="1464"/>
      <c r="S233" s="1464"/>
      <c r="T233" s="1464"/>
      <c r="U233" s="1464"/>
      <c r="V233" s="1464"/>
      <c r="W233" s="1464"/>
      <c r="X233" s="1464"/>
      <c r="Y233" s="736"/>
      <c r="Z233" s="670"/>
      <c r="AA233" s="663"/>
      <c r="AB233" s="663"/>
      <c r="AC233" s="663"/>
      <c r="AD233" s="671"/>
      <c r="AE233" s="663"/>
      <c r="AF233" s="663"/>
      <c r="AG233" s="663"/>
      <c r="AH233" s="671"/>
      <c r="AI233" s="736"/>
      <c r="AJ233" s="736"/>
      <c r="AK233" s="685"/>
      <c r="AL233" s="686"/>
      <c r="AM233" s="685"/>
      <c r="AN233" s="685"/>
      <c r="AO233" s="685"/>
      <c r="AP233" s="686"/>
      <c r="AQ233" s="685"/>
      <c r="AR233" s="685"/>
      <c r="AS233" s="685"/>
      <c r="AT233" s="686"/>
      <c r="AU233" s="685"/>
      <c r="AV233" s="685"/>
      <c r="AW233" s="685"/>
      <c r="AX233" s="686"/>
      <c r="AY233" s="685"/>
      <c r="AZ233" s="685"/>
      <c r="BA233" s="685"/>
      <c r="BB233" s="686"/>
      <c r="BC233" s="685"/>
      <c r="BD233" s="685"/>
      <c r="BE233" s="663"/>
      <c r="BF233" s="687"/>
      <c r="BG233" s="688"/>
      <c r="BH233" s="688"/>
      <c r="BI233" s="688"/>
      <c r="BJ233" s="687"/>
      <c r="BK233" s="688"/>
      <c r="BL233" s="688"/>
      <c r="BM233" s="688"/>
      <c r="BN233" s="687"/>
      <c r="BO233" s="688"/>
      <c r="BP233" s="688"/>
      <c r="BQ233" s="688"/>
      <c r="BR233" s="687"/>
      <c r="BS233" s="688"/>
      <c r="BT233" s="688"/>
      <c r="BU233" s="688"/>
      <c r="BV233" s="687"/>
      <c r="BW233" s="736"/>
      <c r="BX233" s="736"/>
      <c r="BY233" s="736"/>
      <c r="BZ233" s="737"/>
      <c r="CA233" s="672"/>
      <c r="CB233" s="657"/>
      <c r="CC233" s="657"/>
      <c r="CD233" s="657"/>
      <c r="CE233" s="657"/>
      <c r="CF233" s="657"/>
      <c r="CG233" s="657"/>
      <c r="CH233" s="657"/>
      <c r="CI233" s="657"/>
    </row>
    <row r="234" spans="1:87" ht="9.9499999999999993" customHeight="1">
      <c r="A234" s="1468" t="s">
        <v>15</v>
      </c>
      <c r="B234" s="1468"/>
      <c r="C234" s="1468"/>
      <c r="D234" s="1390"/>
      <c r="E234" s="1390"/>
      <c r="F234" s="1390"/>
      <c r="G234" s="691"/>
      <c r="H234" s="692"/>
      <c r="I234" s="692"/>
      <c r="J234" s="687"/>
      <c r="K234" s="1466"/>
      <c r="L234" s="1466"/>
      <c r="M234" s="1466"/>
      <c r="N234" s="1466"/>
      <c r="O234" s="1408"/>
      <c r="P234" s="1409"/>
      <c r="Q234" s="1410"/>
      <c r="R234" s="1464"/>
      <c r="S234" s="1464"/>
      <c r="T234" s="1464"/>
      <c r="U234" s="1464"/>
      <c r="V234" s="1464"/>
      <c r="W234" s="1464"/>
      <c r="X234" s="1464"/>
      <c r="Y234" s="736"/>
      <c r="Z234" s="670"/>
      <c r="AA234" s="663"/>
      <c r="AB234" s="663"/>
      <c r="AC234" s="663"/>
      <c r="AD234" s="671"/>
      <c r="AE234" s="663"/>
      <c r="AF234" s="663"/>
      <c r="AG234" s="663"/>
      <c r="AH234" s="671"/>
      <c r="AI234" s="736"/>
      <c r="AJ234" s="736"/>
      <c r="AK234" s="688"/>
      <c r="AL234" s="687"/>
      <c r="AM234" s="688"/>
      <c r="AN234" s="688"/>
      <c r="AO234" s="688"/>
      <c r="AP234" s="687"/>
      <c r="AQ234" s="688"/>
      <c r="AR234" s="688"/>
      <c r="AS234" s="688"/>
      <c r="AT234" s="687"/>
      <c r="AU234" s="688"/>
      <c r="AV234" s="688"/>
      <c r="AW234" s="688"/>
      <c r="AX234" s="687"/>
      <c r="AY234" s="688"/>
      <c r="AZ234" s="688"/>
      <c r="BA234" s="688"/>
      <c r="BB234" s="687"/>
      <c r="BC234" s="688"/>
      <c r="BD234" s="688"/>
      <c r="BE234" s="688"/>
      <c r="BF234" s="687"/>
      <c r="BG234" s="688"/>
      <c r="BH234" s="688"/>
      <c r="BI234" s="688"/>
      <c r="BJ234" s="687"/>
      <c r="BK234" s="688"/>
      <c r="BL234" s="688"/>
      <c r="BM234" s="688"/>
      <c r="BN234" s="687"/>
      <c r="BO234" s="688"/>
      <c r="BP234" s="688"/>
      <c r="BQ234" s="688"/>
      <c r="BR234" s="687"/>
      <c r="BS234" s="688"/>
      <c r="BT234" s="688"/>
      <c r="BU234" s="688"/>
      <c r="BV234" s="687"/>
      <c r="BW234" s="736"/>
      <c r="BX234" s="736"/>
      <c r="BY234" s="736"/>
      <c r="BZ234" s="737"/>
      <c r="CA234" s="672"/>
      <c r="CB234" s="657"/>
      <c r="CC234" s="657"/>
      <c r="CD234" s="657"/>
      <c r="CE234" s="657"/>
      <c r="CF234" s="657"/>
      <c r="CG234" s="657"/>
      <c r="CH234" s="657"/>
      <c r="CI234" s="657"/>
    </row>
    <row r="235" spans="1:87" ht="9.9499999999999993" customHeight="1">
      <c r="A235" s="1415"/>
      <c r="B235" s="1415"/>
      <c r="C235" s="1415"/>
      <c r="D235" s="1390"/>
      <c r="E235" s="1390"/>
      <c r="F235" s="1390"/>
      <c r="G235" s="691"/>
      <c r="H235" s="692"/>
      <c r="I235" s="692"/>
      <c r="J235" s="687"/>
      <c r="K235" s="1466"/>
      <c r="L235" s="1466"/>
      <c r="M235" s="1466"/>
      <c r="N235" s="1466"/>
      <c r="O235" s="1408"/>
      <c r="P235" s="1409"/>
      <c r="Q235" s="1410"/>
      <c r="R235" s="1464"/>
      <c r="S235" s="1464"/>
      <c r="T235" s="1464"/>
      <c r="U235" s="1464"/>
      <c r="V235" s="1464"/>
      <c r="W235" s="1464"/>
      <c r="X235" s="1464"/>
      <c r="Y235" s="736"/>
      <c r="Z235" s="670"/>
      <c r="AA235" s="663"/>
      <c r="AB235" s="663"/>
      <c r="AC235" s="663"/>
      <c r="AD235" s="671"/>
      <c r="AE235" s="663"/>
      <c r="AF235" s="663"/>
      <c r="AG235" s="663"/>
      <c r="AH235" s="671"/>
      <c r="AI235" s="736"/>
      <c r="AJ235" s="736"/>
      <c r="AK235" s="685"/>
      <c r="AL235" s="686"/>
      <c r="AM235" s="685"/>
      <c r="AN235" s="685"/>
      <c r="AO235" s="685"/>
      <c r="AP235" s="686"/>
      <c r="AQ235" s="685"/>
      <c r="AR235" s="685"/>
      <c r="AS235" s="685"/>
      <c r="AT235" s="686"/>
      <c r="AU235" s="685"/>
      <c r="AV235" s="685"/>
      <c r="AW235" s="685"/>
      <c r="AX235" s="686"/>
      <c r="AY235" s="685"/>
      <c r="AZ235" s="685"/>
      <c r="BA235" s="685"/>
      <c r="BB235" s="686"/>
      <c r="BC235" s="685"/>
      <c r="BD235" s="685"/>
      <c r="BE235" s="685"/>
      <c r="BF235" s="686"/>
      <c r="BG235" s="685"/>
      <c r="BH235" s="685"/>
      <c r="BI235" s="685"/>
      <c r="BJ235" s="686"/>
      <c r="BK235" s="685"/>
      <c r="BL235" s="685"/>
      <c r="BM235" s="685"/>
      <c r="BN235" s="686"/>
      <c r="BO235" s="685"/>
      <c r="BP235" s="685"/>
      <c r="BQ235" s="685"/>
      <c r="BR235" s="686"/>
      <c r="BS235" s="685"/>
      <c r="BT235" s="685"/>
      <c r="BU235" s="685"/>
      <c r="BV235" s="686"/>
      <c r="BW235" s="736"/>
      <c r="BX235" s="736"/>
      <c r="BY235" s="736"/>
      <c r="BZ235" s="737"/>
      <c r="CA235" s="668"/>
      <c r="CB235" s="657"/>
      <c r="CC235" s="657"/>
      <c r="CD235" s="657"/>
      <c r="CE235" s="657"/>
      <c r="CF235" s="657"/>
      <c r="CG235" s="657"/>
      <c r="CH235" s="657"/>
      <c r="CI235" s="657"/>
    </row>
    <row r="236" spans="1:87" ht="9.9499999999999993" customHeight="1">
      <c r="A236" s="1469"/>
      <c r="B236" s="1469"/>
      <c r="C236" s="1469"/>
      <c r="D236" s="1390"/>
      <c r="E236" s="1390"/>
      <c r="F236" s="1390"/>
      <c r="G236" s="691"/>
      <c r="H236" s="692"/>
      <c r="I236" s="692"/>
      <c r="J236" s="687"/>
      <c r="K236" s="1466"/>
      <c r="L236" s="1466"/>
      <c r="M236" s="1466"/>
      <c r="N236" s="1466"/>
      <c r="O236" s="1408"/>
      <c r="P236" s="1409"/>
      <c r="Q236" s="1410"/>
      <c r="R236" s="1464"/>
      <c r="S236" s="1464"/>
      <c r="T236" s="1464"/>
      <c r="U236" s="1464"/>
      <c r="V236" s="1464"/>
      <c r="W236" s="1464"/>
      <c r="X236" s="1464"/>
      <c r="Y236" s="736"/>
      <c r="Z236" s="670"/>
      <c r="AA236" s="663"/>
      <c r="AB236" s="663"/>
      <c r="AC236" s="663"/>
      <c r="AD236" s="671"/>
      <c r="AE236" s="663"/>
      <c r="AF236" s="663"/>
      <c r="AG236" s="663"/>
      <c r="AH236" s="671"/>
      <c r="AI236" s="736"/>
      <c r="AJ236" s="736"/>
      <c r="AK236" s="685"/>
      <c r="AL236" s="686"/>
      <c r="AM236" s="685"/>
      <c r="AN236" s="685"/>
      <c r="AO236" s="685"/>
      <c r="AP236" s="686"/>
      <c r="AQ236" s="685"/>
      <c r="AR236" s="685"/>
      <c r="AS236" s="685"/>
      <c r="AT236" s="686"/>
      <c r="AU236" s="685"/>
      <c r="AV236" s="685"/>
      <c r="AW236" s="685"/>
      <c r="AX236" s="686"/>
      <c r="AY236" s="685"/>
      <c r="AZ236" s="685"/>
      <c r="BA236" s="685"/>
      <c r="BB236" s="686"/>
      <c r="BC236" s="685"/>
      <c r="BD236" s="685"/>
      <c r="BE236" s="685"/>
      <c r="BF236" s="686"/>
      <c r="BG236" s="685"/>
      <c r="BH236" s="685"/>
      <c r="BI236" s="685"/>
      <c r="BJ236" s="686"/>
      <c r="BK236" s="685"/>
      <c r="BL236" s="685"/>
      <c r="BM236" s="685"/>
      <c r="BN236" s="686"/>
      <c r="BO236" s="685"/>
      <c r="BP236" s="685"/>
      <c r="BQ236" s="685"/>
      <c r="BR236" s="686"/>
      <c r="BS236" s="685"/>
      <c r="BT236" s="685"/>
      <c r="BU236" s="685"/>
      <c r="BV236" s="686"/>
      <c r="BW236" s="736"/>
      <c r="BX236" s="736"/>
      <c r="BY236" s="736"/>
      <c r="BZ236" s="737"/>
      <c r="CA236" s="668"/>
      <c r="CB236" s="657"/>
      <c r="CC236" s="657"/>
      <c r="CD236" s="657"/>
      <c r="CE236" s="657"/>
      <c r="CF236" s="657"/>
      <c r="CG236" s="657"/>
      <c r="CH236" s="657"/>
      <c r="CI236" s="657"/>
    </row>
    <row r="237" spans="1:87" ht="9.9499999999999993" customHeight="1" thickBot="1">
      <c r="A237" s="1470" t="str">
        <f>BE208</f>
        <v/>
      </c>
      <c r="B237" s="1471"/>
      <c r="C237" s="1472"/>
      <c r="D237" s="1467"/>
      <c r="E237" s="1467"/>
      <c r="F237" s="1467"/>
      <c r="G237" s="691"/>
      <c r="H237" s="692"/>
      <c r="I237" s="692"/>
      <c r="J237" s="687"/>
      <c r="K237" s="1466"/>
      <c r="L237" s="1466"/>
      <c r="M237" s="1466"/>
      <c r="N237" s="1466"/>
      <c r="O237" s="1408"/>
      <c r="P237" s="1409"/>
      <c r="Q237" s="1410"/>
      <c r="R237" s="1464"/>
      <c r="S237" s="1464"/>
      <c r="T237" s="1464"/>
      <c r="U237" s="1464"/>
      <c r="V237" s="1464"/>
      <c r="W237" s="1464"/>
      <c r="X237" s="1464"/>
      <c r="Y237" s="736"/>
      <c r="Z237" s="670"/>
      <c r="AA237" s="663"/>
      <c r="AB237" s="663"/>
      <c r="AC237" s="663"/>
      <c r="AD237" s="671"/>
      <c r="AE237" s="663"/>
      <c r="AF237" s="663"/>
      <c r="AG237" s="663"/>
      <c r="AH237" s="671"/>
      <c r="AI237" s="736"/>
      <c r="AJ237" s="736"/>
      <c r="AK237" s="685"/>
      <c r="AL237" s="686"/>
      <c r="AM237" s="685"/>
      <c r="AN237" s="685"/>
      <c r="AO237" s="685"/>
      <c r="AP237" s="686"/>
      <c r="AQ237" s="685"/>
      <c r="AR237" s="685"/>
      <c r="AS237" s="685"/>
      <c r="AT237" s="686"/>
      <c r="AU237" s="685"/>
      <c r="AV237" s="685"/>
      <c r="AW237" s="685"/>
      <c r="AX237" s="686"/>
      <c r="AY237" s="685"/>
      <c r="AZ237" s="685"/>
      <c r="BA237" s="685"/>
      <c r="BB237" s="686"/>
      <c r="BC237" s="685"/>
      <c r="BD237" s="685"/>
      <c r="BE237" s="685"/>
      <c r="BF237" s="686"/>
      <c r="BG237" s="685"/>
      <c r="BH237" s="685"/>
      <c r="BI237" s="685"/>
      <c r="BJ237" s="686"/>
      <c r="BK237" s="685"/>
      <c r="BL237" s="685"/>
      <c r="BM237" s="685"/>
      <c r="BN237" s="686"/>
      <c r="BO237" s="685"/>
      <c r="BP237" s="685"/>
      <c r="BQ237" s="685"/>
      <c r="BR237" s="686"/>
      <c r="BS237" s="685"/>
      <c r="BT237" s="685"/>
      <c r="BU237" s="685"/>
      <c r="BV237" s="686"/>
      <c r="BW237" s="736"/>
      <c r="BX237" s="736"/>
      <c r="BY237" s="736"/>
      <c r="BZ237" s="737"/>
      <c r="CA237" s="668"/>
      <c r="CB237" s="657"/>
      <c r="CC237" s="657"/>
      <c r="CD237" s="657"/>
      <c r="CE237" s="657"/>
      <c r="CF237" s="657"/>
      <c r="CG237" s="657"/>
      <c r="CH237" s="657"/>
      <c r="CI237" s="657"/>
    </row>
    <row r="238" spans="1:87" ht="9.9499999999999993" customHeight="1">
      <c r="A238" s="1386"/>
      <c r="B238" s="1387"/>
      <c r="C238" s="1388"/>
      <c r="D238" s="1390"/>
      <c r="E238" s="1390"/>
      <c r="F238" s="1390"/>
      <c r="G238" s="695"/>
      <c r="H238" s="696"/>
      <c r="I238" s="696"/>
      <c r="J238" s="690"/>
      <c r="K238" s="1466"/>
      <c r="L238" s="1466"/>
      <c r="M238" s="1466"/>
      <c r="N238" s="1466"/>
      <c r="O238" s="1408"/>
      <c r="P238" s="1409"/>
      <c r="Q238" s="1410"/>
      <c r="R238" s="1464"/>
      <c r="S238" s="1464"/>
      <c r="T238" s="1464"/>
      <c r="U238" s="1464"/>
      <c r="V238" s="1464"/>
      <c r="W238" s="1464"/>
      <c r="X238" s="1464"/>
      <c r="Y238" s="739"/>
      <c r="Z238" s="675"/>
      <c r="AA238" s="676"/>
      <c r="AB238" s="676"/>
      <c r="AC238" s="676"/>
      <c r="AD238" s="677"/>
      <c r="AE238" s="676"/>
      <c r="AF238" s="676"/>
      <c r="AG238" s="676"/>
      <c r="AH238" s="677"/>
      <c r="AI238" s="739"/>
      <c r="AJ238" s="739"/>
      <c r="AK238" s="689"/>
      <c r="AL238" s="690"/>
      <c r="AM238" s="689"/>
      <c r="AN238" s="689"/>
      <c r="AO238" s="689"/>
      <c r="AP238" s="690"/>
      <c r="AQ238" s="689"/>
      <c r="AR238" s="689"/>
      <c r="AS238" s="689"/>
      <c r="AT238" s="690"/>
      <c r="AU238" s="689"/>
      <c r="AV238" s="689"/>
      <c r="AW238" s="689"/>
      <c r="AX238" s="690"/>
      <c r="AY238" s="689"/>
      <c r="AZ238" s="689"/>
      <c r="BA238" s="689"/>
      <c r="BB238" s="690"/>
      <c r="BC238" s="689"/>
      <c r="BD238" s="689"/>
      <c r="BE238" s="689"/>
      <c r="BF238" s="690"/>
      <c r="BG238" s="689"/>
      <c r="BH238" s="689"/>
      <c r="BI238" s="689"/>
      <c r="BJ238" s="690"/>
      <c r="BK238" s="689"/>
      <c r="BL238" s="689"/>
      <c r="BM238" s="689"/>
      <c r="BN238" s="690"/>
      <c r="BO238" s="689"/>
      <c r="BP238" s="689"/>
      <c r="BQ238" s="689"/>
      <c r="BR238" s="690"/>
      <c r="BS238" s="689"/>
      <c r="BT238" s="689"/>
      <c r="BU238" s="689"/>
      <c r="BV238" s="690"/>
      <c r="BW238" s="689"/>
      <c r="BX238" s="689"/>
      <c r="BY238" s="689"/>
      <c r="BZ238" s="697"/>
      <c r="CA238" s="679"/>
      <c r="CB238" s="657"/>
      <c r="CC238" s="657"/>
      <c r="CD238" s="657"/>
      <c r="CE238" s="657"/>
      <c r="CF238" s="657"/>
      <c r="CG238" s="657"/>
      <c r="CH238" s="657"/>
      <c r="CI238" s="657"/>
    </row>
    <row r="239" spans="1:87" ht="9.9499999999999993" customHeight="1">
      <c r="A239" s="1386"/>
      <c r="B239" s="1387"/>
      <c r="C239" s="1388"/>
      <c r="D239" s="1390" t="s">
        <v>77</v>
      </c>
      <c r="E239" s="1390"/>
      <c r="F239" s="1390"/>
      <c r="G239" s="698"/>
      <c r="H239" s="699"/>
      <c r="I239" s="699"/>
      <c r="J239" s="700"/>
      <c r="K239" s="1466"/>
      <c r="L239" s="1466"/>
      <c r="M239" s="1466"/>
      <c r="N239" s="1466"/>
      <c r="O239" s="1408"/>
      <c r="P239" s="1409"/>
      <c r="Q239" s="1410"/>
      <c r="R239" s="1464"/>
      <c r="S239" s="1464"/>
      <c r="T239" s="1464"/>
      <c r="U239" s="1464"/>
      <c r="V239" s="1464"/>
      <c r="W239" s="1464"/>
      <c r="X239" s="1464"/>
      <c r="Y239" s="682"/>
      <c r="Z239" s="683"/>
      <c r="AA239" s="662"/>
      <c r="AB239" s="662"/>
      <c r="AC239" s="662"/>
      <c r="AD239" s="683"/>
      <c r="AE239" s="662"/>
      <c r="AF239" s="662"/>
      <c r="AG239" s="735"/>
      <c r="AH239" s="702"/>
      <c r="AI239" s="735"/>
      <c r="AJ239" s="735"/>
      <c r="AK239" s="680"/>
      <c r="AL239" s="681"/>
      <c r="AM239" s="680"/>
      <c r="AN239" s="680"/>
      <c r="AO239" s="680"/>
      <c r="AP239" s="681"/>
      <c r="AQ239" s="680"/>
      <c r="AR239" s="680"/>
      <c r="AS239" s="680"/>
      <c r="AT239" s="681"/>
      <c r="AU239" s="680"/>
      <c r="AV239" s="680"/>
      <c r="AW239" s="680"/>
      <c r="AX239" s="681"/>
      <c r="AY239" s="680"/>
      <c r="AZ239" s="680"/>
      <c r="BA239" s="680"/>
      <c r="BB239" s="681"/>
      <c r="BC239" s="680"/>
      <c r="BD239" s="680"/>
      <c r="BE239" s="680"/>
      <c r="BF239" s="681"/>
      <c r="BG239" s="680"/>
      <c r="BH239" s="680"/>
      <c r="BI239" s="680"/>
      <c r="BJ239" s="681"/>
      <c r="BK239" s="680"/>
      <c r="BL239" s="680"/>
      <c r="BM239" s="680"/>
      <c r="BN239" s="681"/>
      <c r="BO239" s="680"/>
      <c r="BP239" s="680"/>
      <c r="BQ239" s="680"/>
      <c r="BR239" s="681"/>
      <c r="BS239" s="680"/>
      <c r="BT239" s="680"/>
      <c r="BU239" s="680"/>
      <c r="BV239" s="681"/>
      <c r="BW239" s="680"/>
      <c r="BX239" s="680"/>
      <c r="BY239" s="680"/>
      <c r="BZ239" s="684"/>
      <c r="CA239" s="668"/>
      <c r="CB239" s="657"/>
      <c r="CC239" s="657"/>
      <c r="CD239" s="657"/>
      <c r="CE239" s="657"/>
      <c r="CF239" s="657"/>
      <c r="CG239" s="657"/>
      <c r="CH239" s="657"/>
      <c r="CI239" s="657"/>
    </row>
    <row r="240" spans="1:87" ht="9.9499999999999993" customHeight="1">
      <c r="A240" s="1468" t="s">
        <v>14</v>
      </c>
      <c r="B240" s="1468"/>
      <c r="C240" s="1468"/>
      <c r="D240" s="1390"/>
      <c r="E240" s="1390"/>
      <c r="F240" s="1390"/>
      <c r="G240" s="691"/>
      <c r="H240" s="692"/>
      <c r="I240" s="692"/>
      <c r="J240" s="687"/>
      <c r="K240" s="1466"/>
      <c r="L240" s="1466"/>
      <c r="M240" s="1466"/>
      <c r="N240" s="1466"/>
      <c r="O240" s="1408"/>
      <c r="P240" s="1409"/>
      <c r="Q240" s="1410"/>
      <c r="R240" s="1464"/>
      <c r="S240" s="1464"/>
      <c r="T240" s="1464"/>
      <c r="U240" s="1464"/>
      <c r="V240" s="1464"/>
      <c r="W240" s="1464"/>
      <c r="X240" s="1464"/>
      <c r="Y240" s="663"/>
      <c r="Z240" s="671"/>
      <c r="AA240" s="663"/>
      <c r="AB240" s="663"/>
      <c r="AC240" s="663"/>
      <c r="AD240" s="671"/>
      <c r="AE240" s="663"/>
      <c r="AF240" s="663"/>
      <c r="AG240" s="736"/>
      <c r="AH240" s="670"/>
      <c r="AI240" s="736"/>
      <c r="AJ240" s="736"/>
      <c r="AK240" s="685"/>
      <c r="AL240" s="686"/>
      <c r="AM240" s="685"/>
      <c r="AN240" s="685"/>
      <c r="AO240" s="685"/>
      <c r="AP240" s="686"/>
      <c r="AQ240" s="685"/>
      <c r="AR240" s="685"/>
      <c r="AS240" s="685"/>
      <c r="AT240" s="686"/>
      <c r="AU240" s="685"/>
      <c r="AV240" s="685"/>
      <c r="AW240" s="685"/>
      <c r="AX240" s="686"/>
      <c r="AY240" s="685"/>
      <c r="AZ240" s="685"/>
      <c r="BA240" s="685"/>
      <c r="BB240" s="686"/>
      <c r="BC240" s="685"/>
      <c r="BD240" s="685"/>
      <c r="BE240" s="685"/>
      <c r="BF240" s="686"/>
      <c r="BG240" s="685"/>
      <c r="BH240" s="685"/>
      <c r="BI240" s="685"/>
      <c r="BJ240" s="686"/>
      <c r="BK240" s="685"/>
      <c r="BL240" s="685"/>
      <c r="BM240" s="685"/>
      <c r="BN240" s="686"/>
      <c r="BO240" s="685"/>
      <c r="BP240" s="685"/>
      <c r="BQ240" s="685"/>
      <c r="BR240" s="686"/>
      <c r="BS240" s="685"/>
      <c r="BT240" s="685"/>
      <c r="BU240" s="685"/>
      <c r="BV240" s="686"/>
      <c r="BW240" s="736"/>
      <c r="BX240" s="736"/>
      <c r="BY240" s="736"/>
      <c r="BZ240" s="737"/>
      <c r="CA240" s="668"/>
      <c r="CB240" s="657"/>
      <c r="CC240" s="657"/>
      <c r="CD240" s="657"/>
      <c r="CE240" s="657"/>
      <c r="CF240" s="657"/>
      <c r="CG240" s="657"/>
      <c r="CH240" s="657"/>
      <c r="CI240" s="657"/>
    </row>
    <row r="241" spans="1:87" ht="9.9499999999999993" customHeight="1">
      <c r="A241" s="1415"/>
      <c r="B241" s="1415"/>
      <c r="C241" s="1415"/>
      <c r="D241" s="1390"/>
      <c r="E241" s="1390"/>
      <c r="F241" s="1390"/>
      <c r="G241" s="691"/>
      <c r="H241" s="692"/>
      <c r="I241" s="692"/>
      <c r="J241" s="687"/>
      <c r="K241" s="1466"/>
      <c r="L241" s="1466"/>
      <c r="M241" s="1466"/>
      <c r="N241" s="1466"/>
      <c r="O241" s="1408"/>
      <c r="P241" s="1409"/>
      <c r="Q241" s="1410"/>
      <c r="R241" s="1464"/>
      <c r="S241" s="1464"/>
      <c r="T241" s="1464"/>
      <c r="U241" s="1464"/>
      <c r="V241" s="1464"/>
      <c r="W241" s="1464"/>
      <c r="X241" s="1464"/>
      <c r="Y241" s="663"/>
      <c r="Z241" s="671"/>
      <c r="AA241" s="663"/>
      <c r="AB241" s="663"/>
      <c r="AC241" s="663"/>
      <c r="AD241" s="671"/>
      <c r="AE241" s="663"/>
      <c r="AF241" s="663"/>
      <c r="AG241" s="736"/>
      <c r="AH241" s="670"/>
      <c r="AI241" s="736"/>
      <c r="AJ241" s="736"/>
      <c r="AK241" s="685"/>
      <c r="AL241" s="686"/>
      <c r="AM241" s="685"/>
      <c r="AN241" s="685"/>
      <c r="AO241" s="685"/>
      <c r="AP241" s="686"/>
      <c r="AQ241" s="685"/>
      <c r="AR241" s="685"/>
      <c r="AS241" s="685"/>
      <c r="AT241" s="686"/>
      <c r="AU241" s="685"/>
      <c r="AV241" s="685"/>
      <c r="AW241" s="685"/>
      <c r="AX241" s="686"/>
      <c r="AY241" s="685"/>
      <c r="AZ241" s="685"/>
      <c r="BA241" s="685"/>
      <c r="BB241" s="686"/>
      <c r="BC241" s="685"/>
      <c r="BD241" s="685"/>
      <c r="BE241" s="663"/>
      <c r="BF241" s="687"/>
      <c r="BG241" s="688"/>
      <c r="BH241" s="688"/>
      <c r="BI241" s="688"/>
      <c r="BJ241" s="687"/>
      <c r="BK241" s="688"/>
      <c r="BL241" s="688"/>
      <c r="BM241" s="688"/>
      <c r="BN241" s="687"/>
      <c r="BO241" s="688"/>
      <c r="BP241" s="688"/>
      <c r="BQ241" s="688"/>
      <c r="BR241" s="687"/>
      <c r="BS241" s="688"/>
      <c r="BT241" s="688"/>
      <c r="BU241" s="688"/>
      <c r="BV241" s="687"/>
      <c r="BW241" s="736"/>
      <c r="BX241" s="736"/>
      <c r="BY241" s="736"/>
      <c r="BZ241" s="737"/>
      <c r="CA241" s="672"/>
      <c r="CB241" s="657"/>
      <c r="CC241" s="657"/>
      <c r="CD241" s="657"/>
      <c r="CE241" s="657"/>
      <c r="CF241" s="657"/>
      <c r="CG241" s="657"/>
      <c r="CH241" s="657"/>
      <c r="CI241" s="657"/>
    </row>
    <row r="242" spans="1:87" ht="9.9499999999999993" customHeight="1">
      <c r="A242" s="1469"/>
      <c r="B242" s="1469"/>
      <c r="C242" s="1469"/>
      <c r="D242" s="1390"/>
      <c r="E242" s="1390"/>
      <c r="F242" s="1390"/>
      <c r="G242" s="691"/>
      <c r="H242" s="692"/>
      <c r="I242" s="692"/>
      <c r="J242" s="687"/>
      <c r="K242" s="1466"/>
      <c r="L242" s="1466"/>
      <c r="M242" s="1466"/>
      <c r="N242" s="1466"/>
      <c r="O242" s="1408"/>
      <c r="P242" s="1409"/>
      <c r="Q242" s="1410"/>
      <c r="R242" s="1464"/>
      <c r="S242" s="1464"/>
      <c r="T242" s="1464"/>
      <c r="U242" s="1464"/>
      <c r="V242" s="1464"/>
      <c r="W242" s="1464"/>
      <c r="X242" s="1464"/>
      <c r="Y242" s="663"/>
      <c r="Z242" s="671"/>
      <c r="AA242" s="663"/>
      <c r="AB242" s="663"/>
      <c r="AC242" s="663"/>
      <c r="AD242" s="671"/>
      <c r="AE242" s="663"/>
      <c r="AF242" s="663"/>
      <c r="AG242" s="736"/>
      <c r="AH242" s="670"/>
      <c r="AI242" s="736"/>
      <c r="AJ242" s="736"/>
      <c r="AK242" s="688"/>
      <c r="AL242" s="687"/>
      <c r="AM242" s="688"/>
      <c r="AN242" s="688"/>
      <c r="AO242" s="688"/>
      <c r="AP242" s="687"/>
      <c r="AQ242" s="688"/>
      <c r="AR242" s="688"/>
      <c r="AS242" s="688"/>
      <c r="AT242" s="687"/>
      <c r="AU242" s="688"/>
      <c r="AV242" s="688"/>
      <c r="AW242" s="688"/>
      <c r="AX242" s="687"/>
      <c r="AY242" s="688"/>
      <c r="AZ242" s="688"/>
      <c r="BA242" s="688"/>
      <c r="BB242" s="687"/>
      <c r="BC242" s="688"/>
      <c r="BD242" s="688"/>
      <c r="BE242" s="688"/>
      <c r="BF242" s="687"/>
      <c r="BG242" s="688"/>
      <c r="BH242" s="688"/>
      <c r="BI242" s="688"/>
      <c r="BJ242" s="687"/>
      <c r="BK242" s="688"/>
      <c r="BL242" s="688"/>
      <c r="BM242" s="688"/>
      <c r="BN242" s="687"/>
      <c r="BO242" s="688"/>
      <c r="BP242" s="688"/>
      <c r="BQ242" s="688"/>
      <c r="BR242" s="687"/>
      <c r="BS242" s="688"/>
      <c r="BT242" s="688"/>
      <c r="BU242" s="688"/>
      <c r="BV242" s="687"/>
      <c r="BW242" s="736"/>
      <c r="BX242" s="736"/>
      <c r="BY242" s="736"/>
      <c r="BZ242" s="737"/>
      <c r="CA242" s="672"/>
      <c r="CB242" s="657"/>
      <c r="CC242" s="657"/>
      <c r="CD242" s="657"/>
      <c r="CE242" s="657"/>
      <c r="CF242" s="657"/>
      <c r="CG242" s="657"/>
      <c r="CH242" s="657"/>
      <c r="CI242" s="657"/>
    </row>
    <row r="243" spans="1:87" ht="9.9499999999999993" customHeight="1">
      <c r="A243" s="1473" t="s">
        <v>38</v>
      </c>
      <c r="B243" s="1473"/>
      <c r="C243" s="1473"/>
      <c r="D243" s="1390"/>
      <c r="E243" s="1390"/>
      <c r="F243" s="1390"/>
      <c r="G243" s="691"/>
      <c r="H243" s="692"/>
      <c r="I243" s="692"/>
      <c r="J243" s="687"/>
      <c r="K243" s="1466"/>
      <c r="L243" s="1466"/>
      <c r="M243" s="1466"/>
      <c r="N243" s="1466"/>
      <c r="O243" s="1408"/>
      <c r="P243" s="1409"/>
      <c r="Q243" s="1410"/>
      <c r="R243" s="1464"/>
      <c r="S243" s="1464"/>
      <c r="T243" s="1464"/>
      <c r="U243" s="1464"/>
      <c r="V243" s="1464"/>
      <c r="W243" s="1464"/>
      <c r="X243" s="1464"/>
      <c r="Y243" s="663"/>
      <c r="Z243" s="671"/>
      <c r="AA243" s="663"/>
      <c r="AB243" s="663"/>
      <c r="AC243" s="663"/>
      <c r="AD243" s="671"/>
      <c r="AE243" s="663"/>
      <c r="AF243" s="663"/>
      <c r="AG243" s="736"/>
      <c r="AH243" s="670"/>
      <c r="AI243" s="736"/>
      <c r="AJ243" s="736"/>
      <c r="AK243" s="685"/>
      <c r="AL243" s="686"/>
      <c r="AM243" s="685"/>
      <c r="AN243" s="685"/>
      <c r="AO243" s="685"/>
      <c r="AP243" s="686"/>
      <c r="AQ243" s="685"/>
      <c r="AR243" s="685"/>
      <c r="AS243" s="685"/>
      <c r="AT243" s="686"/>
      <c r="AU243" s="685"/>
      <c r="AV243" s="685"/>
      <c r="AW243" s="685"/>
      <c r="AX243" s="686"/>
      <c r="AY243" s="685"/>
      <c r="AZ243" s="685"/>
      <c r="BA243" s="685"/>
      <c r="BB243" s="686"/>
      <c r="BC243" s="685"/>
      <c r="BD243" s="685"/>
      <c r="BE243" s="685"/>
      <c r="BF243" s="686"/>
      <c r="BG243" s="685"/>
      <c r="BH243" s="685"/>
      <c r="BI243" s="685"/>
      <c r="BJ243" s="686"/>
      <c r="BK243" s="685"/>
      <c r="BL243" s="685"/>
      <c r="BM243" s="685"/>
      <c r="BN243" s="686"/>
      <c r="BO243" s="685"/>
      <c r="BP243" s="685"/>
      <c r="BQ243" s="685"/>
      <c r="BR243" s="686"/>
      <c r="BS243" s="685"/>
      <c r="BT243" s="685"/>
      <c r="BU243" s="685"/>
      <c r="BV243" s="686"/>
      <c r="BW243" s="736"/>
      <c r="BX243" s="736"/>
      <c r="BY243" s="736"/>
      <c r="BZ243" s="737"/>
      <c r="CA243" s="668"/>
      <c r="CB243" s="657"/>
      <c r="CC243" s="657"/>
      <c r="CD243" s="657"/>
      <c r="CE243" s="657"/>
      <c r="CF243" s="657"/>
      <c r="CG243" s="657"/>
      <c r="CH243" s="657"/>
      <c r="CI243" s="657"/>
    </row>
    <row r="244" spans="1:87" ht="9.9499999999999993" customHeight="1">
      <c r="A244" s="1474" t="str">
        <f>BK208</f>
        <v/>
      </c>
      <c r="B244" s="1474"/>
      <c r="C244" s="1474"/>
      <c r="D244" s="1390"/>
      <c r="E244" s="1390"/>
      <c r="F244" s="1390"/>
      <c r="G244" s="691"/>
      <c r="H244" s="692"/>
      <c r="I244" s="692"/>
      <c r="J244" s="687"/>
      <c r="K244" s="1466"/>
      <c r="L244" s="1466"/>
      <c r="M244" s="1466"/>
      <c r="N244" s="1466"/>
      <c r="O244" s="1408"/>
      <c r="P244" s="1409"/>
      <c r="Q244" s="1410"/>
      <c r="R244" s="1464"/>
      <c r="S244" s="1464"/>
      <c r="T244" s="1464"/>
      <c r="U244" s="1464"/>
      <c r="V244" s="1464"/>
      <c r="W244" s="1464"/>
      <c r="X244" s="1464"/>
      <c r="Y244" s="663"/>
      <c r="Z244" s="671"/>
      <c r="AA244" s="663"/>
      <c r="AB244" s="663"/>
      <c r="AC244" s="663"/>
      <c r="AD244" s="671"/>
      <c r="AE244" s="663"/>
      <c r="AF244" s="663"/>
      <c r="AG244" s="736"/>
      <c r="AH244" s="670"/>
      <c r="AI244" s="736"/>
      <c r="AJ244" s="736"/>
      <c r="AK244" s="685"/>
      <c r="AL244" s="686"/>
      <c r="AM244" s="685"/>
      <c r="AN244" s="685"/>
      <c r="AO244" s="685"/>
      <c r="AP244" s="686"/>
      <c r="AQ244" s="685"/>
      <c r="AR244" s="685"/>
      <c r="AS244" s="685"/>
      <c r="AT244" s="686"/>
      <c r="AU244" s="685"/>
      <c r="AV244" s="685"/>
      <c r="AW244" s="685"/>
      <c r="AX244" s="686"/>
      <c r="AY244" s="685"/>
      <c r="AZ244" s="685"/>
      <c r="BA244" s="685"/>
      <c r="BB244" s="686"/>
      <c r="BC244" s="685"/>
      <c r="BD244" s="685"/>
      <c r="BE244" s="685"/>
      <c r="BF244" s="686"/>
      <c r="BG244" s="685"/>
      <c r="BH244" s="685"/>
      <c r="BI244" s="685"/>
      <c r="BJ244" s="686"/>
      <c r="BK244" s="685"/>
      <c r="BL244" s="685"/>
      <c r="BM244" s="685"/>
      <c r="BN244" s="686"/>
      <c r="BO244" s="685"/>
      <c r="BP244" s="685"/>
      <c r="BQ244" s="685"/>
      <c r="BR244" s="686"/>
      <c r="BS244" s="685"/>
      <c r="BT244" s="685"/>
      <c r="BU244" s="685"/>
      <c r="BV244" s="686"/>
      <c r="BW244" s="736"/>
      <c r="BX244" s="736"/>
      <c r="BY244" s="736"/>
      <c r="BZ244" s="737"/>
      <c r="CA244" s="668"/>
      <c r="CB244" s="657"/>
      <c r="CC244" s="657"/>
      <c r="CD244" s="657"/>
      <c r="CE244" s="657"/>
      <c r="CF244" s="657"/>
      <c r="CG244" s="657"/>
      <c r="CH244" s="657"/>
      <c r="CI244" s="657"/>
    </row>
    <row r="245" spans="1:87" ht="9.9499999999999993" customHeight="1">
      <c r="A245" s="1475"/>
      <c r="B245" s="1475"/>
      <c r="C245" s="1475"/>
      <c r="D245" s="1390"/>
      <c r="E245" s="1390"/>
      <c r="F245" s="1390"/>
      <c r="G245" s="691"/>
      <c r="H245" s="692"/>
      <c r="I245" s="692"/>
      <c r="J245" s="687"/>
      <c r="K245" s="1466"/>
      <c r="L245" s="1466"/>
      <c r="M245" s="1466"/>
      <c r="N245" s="1466"/>
      <c r="O245" s="1408"/>
      <c r="P245" s="1409"/>
      <c r="Q245" s="1410"/>
      <c r="R245" s="1464"/>
      <c r="S245" s="1464"/>
      <c r="T245" s="1464"/>
      <c r="U245" s="1464"/>
      <c r="V245" s="1464"/>
      <c r="W245" s="1464"/>
      <c r="X245" s="1464"/>
      <c r="Y245" s="663"/>
      <c r="Z245" s="671"/>
      <c r="AA245" s="663"/>
      <c r="AB245" s="663"/>
      <c r="AC245" s="663"/>
      <c r="AD245" s="671"/>
      <c r="AE245" s="663"/>
      <c r="AF245" s="663"/>
      <c r="AG245" s="736"/>
      <c r="AH245" s="670"/>
      <c r="AI245" s="736"/>
      <c r="AJ245" s="736"/>
      <c r="AK245" s="685"/>
      <c r="AL245" s="686"/>
      <c r="AM245" s="685"/>
      <c r="AN245" s="685"/>
      <c r="AO245" s="685"/>
      <c r="AP245" s="686"/>
      <c r="AQ245" s="685"/>
      <c r="AR245" s="685"/>
      <c r="AS245" s="685"/>
      <c r="AT245" s="686"/>
      <c r="AU245" s="685"/>
      <c r="AV245" s="685"/>
      <c r="AW245" s="685"/>
      <c r="AX245" s="686"/>
      <c r="AY245" s="685"/>
      <c r="AZ245" s="685"/>
      <c r="BA245" s="685"/>
      <c r="BB245" s="686"/>
      <c r="BC245" s="685"/>
      <c r="BD245" s="685"/>
      <c r="BE245" s="685"/>
      <c r="BF245" s="686"/>
      <c r="BG245" s="685"/>
      <c r="BH245" s="685"/>
      <c r="BI245" s="685"/>
      <c r="BJ245" s="686"/>
      <c r="BK245" s="685"/>
      <c r="BL245" s="685"/>
      <c r="BM245" s="685"/>
      <c r="BN245" s="686"/>
      <c r="BO245" s="685"/>
      <c r="BP245" s="685"/>
      <c r="BQ245" s="685"/>
      <c r="BR245" s="686"/>
      <c r="BS245" s="685"/>
      <c r="BT245" s="685"/>
      <c r="BU245" s="685"/>
      <c r="BV245" s="686"/>
      <c r="BW245" s="736"/>
      <c r="BX245" s="736"/>
      <c r="BY245" s="736"/>
      <c r="BZ245" s="737"/>
      <c r="CA245" s="668"/>
      <c r="CB245" s="657"/>
      <c r="CC245" s="657"/>
      <c r="CD245" s="657"/>
      <c r="CE245" s="657"/>
      <c r="CF245" s="657"/>
      <c r="CG245" s="657"/>
      <c r="CH245" s="657"/>
      <c r="CI245" s="657"/>
    </row>
    <row r="246" spans="1:87" ht="9.9499999999999993" customHeight="1">
      <c r="A246" s="1468" t="s">
        <v>37</v>
      </c>
      <c r="B246" s="1468"/>
      <c r="C246" s="1468"/>
      <c r="D246" s="1390"/>
      <c r="E246" s="1390"/>
      <c r="F246" s="1390"/>
      <c r="G246" s="695"/>
      <c r="H246" s="696"/>
      <c r="I246" s="696"/>
      <c r="J246" s="697"/>
      <c r="K246" s="1466"/>
      <c r="L246" s="1466"/>
      <c r="M246" s="1466"/>
      <c r="N246" s="1466"/>
      <c r="O246" s="1411"/>
      <c r="P246" s="1412"/>
      <c r="Q246" s="1413"/>
      <c r="R246" s="1464"/>
      <c r="S246" s="1464"/>
      <c r="T246" s="1464"/>
      <c r="U246" s="1464"/>
      <c r="V246" s="1464"/>
      <c r="W246" s="1464"/>
      <c r="X246" s="1464"/>
      <c r="Y246" s="676"/>
      <c r="Z246" s="676"/>
      <c r="AA246" s="706"/>
      <c r="AB246" s="676"/>
      <c r="AC246" s="676"/>
      <c r="AD246" s="676"/>
      <c r="AE246" s="706"/>
      <c r="AF246" s="676"/>
      <c r="AG246" s="739"/>
      <c r="AH246" s="740"/>
      <c r="AI246" s="739"/>
      <c r="AJ246" s="739"/>
      <c r="AK246" s="689"/>
      <c r="AL246" s="689"/>
      <c r="AM246" s="705"/>
      <c r="AN246" s="689"/>
      <c r="AO246" s="689"/>
      <c r="AP246" s="689"/>
      <c r="AQ246" s="705"/>
      <c r="AR246" s="689"/>
      <c r="AS246" s="689"/>
      <c r="AT246" s="689"/>
      <c r="AU246" s="705"/>
      <c r="AV246" s="689"/>
      <c r="AW246" s="689"/>
      <c r="AX246" s="689"/>
      <c r="AY246" s="705"/>
      <c r="AZ246" s="689"/>
      <c r="BA246" s="689"/>
      <c r="BB246" s="689"/>
      <c r="BC246" s="705"/>
      <c r="BD246" s="689"/>
      <c r="BE246" s="689"/>
      <c r="BF246" s="689"/>
      <c r="BG246" s="705"/>
      <c r="BH246" s="689"/>
      <c r="BI246" s="689"/>
      <c r="BJ246" s="689"/>
      <c r="BK246" s="705"/>
      <c r="BL246" s="689"/>
      <c r="BM246" s="689"/>
      <c r="BN246" s="689"/>
      <c r="BO246" s="705"/>
      <c r="BP246" s="689"/>
      <c r="BQ246" s="689"/>
      <c r="BR246" s="689"/>
      <c r="BS246" s="705"/>
      <c r="BT246" s="689"/>
      <c r="BU246" s="689"/>
      <c r="BV246" s="689"/>
      <c r="BW246" s="738"/>
      <c r="BX246" s="739"/>
      <c r="BY246" s="739"/>
      <c r="BZ246" s="740"/>
      <c r="CA246" s="679"/>
      <c r="CB246" s="657"/>
      <c r="CC246" s="657"/>
      <c r="CD246" s="657"/>
      <c r="CE246" s="657"/>
      <c r="CF246" s="657"/>
      <c r="CG246" s="657"/>
      <c r="CH246" s="657"/>
      <c r="CI246" s="657"/>
    </row>
    <row r="247" spans="1:87" ht="13.5" customHeight="1">
      <c r="A247" s="708"/>
      <c r="B247" s="708"/>
      <c r="C247" s="708"/>
      <c r="D247" s="708"/>
      <c r="E247" s="708"/>
      <c r="F247" s="708"/>
      <c r="G247" s="1461"/>
      <c r="H247" s="1461"/>
      <c r="I247" s="1391">
        <v>0.25</v>
      </c>
      <c r="J247" s="1391"/>
      <c r="K247" s="1391"/>
      <c r="L247" s="1391"/>
      <c r="M247" s="1391">
        <v>0.29166666666666669</v>
      </c>
      <c r="N247" s="1391"/>
      <c r="O247" s="1391"/>
      <c r="P247" s="1391"/>
      <c r="Q247" s="1391">
        <v>0.33333333333333331</v>
      </c>
      <c r="R247" s="1391"/>
      <c r="S247" s="1391"/>
      <c r="T247" s="1391"/>
      <c r="U247" s="1391">
        <v>0.375</v>
      </c>
      <c r="V247" s="1391"/>
      <c r="W247" s="1391"/>
      <c r="X247" s="1391"/>
      <c r="Y247" s="1391">
        <v>0.41666666666666669</v>
      </c>
      <c r="Z247" s="1418"/>
      <c r="AA247" s="1391"/>
      <c r="AB247" s="1391"/>
      <c r="AC247" s="1391">
        <v>0.45833333333333331</v>
      </c>
      <c r="AD247" s="1391"/>
      <c r="AE247" s="1391"/>
      <c r="AF247" s="1391"/>
      <c r="AG247" s="1385">
        <v>0.5</v>
      </c>
      <c r="AH247" s="1385"/>
      <c r="AI247" s="1385"/>
      <c r="AJ247" s="1385"/>
      <c r="AK247" s="1385">
        <v>4.1666666666666664E-2</v>
      </c>
      <c r="AL247" s="1385"/>
      <c r="AM247" s="1385"/>
      <c r="AN247" s="1385"/>
      <c r="AO247" s="1385">
        <v>8.3333333333333329E-2</v>
      </c>
      <c r="AP247" s="1385"/>
      <c r="AQ247" s="1385"/>
      <c r="AR247" s="1385"/>
      <c r="AS247" s="1385">
        <v>0.125</v>
      </c>
      <c r="AT247" s="1385"/>
      <c r="AU247" s="1385"/>
      <c r="AV247" s="1385"/>
      <c r="AW247" s="1385">
        <v>0.16666666666666666</v>
      </c>
      <c r="AX247" s="1385"/>
      <c r="AY247" s="1385"/>
      <c r="AZ247" s="1385"/>
      <c r="BA247" s="1385">
        <v>0.20833333333333334</v>
      </c>
      <c r="BB247" s="1385"/>
      <c r="BC247" s="1385"/>
      <c r="BD247" s="1385"/>
      <c r="BE247" s="1385">
        <v>0.25</v>
      </c>
      <c r="BF247" s="1385"/>
      <c r="BG247" s="1385"/>
      <c r="BH247" s="1385"/>
      <c r="BI247" s="1385">
        <v>0.29166666666666669</v>
      </c>
      <c r="BJ247" s="1385"/>
      <c r="BK247" s="1385"/>
      <c r="BL247" s="1385"/>
      <c r="BM247" s="1385">
        <v>0.33333333333333331</v>
      </c>
      <c r="BN247" s="1385"/>
      <c r="BO247" s="1385"/>
      <c r="BP247" s="1385"/>
      <c r="BQ247" s="1385">
        <v>0.375</v>
      </c>
      <c r="BR247" s="1385"/>
      <c r="BS247" s="1385"/>
      <c r="BT247" s="1385"/>
      <c r="BU247" s="1385">
        <v>0.41666666666666669</v>
      </c>
      <c r="BV247" s="1414"/>
      <c r="BW247" s="1414"/>
      <c r="BX247" s="1414"/>
      <c r="BY247" s="652"/>
      <c r="BZ247" s="652"/>
      <c r="CA247" s="652"/>
      <c r="CB247" s="657"/>
      <c r="CC247" s="657"/>
      <c r="CD247" s="657"/>
      <c r="CE247" s="657"/>
      <c r="CF247" s="657"/>
      <c r="CG247" s="657"/>
      <c r="CH247" s="657"/>
      <c r="CI247" s="657"/>
    </row>
    <row r="248" spans="1:87" ht="13.5" customHeight="1">
      <c r="A248" s="1415" t="s">
        <v>75</v>
      </c>
      <c r="B248" s="1415"/>
      <c r="C248" s="1415"/>
      <c r="D248" s="1416"/>
      <c r="E248" s="1416"/>
      <c r="F248" s="1416"/>
      <c r="G248" s="1416"/>
      <c r="H248" s="1416"/>
      <c r="I248" s="1416"/>
      <c r="J248" s="1416"/>
      <c r="K248" s="1416"/>
      <c r="L248" s="1416"/>
      <c r="M248" s="1416"/>
      <c r="N248" s="1416"/>
      <c r="O248" s="1416"/>
      <c r="P248" s="1416"/>
      <c r="Q248" s="1416"/>
      <c r="R248" s="1416"/>
      <c r="S248" s="1416"/>
      <c r="T248" s="1416"/>
      <c r="U248" s="1416"/>
      <c r="V248" s="1416"/>
      <c r="W248" s="1416"/>
      <c r="X248" s="1416"/>
      <c r="Y248" s="1416"/>
      <c r="Z248" s="1416"/>
      <c r="AA248" s="1416"/>
      <c r="AB248" s="1416"/>
      <c r="AC248" s="1416"/>
      <c r="AD248" s="1416"/>
      <c r="AE248" s="1416"/>
      <c r="AF248" s="1416"/>
      <c r="AG248" s="1416"/>
      <c r="AH248" s="1416"/>
      <c r="AI248" s="1416"/>
      <c r="AJ248" s="1416"/>
      <c r="AK248" s="1416"/>
      <c r="AL248" s="1416"/>
      <c r="AM248" s="1416"/>
      <c r="AN248" s="1416"/>
      <c r="AO248" s="1416"/>
      <c r="AP248" s="1416"/>
      <c r="AQ248" s="1416"/>
      <c r="AR248" s="1416"/>
      <c r="AS248" s="1416"/>
      <c r="AT248" s="1416"/>
      <c r="AU248" s="1416"/>
      <c r="AV248" s="1416"/>
      <c r="AW248" s="1416"/>
      <c r="AX248" s="1416"/>
      <c r="AY248" s="1416"/>
      <c r="AZ248" s="1416"/>
      <c r="BA248" s="1416"/>
      <c r="BB248" s="1416"/>
      <c r="BC248" s="1416"/>
      <c r="BD248" s="1416"/>
      <c r="BE248" s="1416"/>
      <c r="BF248" s="1416"/>
      <c r="BG248" s="1416"/>
      <c r="BH248" s="1416"/>
      <c r="BI248" s="1416"/>
      <c r="BJ248" s="1416"/>
      <c r="BK248" s="1416"/>
      <c r="BL248" s="1416"/>
      <c r="BM248" s="1416"/>
      <c r="BN248" s="1416"/>
      <c r="BO248" s="1416"/>
      <c r="BP248" s="1416"/>
      <c r="BQ248" s="1416"/>
      <c r="BR248" s="1416"/>
      <c r="BS248" s="1416"/>
      <c r="BT248" s="1416"/>
      <c r="BU248" s="1416"/>
      <c r="BV248" s="1416"/>
      <c r="BW248" s="1416"/>
      <c r="BX248" s="1416"/>
      <c r="BY248" s="1416"/>
      <c r="BZ248" s="1416"/>
      <c r="CA248" s="672"/>
      <c r="CB248" s="709"/>
      <c r="CC248" s="709"/>
      <c r="CD248" s="709"/>
      <c r="CE248" s="709"/>
      <c r="CF248" s="709"/>
      <c r="CG248" s="709"/>
      <c r="CH248" s="709"/>
      <c r="CI248" s="709"/>
    </row>
    <row r="249" spans="1:87">
      <c r="A249" s="1415"/>
      <c r="B249" s="1415"/>
      <c r="C249" s="1415"/>
      <c r="D249" s="1416"/>
      <c r="E249" s="1416"/>
      <c r="F249" s="1416"/>
      <c r="G249" s="1416"/>
      <c r="H249" s="1416"/>
      <c r="I249" s="1416"/>
      <c r="J249" s="1416"/>
      <c r="K249" s="1416"/>
      <c r="L249" s="1416"/>
      <c r="M249" s="1416"/>
      <c r="N249" s="1416"/>
      <c r="O249" s="1416"/>
      <c r="P249" s="1416"/>
      <c r="Q249" s="1416"/>
      <c r="R249" s="1416"/>
      <c r="S249" s="1416"/>
      <c r="T249" s="1416"/>
      <c r="U249" s="1416"/>
      <c r="V249" s="1416"/>
      <c r="W249" s="1416"/>
      <c r="X249" s="1416"/>
      <c r="Y249" s="1416"/>
      <c r="Z249" s="1416"/>
      <c r="AA249" s="1416"/>
      <c r="AB249" s="1416"/>
      <c r="AC249" s="1416"/>
      <c r="AD249" s="1416"/>
      <c r="AE249" s="1416"/>
      <c r="AF249" s="1416"/>
      <c r="AG249" s="1416"/>
      <c r="AH249" s="1416"/>
      <c r="AI249" s="1416"/>
      <c r="AJ249" s="1416"/>
      <c r="AK249" s="1416"/>
      <c r="AL249" s="1416"/>
      <c r="AM249" s="1416"/>
      <c r="AN249" s="1416"/>
      <c r="AO249" s="1416"/>
      <c r="AP249" s="1416"/>
      <c r="AQ249" s="1416"/>
      <c r="AR249" s="1416"/>
      <c r="AS249" s="1416"/>
      <c r="AT249" s="1416"/>
      <c r="AU249" s="1416"/>
      <c r="AV249" s="1416"/>
      <c r="AW249" s="1416"/>
      <c r="AX249" s="1416"/>
      <c r="AY249" s="1416"/>
      <c r="AZ249" s="1416"/>
      <c r="BA249" s="1416"/>
      <c r="BB249" s="1416"/>
      <c r="BC249" s="1416"/>
      <c r="BD249" s="1416"/>
      <c r="BE249" s="1416"/>
      <c r="BF249" s="1416"/>
      <c r="BG249" s="1416"/>
      <c r="BH249" s="1416"/>
      <c r="BI249" s="1416"/>
      <c r="BJ249" s="1416"/>
      <c r="BK249" s="1416"/>
      <c r="BL249" s="1416"/>
      <c r="BM249" s="1416"/>
      <c r="BN249" s="1416"/>
      <c r="BO249" s="1416"/>
      <c r="BP249" s="1416"/>
      <c r="BQ249" s="1416"/>
      <c r="BR249" s="1416"/>
      <c r="BS249" s="1416"/>
      <c r="BT249" s="1416"/>
      <c r="BU249" s="1416"/>
      <c r="BV249" s="1416"/>
      <c r="BW249" s="1416"/>
      <c r="BX249" s="1416"/>
      <c r="BY249" s="1416"/>
      <c r="BZ249" s="1416"/>
      <c r="CA249" s="672"/>
      <c r="CB249" s="709"/>
      <c r="CC249" s="709"/>
      <c r="CD249" s="709"/>
      <c r="CE249" s="709"/>
      <c r="CF249" s="709"/>
      <c r="CG249" s="709"/>
      <c r="CH249" s="709"/>
      <c r="CI249" s="709"/>
    </row>
    <row r="250" spans="1:87">
      <c r="A250" s="1415"/>
      <c r="B250" s="1415"/>
      <c r="C250" s="1415"/>
      <c r="D250" s="1416"/>
      <c r="E250" s="1416"/>
      <c r="F250" s="1416"/>
      <c r="G250" s="1416"/>
      <c r="H250" s="1416"/>
      <c r="I250" s="1416"/>
      <c r="J250" s="1416"/>
      <c r="K250" s="1416"/>
      <c r="L250" s="1416"/>
      <c r="M250" s="1416"/>
      <c r="N250" s="1416"/>
      <c r="O250" s="1416"/>
      <c r="P250" s="1416"/>
      <c r="Q250" s="1416"/>
      <c r="R250" s="1416"/>
      <c r="S250" s="1416"/>
      <c r="T250" s="1416"/>
      <c r="U250" s="1416"/>
      <c r="V250" s="1416"/>
      <c r="W250" s="1416"/>
      <c r="X250" s="1416"/>
      <c r="Y250" s="1416"/>
      <c r="Z250" s="1416"/>
      <c r="AA250" s="1416"/>
      <c r="AB250" s="1416"/>
      <c r="AC250" s="1416"/>
      <c r="AD250" s="1416"/>
      <c r="AE250" s="1416"/>
      <c r="AF250" s="1416"/>
      <c r="AG250" s="1416"/>
      <c r="AH250" s="1416"/>
      <c r="AI250" s="1416"/>
      <c r="AJ250" s="1416"/>
      <c r="AK250" s="1416"/>
      <c r="AL250" s="1416"/>
      <c r="AM250" s="1416"/>
      <c r="AN250" s="1416"/>
      <c r="AO250" s="1416"/>
      <c r="AP250" s="1416"/>
      <c r="AQ250" s="1416"/>
      <c r="AR250" s="1416"/>
      <c r="AS250" s="1416"/>
      <c r="AT250" s="1416"/>
      <c r="AU250" s="1416"/>
      <c r="AV250" s="1416"/>
      <c r="AW250" s="1416"/>
      <c r="AX250" s="1416"/>
      <c r="AY250" s="1416"/>
      <c r="AZ250" s="1416"/>
      <c r="BA250" s="1416"/>
      <c r="BB250" s="1416"/>
      <c r="BC250" s="1416"/>
      <c r="BD250" s="1416"/>
      <c r="BE250" s="1416"/>
      <c r="BF250" s="1416"/>
      <c r="BG250" s="1416"/>
      <c r="BH250" s="1416"/>
      <c r="BI250" s="1416"/>
      <c r="BJ250" s="1416"/>
      <c r="BK250" s="1416"/>
      <c r="BL250" s="1416"/>
      <c r="BM250" s="1416"/>
      <c r="BN250" s="1416"/>
      <c r="BO250" s="1416"/>
      <c r="BP250" s="1416"/>
      <c r="BQ250" s="1416"/>
      <c r="BR250" s="1416"/>
      <c r="BS250" s="1416"/>
      <c r="BT250" s="1416"/>
      <c r="BU250" s="1416"/>
      <c r="BV250" s="1416"/>
      <c r="BW250" s="1416"/>
      <c r="BX250" s="1416"/>
      <c r="BY250" s="1416"/>
      <c r="BZ250" s="1416"/>
      <c r="CA250" s="672"/>
      <c r="CB250" s="709"/>
      <c r="CC250" s="709"/>
      <c r="CD250" s="709"/>
      <c r="CE250" s="709"/>
      <c r="CF250" s="709"/>
      <c r="CG250" s="709"/>
      <c r="CH250" s="709"/>
      <c r="CI250" s="709"/>
    </row>
    <row r="251" spans="1:87">
      <c r="A251" s="1415"/>
      <c r="B251" s="1415"/>
      <c r="C251" s="1415"/>
      <c r="D251" s="1416"/>
      <c r="E251" s="1416"/>
      <c r="F251" s="1416"/>
      <c r="G251" s="1416"/>
      <c r="H251" s="1416"/>
      <c r="I251" s="1416"/>
      <c r="J251" s="1416"/>
      <c r="K251" s="1416"/>
      <c r="L251" s="1416"/>
      <c r="M251" s="1416"/>
      <c r="N251" s="1416"/>
      <c r="O251" s="1416"/>
      <c r="P251" s="1416"/>
      <c r="Q251" s="1416"/>
      <c r="R251" s="1416"/>
      <c r="S251" s="1416"/>
      <c r="T251" s="1416"/>
      <c r="U251" s="1416"/>
      <c r="V251" s="1416"/>
      <c r="W251" s="1416"/>
      <c r="X251" s="1416"/>
      <c r="Y251" s="1416"/>
      <c r="Z251" s="1416"/>
      <c r="AA251" s="1416"/>
      <c r="AB251" s="1416"/>
      <c r="AC251" s="1416"/>
      <c r="AD251" s="1416"/>
      <c r="AE251" s="1416"/>
      <c r="AF251" s="1416"/>
      <c r="AG251" s="1416"/>
      <c r="AH251" s="1416"/>
      <c r="AI251" s="1416"/>
      <c r="AJ251" s="1416"/>
      <c r="AK251" s="1416"/>
      <c r="AL251" s="1416"/>
      <c r="AM251" s="1416"/>
      <c r="AN251" s="1416"/>
      <c r="AO251" s="1416"/>
      <c r="AP251" s="1416"/>
      <c r="AQ251" s="1416"/>
      <c r="AR251" s="1416"/>
      <c r="AS251" s="1416"/>
      <c r="AT251" s="1416"/>
      <c r="AU251" s="1416"/>
      <c r="AV251" s="1416"/>
      <c r="AW251" s="1416"/>
      <c r="AX251" s="1416"/>
      <c r="AY251" s="1416"/>
      <c r="AZ251" s="1416"/>
      <c r="BA251" s="1416"/>
      <c r="BB251" s="1416"/>
      <c r="BC251" s="1416"/>
      <c r="BD251" s="1416"/>
      <c r="BE251" s="1416"/>
      <c r="BF251" s="1416"/>
      <c r="BG251" s="1416"/>
      <c r="BH251" s="1416"/>
      <c r="BI251" s="1416"/>
      <c r="BJ251" s="1416"/>
      <c r="BK251" s="1416"/>
      <c r="BL251" s="1416"/>
      <c r="BM251" s="1416"/>
      <c r="BN251" s="1416"/>
      <c r="BO251" s="1416"/>
      <c r="BP251" s="1416"/>
      <c r="BQ251" s="1416"/>
      <c r="BR251" s="1416"/>
      <c r="BS251" s="1416"/>
      <c r="BT251" s="1416"/>
      <c r="BU251" s="1416"/>
      <c r="BV251" s="1416"/>
      <c r="BW251" s="1416"/>
      <c r="BX251" s="1416"/>
      <c r="BY251" s="1416"/>
      <c r="BZ251" s="1416"/>
      <c r="CA251" s="672"/>
      <c r="CB251" s="709"/>
      <c r="CC251" s="709"/>
      <c r="CD251" s="709"/>
      <c r="CE251" s="709"/>
      <c r="CF251" s="709"/>
      <c r="CG251" s="709"/>
      <c r="CH251" s="709"/>
      <c r="CI251" s="709"/>
    </row>
    <row r="252" spans="1:87">
      <c r="A252" s="1415"/>
      <c r="B252" s="1415"/>
      <c r="C252" s="1415"/>
      <c r="D252" s="1416"/>
      <c r="E252" s="1416"/>
      <c r="F252" s="1416"/>
      <c r="G252" s="1416"/>
      <c r="H252" s="1416"/>
      <c r="I252" s="1416"/>
      <c r="J252" s="1416"/>
      <c r="K252" s="1416"/>
      <c r="L252" s="1416"/>
      <c r="M252" s="1416"/>
      <c r="N252" s="1416"/>
      <c r="O252" s="1416"/>
      <c r="P252" s="1416"/>
      <c r="Q252" s="1416"/>
      <c r="R252" s="1416"/>
      <c r="S252" s="1416"/>
      <c r="T252" s="1416"/>
      <c r="U252" s="1416"/>
      <c r="V252" s="1416"/>
      <c r="W252" s="1416"/>
      <c r="X252" s="1416"/>
      <c r="Y252" s="1416"/>
      <c r="Z252" s="1416"/>
      <c r="AA252" s="1416"/>
      <c r="AB252" s="1416"/>
      <c r="AC252" s="1416"/>
      <c r="AD252" s="1416"/>
      <c r="AE252" s="1416"/>
      <c r="AF252" s="1416"/>
      <c r="AG252" s="1416"/>
      <c r="AH252" s="1416"/>
      <c r="AI252" s="1416"/>
      <c r="AJ252" s="1416"/>
      <c r="AK252" s="1416"/>
      <c r="AL252" s="1416"/>
      <c r="AM252" s="1416"/>
      <c r="AN252" s="1416"/>
      <c r="AO252" s="1416"/>
      <c r="AP252" s="1416"/>
      <c r="AQ252" s="1416"/>
      <c r="AR252" s="1416"/>
      <c r="AS252" s="1416"/>
      <c r="AT252" s="1416"/>
      <c r="AU252" s="1416"/>
      <c r="AV252" s="1416"/>
      <c r="AW252" s="1416"/>
      <c r="AX252" s="1416"/>
      <c r="AY252" s="1416"/>
      <c r="AZ252" s="1416"/>
      <c r="BA252" s="1416"/>
      <c r="BB252" s="1416"/>
      <c r="BC252" s="1416"/>
      <c r="BD252" s="1416"/>
      <c r="BE252" s="1416"/>
      <c r="BF252" s="1416"/>
      <c r="BG252" s="1416"/>
      <c r="BH252" s="1416"/>
      <c r="BI252" s="1416"/>
      <c r="BJ252" s="1416"/>
      <c r="BK252" s="1416"/>
      <c r="BL252" s="1416"/>
      <c r="BM252" s="1416"/>
      <c r="BN252" s="1416"/>
      <c r="BO252" s="1416"/>
      <c r="BP252" s="1416"/>
      <c r="BQ252" s="1416"/>
      <c r="BR252" s="1416"/>
      <c r="BS252" s="1416"/>
      <c r="BT252" s="1416"/>
      <c r="BU252" s="1416"/>
      <c r="BV252" s="1416"/>
      <c r="BW252" s="1416"/>
      <c r="BX252" s="1416"/>
      <c r="BY252" s="1416"/>
      <c r="BZ252" s="1416"/>
      <c r="CA252" s="672"/>
      <c r="CB252" s="709"/>
      <c r="CC252" s="709"/>
      <c r="CD252" s="709"/>
      <c r="CE252" s="709"/>
      <c r="CF252" s="709"/>
      <c r="CG252" s="709"/>
      <c r="CH252" s="709"/>
      <c r="CI252" s="709"/>
    </row>
    <row r="253" spans="1:87">
      <c r="A253" s="1417" t="s">
        <v>88</v>
      </c>
      <c r="B253" s="1417"/>
      <c r="C253" s="1417"/>
      <c r="D253" s="1417"/>
      <c r="E253" s="1417"/>
      <c r="F253" s="1417"/>
      <c r="G253" s="1417"/>
      <c r="H253" s="1417"/>
      <c r="I253" s="1417"/>
      <c r="J253" s="1417"/>
      <c r="K253" s="1417"/>
      <c r="L253" s="1417"/>
      <c r="M253" s="1417"/>
      <c r="N253" s="1417"/>
      <c r="O253" s="1417"/>
      <c r="P253" s="1417"/>
      <c r="Q253" s="1417"/>
      <c r="R253" s="1417"/>
      <c r="S253" s="1417"/>
      <c r="T253" s="1417"/>
      <c r="U253" s="1417"/>
      <c r="V253" s="1417"/>
      <c r="W253" s="1417"/>
      <c r="X253" s="1417"/>
      <c r="Y253" s="1417"/>
      <c r="Z253" s="1417"/>
      <c r="AA253" s="1417"/>
      <c r="AB253" s="1417"/>
      <c r="AC253" s="1417"/>
      <c r="AD253" s="1417"/>
      <c r="AE253" s="1417"/>
      <c r="AF253" s="1417"/>
      <c r="AG253" s="1417"/>
      <c r="AH253" s="1417"/>
      <c r="AI253" s="1417"/>
      <c r="AJ253" s="1417"/>
      <c r="AK253" s="1417"/>
      <c r="AL253" s="1417"/>
      <c r="AM253" s="1417"/>
      <c r="AN253" s="1417"/>
      <c r="AO253" s="1417"/>
      <c r="AP253" s="1417"/>
      <c r="AQ253" s="1417"/>
      <c r="AR253" s="1417"/>
      <c r="AS253" s="1417"/>
      <c r="AT253" s="1417"/>
      <c r="AU253" s="1417"/>
      <c r="AV253" s="1417"/>
      <c r="AW253" s="1417"/>
      <c r="AX253" s="1417"/>
      <c r="AY253" s="1417"/>
      <c r="AZ253" s="1417"/>
      <c r="BA253" s="1417"/>
      <c r="BB253" s="1417"/>
      <c r="BC253" s="1417"/>
      <c r="BD253" s="1417"/>
      <c r="BE253" s="1417"/>
      <c r="BF253" s="1417"/>
      <c r="BG253" s="1417"/>
      <c r="BH253" s="1417"/>
      <c r="BI253" s="1417"/>
      <c r="BJ253" s="1417"/>
      <c r="BK253" s="1417"/>
      <c r="BL253" s="1417"/>
      <c r="BM253" s="1417"/>
      <c r="BN253" s="1417"/>
      <c r="BO253" s="1417"/>
      <c r="BP253" s="1417"/>
      <c r="BQ253" s="1417"/>
      <c r="BR253" s="1417"/>
      <c r="BS253" s="1417"/>
      <c r="BT253" s="1417"/>
      <c r="BU253" s="1417"/>
      <c r="BV253" s="1417"/>
      <c r="BW253" s="1417"/>
      <c r="BX253" s="1417"/>
      <c r="BY253" s="1417"/>
      <c r="BZ253" s="1417"/>
      <c r="CA253" s="652"/>
      <c r="CB253" s="657"/>
      <c r="CC253" s="657"/>
      <c r="CD253" s="657"/>
      <c r="CE253" s="657"/>
      <c r="CF253" s="657"/>
      <c r="CG253" s="657"/>
      <c r="CH253" s="657"/>
      <c r="CI253" s="657"/>
    </row>
    <row r="254" spans="1:87">
      <c r="A254" s="1404" t="s">
        <v>87</v>
      </c>
      <c r="B254" s="1404"/>
      <c r="C254" s="1404"/>
      <c r="D254" s="1404"/>
      <c r="E254" s="1404"/>
      <c r="F254" s="1404"/>
      <c r="G254" s="1404"/>
      <c r="H254" s="1404"/>
      <c r="I254" s="1404"/>
      <c r="J254" s="1404"/>
      <c r="K254" s="1404"/>
      <c r="L254" s="1404"/>
      <c r="M254" s="1404"/>
      <c r="N254" s="1404"/>
      <c r="O254" s="1404"/>
      <c r="P254" s="1404"/>
      <c r="Q254" s="1404"/>
      <c r="R254" s="1404"/>
      <c r="S254" s="1404"/>
      <c r="T254" s="1404"/>
      <c r="U254" s="1404"/>
      <c r="V254" s="1404"/>
      <c r="W254" s="1404"/>
      <c r="X254" s="1404"/>
      <c r="Y254" s="1404"/>
      <c r="Z254" s="1404"/>
      <c r="AA254" s="1404"/>
      <c r="AB254" s="1404"/>
      <c r="AC254" s="1404"/>
      <c r="AD254" s="1404"/>
      <c r="AE254" s="1404"/>
      <c r="AF254" s="1404"/>
      <c r="AG254" s="1404"/>
      <c r="AH254" s="1404"/>
      <c r="AI254" s="1404"/>
      <c r="AJ254" s="1404"/>
      <c r="AK254" s="1404"/>
      <c r="AL254" s="1404"/>
      <c r="AM254" s="1404"/>
      <c r="AN254" s="1404"/>
      <c r="AO254" s="1404"/>
      <c r="AP254" s="1404"/>
      <c r="AQ254" s="1404"/>
      <c r="AR254" s="1404"/>
      <c r="AS254" s="1404"/>
      <c r="AT254" s="1404"/>
      <c r="AU254" s="1404"/>
      <c r="AV254" s="1404"/>
      <c r="AW254" s="1404"/>
      <c r="AX254" s="1404"/>
      <c r="AY254" s="1404"/>
      <c r="AZ254" s="1404"/>
      <c r="BA254" s="1404"/>
      <c r="BB254" s="1404"/>
      <c r="BC254" s="1404"/>
      <c r="BD254" s="1404"/>
      <c r="BE254" s="1404"/>
      <c r="BF254" s="1404"/>
      <c r="BG254" s="1404"/>
      <c r="BH254" s="1404"/>
      <c r="BI254" s="1404"/>
      <c r="BJ254" s="1404"/>
      <c r="BK254" s="1404"/>
      <c r="BL254" s="1404"/>
      <c r="BM254" s="1404"/>
      <c r="BN254" s="1404"/>
      <c r="BO254" s="1404"/>
      <c r="BP254" s="1404"/>
      <c r="BQ254" s="1404"/>
      <c r="BR254" s="1404"/>
      <c r="BS254" s="1404"/>
      <c r="BT254" s="1404"/>
      <c r="BU254" s="1404"/>
      <c r="BV254" s="1404"/>
      <c r="BW254" s="1404"/>
      <c r="BX254" s="1404"/>
      <c r="BY254" s="1404"/>
      <c r="BZ254" s="1404"/>
      <c r="CA254" s="652"/>
      <c r="CB254" s="657"/>
      <c r="CC254" s="657"/>
      <c r="CD254" s="657"/>
      <c r="CE254" s="657"/>
      <c r="CF254" s="657"/>
      <c r="CG254" s="657"/>
      <c r="CH254" s="657"/>
      <c r="CI254" s="657"/>
    </row>
    <row r="255" spans="1:87">
      <c r="A255" s="1404" t="s">
        <v>86</v>
      </c>
      <c r="B255" s="1404"/>
      <c r="C255" s="1404"/>
      <c r="D255" s="1404"/>
      <c r="E255" s="1404"/>
      <c r="F255" s="1404"/>
      <c r="G255" s="1404"/>
      <c r="H255" s="1404"/>
      <c r="I255" s="1404"/>
      <c r="J255" s="1404"/>
      <c r="K255" s="1404"/>
      <c r="L255" s="1404"/>
      <c r="M255" s="1404"/>
      <c r="N255" s="1404"/>
      <c r="O255" s="1404"/>
      <c r="P255" s="1404"/>
      <c r="Q255" s="1404"/>
      <c r="R255" s="1404"/>
      <c r="S255" s="1404"/>
      <c r="T255" s="1404"/>
      <c r="U255" s="1404"/>
      <c r="V255" s="1404"/>
      <c r="W255" s="1404"/>
      <c r="X255" s="1404"/>
      <c r="Y255" s="1404"/>
      <c r="Z255" s="1404"/>
      <c r="AA255" s="1404"/>
      <c r="AB255" s="1404"/>
      <c r="AC255" s="1404"/>
      <c r="AD255" s="1404"/>
      <c r="AE255" s="1404"/>
      <c r="AF255" s="1404"/>
      <c r="AG255" s="1404"/>
      <c r="AH255" s="1404"/>
      <c r="AI255" s="1404"/>
      <c r="AJ255" s="1404"/>
      <c r="AK255" s="1404"/>
      <c r="AL255" s="1404"/>
      <c r="AM255" s="1404"/>
      <c r="AN255" s="1404"/>
      <c r="AO255" s="1404"/>
      <c r="AP255" s="1404"/>
      <c r="AQ255" s="1404"/>
      <c r="AR255" s="1404"/>
      <c r="AS255" s="1404"/>
      <c r="AT255" s="1404"/>
      <c r="AU255" s="1404"/>
      <c r="AV255" s="1404"/>
      <c r="AW255" s="1404"/>
      <c r="AX255" s="1404"/>
      <c r="AY255" s="1404"/>
      <c r="AZ255" s="1404"/>
      <c r="BA255" s="1404"/>
      <c r="BB255" s="1404"/>
      <c r="BC255" s="1404"/>
      <c r="BD255" s="1404"/>
      <c r="BE255" s="1404"/>
      <c r="BF255" s="1404"/>
      <c r="BG255" s="1404"/>
      <c r="BH255" s="1404"/>
      <c r="BI255" s="1404"/>
      <c r="BJ255" s="1404"/>
      <c r="BK255" s="1404"/>
      <c r="BL255" s="1404"/>
      <c r="BM255" s="1404"/>
      <c r="BN255" s="1404"/>
      <c r="BO255" s="1404"/>
      <c r="BP255" s="1404"/>
      <c r="BQ255" s="1404"/>
      <c r="BR255" s="1404"/>
      <c r="BS255" s="1404"/>
      <c r="BT255" s="1404"/>
      <c r="BU255" s="1404"/>
      <c r="BV255" s="1404"/>
      <c r="BW255" s="1404"/>
      <c r="BX255" s="1404"/>
      <c r="BY255" s="1404"/>
      <c r="BZ255" s="1404"/>
      <c r="CA255" s="652"/>
      <c r="CB255" s="657"/>
      <c r="CC255" s="657"/>
      <c r="CD255" s="657"/>
      <c r="CE255" s="657"/>
      <c r="CF255" s="657"/>
      <c r="CG255" s="657"/>
      <c r="CH255" s="657"/>
      <c r="CI255" s="657"/>
    </row>
  </sheetData>
  <sheetProtection formatCells="0" formatColumns="0" formatRows="0" selectLockedCells="1"/>
  <mergeCells count="616">
    <mergeCell ref="AO4:AP5"/>
    <mergeCell ref="AQ4:AR5"/>
    <mergeCell ref="AS4:AT5"/>
    <mergeCell ref="AU4:AV5"/>
    <mergeCell ref="AW4:AX5"/>
    <mergeCell ref="AY4:AZ5"/>
    <mergeCell ref="A1:BZ1"/>
    <mergeCell ref="BW2:BX2"/>
    <mergeCell ref="BY2:BZ2"/>
    <mergeCell ref="A4:G5"/>
    <mergeCell ref="H4:W5"/>
    <mergeCell ref="X4:AD5"/>
    <mergeCell ref="AE4:AH5"/>
    <mergeCell ref="AI4:AJ5"/>
    <mergeCell ref="AK4:AL5"/>
    <mergeCell ref="AM4:AN5"/>
    <mergeCell ref="BY4:BZ4"/>
    <mergeCell ref="BQ5:BR5"/>
    <mergeCell ref="BS5:BV5"/>
    <mergeCell ref="BW5:BX5"/>
    <mergeCell ref="BY5:BZ5"/>
    <mergeCell ref="BU4:BV4"/>
    <mergeCell ref="BW4:BX4"/>
    <mergeCell ref="BM4:BN5"/>
    <mergeCell ref="BO4:BP5"/>
    <mergeCell ref="BQ4:BR4"/>
    <mergeCell ref="BS4:BT4"/>
    <mergeCell ref="BA4:BB5"/>
    <mergeCell ref="BC4:BD5"/>
    <mergeCell ref="BE4:BF5"/>
    <mergeCell ref="BG4:BH5"/>
    <mergeCell ref="BI4:BJ5"/>
    <mergeCell ref="BK4:BL5"/>
    <mergeCell ref="BU9:BZ9"/>
    <mergeCell ref="G10:H10"/>
    <mergeCell ref="I10:L10"/>
    <mergeCell ref="M10:P10"/>
    <mergeCell ref="Q10:T10"/>
    <mergeCell ref="U10:X10"/>
    <mergeCell ref="AM7:AP7"/>
    <mergeCell ref="BA7:BD7"/>
    <mergeCell ref="BE7:BH7"/>
    <mergeCell ref="BI7:BL7"/>
    <mergeCell ref="O8:T8"/>
    <mergeCell ref="AH8:AN8"/>
    <mergeCell ref="BC8:BJ8"/>
    <mergeCell ref="BU10:BX10"/>
    <mergeCell ref="BY10:BZ10"/>
    <mergeCell ref="M7:P7"/>
    <mergeCell ref="Q7:S7"/>
    <mergeCell ref="T7:W7"/>
    <mergeCell ref="AF7:AI7"/>
    <mergeCell ref="AJ7:AL7"/>
    <mergeCell ref="A11:C13"/>
    <mergeCell ref="D11:F18"/>
    <mergeCell ref="G11:V26"/>
    <mergeCell ref="BK11:BN26"/>
    <mergeCell ref="BO11:BR26"/>
    <mergeCell ref="A14:C16"/>
    <mergeCell ref="A17:C19"/>
    <mergeCell ref="D19:F26"/>
    <mergeCell ref="AW10:AZ10"/>
    <mergeCell ref="BA10:BD10"/>
    <mergeCell ref="BE10:BH10"/>
    <mergeCell ref="BI10:BL10"/>
    <mergeCell ref="BM10:BP10"/>
    <mergeCell ref="BQ10:BT10"/>
    <mergeCell ref="Y10:AB10"/>
    <mergeCell ref="AC10:AF10"/>
    <mergeCell ref="AG10:AJ10"/>
    <mergeCell ref="AK10:AN10"/>
    <mergeCell ref="AO10:AR10"/>
    <mergeCell ref="AS10:AV10"/>
    <mergeCell ref="A9:C10"/>
    <mergeCell ref="D9:F10"/>
    <mergeCell ref="AI9:AX9"/>
    <mergeCell ref="AY9:BT9"/>
    <mergeCell ref="O27:Q42"/>
    <mergeCell ref="A30:C32"/>
    <mergeCell ref="A33:C35"/>
    <mergeCell ref="D35:F42"/>
    <mergeCell ref="A36:C38"/>
    <mergeCell ref="A39:C39"/>
    <mergeCell ref="A40:C41"/>
    <mergeCell ref="A42:C42"/>
    <mergeCell ref="A20:C22"/>
    <mergeCell ref="A23:C23"/>
    <mergeCell ref="A24:C25"/>
    <mergeCell ref="A26:C26"/>
    <mergeCell ref="A27:C29"/>
    <mergeCell ref="D27:F34"/>
    <mergeCell ref="A44:C48"/>
    <mergeCell ref="D44:BZ48"/>
    <mergeCell ref="A49:BZ49"/>
    <mergeCell ref="A50:BZ50"/>
    <mergeCell ref="A51:BZ51"/>
    <mergeCell ref="A52:BZ52"/>
    <mergeCell ref="BA43:BD43"/>
    <mergeCell ref="BE43:BH43"/>
    <mergeCell ref="BI43:BL43"/>
    <mergeCell ref="BM43:BP43"/>
    <mergeCell ref="BQ43:BT43"/>
    <mergeCell ref="BU43:BX43"/>
    <mergeCell ref="AC43:AF43"/>
    <mergeCell ref="AG43:AJ43"/>
    <mergeCell ref="AK43:AN43"/>
    <mergeCell ref="AO43:AR43"/>
    <mergeCell ref="AS43:AV43"/>
    <mergeCell ref="AW43:AZ43"/>
    <mergeCell ref="G43:H43"/>
    <mergeCell ref="I43:L43"/>
    <mergeCell ref="M43:P43"/>
    <mergeCell ref="Q43:T43"/>
    <mergeCell ref="U43:X43"/>
    <mergeCell ref="Y43:AB43"/>
    <mergeCell ref="BW53:BX53"/>
    <mergeCell ref="BY53:BZ53"/>
    <mergeCell ref="A55:G56"/>
    <mergeCell ref="H55:W56"/>
    <mergeCell ref="X55:AD56"/>
    <mergeCell ref="AE55:AH56"/>
    <mergeCell ref="AI55:AJ56"/>
    <mergeCell ref="AK55:AL56"/>
    <mergeCell ref="AM55:AN56"/>
    <mergeCell ref="AO55:AP56"/>
    <mergeCell ref="BC55:BD56"/>
    <mergeCell ref="BE55:BF56"/>
    <mergeCell ref="BG55:BH56"/>
    <mergeCell ref="BI55:BJ56"/>
    <mergeCell ref="BK55:BL56"/>
    <mergeCell ref="BM55:BN56"/>
    <mergeCell ref="AQ55:AR56"/>
    <mergeCell ref="AS55:AT56"/>
    <mergeCell ref="AU55:AV56"/>
    <mergeCell ref="AW55:AX56"/>
    <mergeCell ref="AY55:AZ56"/>
    <mergeCell ref="BA55:BB56"/>
    <mergeCell ref="BO55:BP56"/>
    <mergeCell ref="BQ55:BR55"/>
    <mergeCell ref="BS55:BT55"/>
    <mergeCell ref="BU55:BV55"/>
    <mergeCell ref="BW55:BX55"/>
    <mergeCell ref="BY55:BZ55"/>
    <mergeCell ref="BQ56:BR56"/>
    <mergeCell ref="BS56:BV56"/>
    <mergeCell ref="BW56:BX56"/>
    <mergeCell ref="BY56:BZ56"/>
    <mergeCell ref="AI60:AX60"/>
    <mergeCell ref="AY60:BT60"/>
    <mergeCell ref="BU60:BZ60"/>
    <mergeCell ref="G61:H61"/>
    <mergeCell ref="I61:L61"/>
    <mergeCell ref="M61:P61"/>
    <mergeCell ref="Q61:T61"/>
    <mergeCell ref="U61:X61"/>
    <mergeCell ref="BA58:BD58"/>
    <mergeCell ref="BE58:BH58"/>
    <mergeCell ref="BI58:BL58"/>
    <mergeCell ref="O59:T59"/>
    <mergeCell ref="AH59:AN59"/>
    <mergeCell ref="BC59:BJ59"/>
    <mergeCell ref="M58:P58"/>
    <mergeCell ref="Q58:S58"/>
    <mergeCell ref="T58:W58"/>
    <mergeCell ref="AF58:AI58"/>
    <mergeCell ref="AJ58:AL58"/>
    <mergeCell ref="AM58:AP58"/>
    <mergeCell ref="BU61:BX61"/>
    <mergeCell ref="BY61:BZ61"/>
    <mergeCell ref="A62:C64"/>
    <mergeCell ref="D62:F69"/>
    <mergeCell ref="G62:V77"/>
    <mergeCell ref="BG62:BJ77"/>
    <mergeCell ref="BK62:BN77"/>
    <mergeCell ref="A65:C67"/>
    <mergeCell ref="A68:C70"/>
    <mergeCell ref="D70:F77"/>
    <mergeCell ref="AW61:AZ61"/>
    <mergeCell ref="BA61:BD61"/>
    <mergeCell ref="BE61:BH61"/>
    <mergeCell ref="BI61:BL61"/>
    <mergeCell ref="BM61:BP61"/>
    <mergeCell ref="BQ61:BT61"/>
    <mergeCell ref="Y61:AB61"/>
    <mergeCell ref="AC61:AF61"/>
    <mergeCell ref="AG61:AJ61"/>
    <mergeCell ref="AK61:AN61"/>
    <mergeCell ref="AO61:AR61"/>
    <mergeCell ref="AS61:AV61"/>
    <mergeCell ref="A60:C61"/>
    <mergeCell ref="D60:F61"/>
    <mergeCell ref="R78:T93"/>
    <mergeCell ref="A81:C83"/>
    <mergeCell ref="A84:C86"/>
    <mergeCell ref="D86:F93"/>
    <mergeCell ref="A87:C89"/>
    <mergeCell ref="A90:C90"/>
    <mergeCell ref="A91:C92"/>
    <mergeCell ref="A93:C93"/>
    <mergeCell ref="A71:C73"/>
    <mergeCell ref="A74:C74"/>
    <mergeCell ref="A75:C76"/>
    <mergeCell ref="A77:C77"/>
    <mergeCell ref="A78:C80"/>
    <mergeCell ref="D78:F85"/>
    <mergeCell ref="A95:C99"/>
    <mergeCell ref="D95:BZ99"/>
    <mergeCell ref="A100:BZ100"/>
    <mergeCell ref="A101:BZ101"/>
    <mergeCell ref="A102:BZ102"/>
    <mergeCell ref="A103:BZ103"/>
    <mergeCell ref="BA94:BD94"/>
    <mergeCell ref="BE94:BH94"/>
    <mergeCell ref="BI94:BL94"/>
    <mergeCell ref="BM94:BP94"/>
    <mergeCell ref="BQ94:BT94"/>
    <mergeCell ref="BU94:BX94"/>
    <mergeCell ref="AC94:AF94"/>
    <mergeCell ref="AG94:AJ94"/>
    <mergeCell ref="AK94:AN94"/>
    <mergeCell ref="AO94:AR94"/>
    <mergeCell ref="AS94:AV94"/>
    <mergeCell ref="AW94:AZ94"/>
    <mergeCell ref="G94:H94"/>
    <mergeCell ref="I94:L94"/>
    <mergeCell ref="M94:P94"/>
    <mergeCell ref="Q94:T94"/>
    <mergeCell ref="U94:X94"/>
    <mergeCell ref="Y94:AB94"/>
    <mergeCell ref="A106:G107"/>
    <mergeCell ref="H106:W107"/>
    <mergeCell ref="X106:AD107"/>
    <mergeCell ref="AE106:AH107"/>
    <mergeCell ref="AI106:AJ107"/>
    <mergeCell ref="AK106:AL107"/>
    <mergeCell ref="AM106:AN107"/>
    <mergeCell ref="AO106:AP107"/>
    <mergeCell ref="BC106:BD107"/>
    <mergeCell ref="AQ106:AR107"/>
    <mergeCell ref="AS106:AT107"/>
    <mergeCell ref="AU106:AV107"/>
    <mergeCell ref="AW106:AX107"/>
    <mergeCell ref="AY106:AZ107"/>
    <mergeCell ref="BA106:BB107"/>
    <mergeCell ref="BU106:BV106"/>
    <mergeCell ref="BW106:BX106"/>
    <mergeCell ref="BY106:BZ106"/>
    <mergeCell ref="BQ107:BR107"/>
    <mergeCell ref="BS107:BV107"/>
    <mergeCell ref="BW107:BX107"/>
    <mergeCell ref="BY107:BZ107"/>
    <mergeCell ref="BU111:BZ111"/>
    <mergeCell ref="BW104:BX104"/>
    <mergeCell ref="BY104:BZ104"/>
    <mergeCell ref="BQ106:BR106"/>
    <mergeCell ref="AK112:AN112"/>
    <mergeCell ref="AO112:AR112"/>
    <mergeCell ref="AS112:AV112"/>
    <mergeCell ref="BI112:BL112"/>
    <mergeCell ref="AY111:BT111"/>
    <mergeCell ref="BQ112:BT112"/>
    <mergeCell ref="Y112:AB112"/>
    <mergeCell ref="BS106:BT106"/>
    <mergeCell ref="BE106:BF107"/>
    <mergeCell ref="BG106:BH107"/>
    <mergeCell ref="BI106:BJ107"/>
    <mergeCell ref="BK106:BL107"/>
    <mergeCell ref="BM106:BN107"/>
    <mergeCell ref="BO106:BP107"/>
    <mergeCell ref="BA109:BD109"/>
    <mergeCell ref="BE109:BH109"/>
    <mergeCell ref="BI109:BL109"/>
    <mergeCell ref="O110:T110"/>
    <mergeCell ref="AH110:AN110"/>
    <mergeCell ref="BC110:BJ110"/>
    <mergeCell ref="M109:P109"/>
    <mergeCell ref="Q109:S109"/>
    <mergeCell ref="T109:W109"/>
    <mergeCell ref="AF109:AI109"/>
    <mergeCell ref="AJ109:AL109"/>
    <mergeCell ref="AM109:AP109"/>
    <mergeCell ref="BU113:BZ128"/>
    <mergeCell ref="A116:C118"/>
    <mergeCell ref="A119:C121"/>
    <mergeCell ref="D121:F128"/>
    <mergeCell ref="A122:C124"/>
    <mergeCell ref="A125:C125"/>
    <mergeCell ref="A126:C127"/>
    <mergeCell ref="BU112:BX112"/>
    <mergeCell ref="BY112:BZ112"/>
    <mergeCell ref="A113:C115"/>
    <mergeCell ref="D113:F120"/>
    <mergeCell ref="G113:V128"/>
    <mergeCell ref="AA113:AB128"/>
    <mergeCell ref="AW112:AZ112"/>
    <mergeCell ref="BA112:BD112"/>
    <mergeCell ref="BE112:BH112"/>
    <mergeCell ref="G112:H112"/>
    <mergeCell ref="I112:L112"/>
    <mergeCell ref="M112:P112"/>
    <mergeCell ref="BM112:BP112"/>
    <mergeCell ref="Q112:T112"/>
    <mergeCell ref="U112:X112"/>
    <mergeCell ref="AC112:AF112"/>
    <mergeCell ref="AG112:AJ112"/>
    <mergeCell ref="A128:C128"/>
    <mergeCell ref="A129:C131"/>
    <mergeCell ref="D129:F136"/>
    <mergeCell ref="K129:N144"/>
    <mergeCell ref="O129:Q144"/>
    <mergeCell ref="R129:T144"/>
    <mergeCell ref="BK113:BN128"/>
    <mergeCell ref="U129:V144"/>
    <mergeCell ref="W129:X144"/>
    <mergeCell ref="A132:C134"/>
    <mergeCell ref="A135:C137"/>
    <mergeCell ref="D137:F144"/>
    <mergeCell ref="A138:C140"/>
    <mergeCell ref="A141:C141"/>
    <mergeCell ref="A142:C143"/>
    <mergeCell ref="A144:C144"/>
    <mergeCell ref="AY113:BB128"/>
    <mergeCell ref="BC113:BF128"/>
    <mergeCell ref="BG113:BJ128"/>
    <mergeCell ref="AC113:AP128"/>
    <mergeCell ref="AQ113:AR128"/>
    <mergeCell ref="AS113:AX120"/>
    <mergeCell ref="AS121:AX128"/>
    <mergeCell ref="Y129:AJ136"/>
    <mergeCell ref="A111:C112"/>
    <mergeCell ref="D111:F112"/>
    <mergeCell ref="AI111:AX111"/>
    <mergeCell ref="A146:C150"/>
    <mergeCell ref="D146:BZ150"/>
    <mergeCell ref="A151:BZ151"/>
    <mergeCell ref="A152:BZ152"/>
    <mergeCell ref="A153:BZ153"/>
    <mergeCell ref="A154:BZ154"/>
    <mergeCell ref="BA145:BD145"/>
    <mergeCell ref="BE145:BH145"/>
    <mergeCell ref="BI145:BL145"/>
    <mergeCell ref="BM145:BP145"/>
    <mergeCell ref="BQ145:BT145"/>
    <mergeCell ref="BU145:BX145"/>
    <mergeCell ref="AC145:AF145"/>
    <mergeCell ref="AG145:AJ145"/>
    <mergeCell ref="AK145:AN145"/>
    <mergeCell ref="AO145:AR145"/>
    <mergeCell ref="AS145:AV145"/>
    <mergeCell ref="AW145:AZ145"/>
    <mergeCell ref="G145:H145"/>
    <mergeCell ref="I145:L145"/>
    <mergeCell ref="M145:P145"/>
    <mergeCell ref="Q145:T145"/>
    <mergeCell ref="U145:X145"/>
    <mergeCell ref="Y145:AB145"/>
    <mergeCell ref="BW155:BX155"/>
    <mergeCell ref="BY155:BZ155"/>
    <mergeCell ref="A157:G158"/>
    <mergeCell ref="H157:W158"/>
    <mergeCell ref="X157:AD158"/>
    <mergeCell ref="AE157:AH158"/>
    <mergeCell ref="AI157:AJ158"/>
    <mergeCell ref="AK157:AL158"/>
    <mergeCell ref="AM157:AN158"/>
    <mergeCell ref="AO157:AP158"/>
    <mergeCell ref="BC157:BD158"/>
    <mergeCell ref="BE157:BF158"/>
    <mergeCell ref="BG157:BH158"/>
    <mergeCell ref="BI157:BJ158"/>
    <mergeCell ref="BK157:BL158"/>
    <mergeCell ref="BM157:BN158"/>
    <mergeCell ref="AQ157:AR158"/>
    <mergeCell ref="AS157:AT158"/>
    <mergeCell ref="AU157:AV158"/>
    <mergeCell ref="AW157:AX158"/>
    <mergeCell ref="AY157:AZ158"/>
    <mergeCell ref="BA157:BB158"/>
    <mergeCell ref="BO157:BP158"/>
    <mergeCell ref="BQ157:BR157"/>
    <mergeCell ref="BS157:BT157"/>
    <mergeCell ref="BU157:BV157"/>
    <mergeCell ref="BW157:BX157"/>
    <mergeCell ref="BY157:BZ157"/>
    <mergeCell ref="BQ158:BR158"/>
    <mergeCell ref="BS158:BV158"/>
    <mergeCell ref="BW158:BX158"/>
    <mergeCell ref="BY158:BZ158"/>
    <mergeCell ref="BA160:BD160"/>
    <mergeCell ref="BE160:BH160"/>
    <mergeCell ref="BI160:BL160"/>
    <mergeCell ref="O161:T161"/>
    <mergeCell ref="AH161:AN161"/>
    <mergeCell ref="BC161:BJ161"/>
    <mergeCell ref="M160:P160"/>
    <mergeCell ref="Q160:S160"/>
    <mergeCell ref="T160:W160"/>
    <mergeCell ref="AF160:AI160"/>
    <mergeCell ref="AJ160:AL160"/>
    <mergeCell ref="AM160:AP160"/>
    <mergeCell ref="A162:C163"/>
    <mergeCell ref="D162:F163"/>
    <mergeCell ref="AI162:AX162"/>
    <mergeCell ref="AY162:BT162"/>
    <mergeCell ref="BU162:BZ162"/>
    <mergeCell ref="G163:H163"/>
    <mergeCell ref="I163:L163"/>
    <mergeCell ref="M163:P163"/>
    <mergeCell ref="Q163:T163"/>
    <mergeCell ref="U163:X163"/>
    <mergeCell ref="BU164:BZ179"/>
    <mergeCell ref="A167:C169"/>
    <mergeCell ref="A170:C172"/>
    <mergeCell ref="D172:F179"/>
    <mergeCell ref="A173:C175"/>
    <mergeCell ref="BU163:BX163"/>
    <mergeCell ref="BY163:BZ163"/>
    <mergeCell ref="A164:C166"/>
    <mergeCell ref="D164:F171"/>
    <mergeCell ref="G164:V179"/>
    <mergeCell ref="AA164:AB179"/>
    <mergeCell ref="BC164:BF179"/>
    <mergeCell ref="BG164:BJ179"/>
    <mergeCell ref="AW163:AZ163"/>
    <mergeCell ref="BA163:BD163"/>
    <mergeCell ref="BE163:BH163"/>
    <mergeCell ref="BI163:BL163"/>
    <mergeCell ref="BM163:BP163"/>
    <mergeCell ref="BQ163:BT163"/>
    <mergeCell ref="Y163:AB163"/>
    <mergeCell ref="AC163:AF163"/>
    <mergeCell ref="AG163:AJ163"/>
    <mergeCell ref="AK163:AN163"/>
    <mergeCell ref="AO163:AR163"/>
    <mergeCell ref="A176:C176"/>
    <mergeCell ref="A177:C178"/>
    <mergeCell ref="A179:C179"/>
    <mergeCell ref="A180:C182"/>
    <mergeCell ref="D180:F187"/>
    <mergeCell ref="K180:N195"/>
    <mergeCell ref="A195:C195"/>
    <mergeCell ref="BK164:BN179"/>
    <mergeCell ref="BO164:BR179"/>
    <mergeCell ref="O180:Q195"/>
    <mergeCell ref="R180:T195"/>
    <mergeCell ref="U180:V195"/>
    <mergeCell ref="W180:X195"/>
    <mergeCell ref="A183:C185"/>
    <mergeCell ref="A186:C188"/>
    <mergeCell ref="D188:F195"/>
    <mergeCell ref="A189:C191"/>
    <mergeCell ref="A192:C192"/>
    <mergeCell ref="A193:C194"/>
    <mergeCell ref="AC172:AJ179"/>
    <mergeCell ref="AK172:AN179"/>
    <mergeCell ref="AO172:AX179"/>
    <mergeCell ref="A197:C201"/>
    <mergeCell ref="D197:BZ201"/>
    <mergeCell ref="A202:BZ202"/>
    <mergeCell ref="A203:BZ203"/>
    <mergeCell ref="A204:BZ204"/>
    <mergeCell ref="A205:BZ205"/>
    <mergeCell ref="BA196:BD196"/>
    <mergeCell ref="BE196:BH196"/>
    <mergeCell ref="BI196:BL196"/>
    <mergeCell ref="BM196:BP196"/>
    <mergeCell ref="BQ196:BT196"/>
    <mergeCell ref="BU196:BX196"/>
    <mergeCell ref="AC196:AF196"/>
    <mergeCell ref="AG196:AJ196"/>
    <mergeCell ref="AK196:AN196"/>
    <mergeCell ref="AO196:AR196"/>
    <mergeCell ref="AS196:AV196"/>
    <mergeCell ref="AW196:AZ196"/>
    <mergeCell ref="G196:H196"/>
    <mergeCell ref="I196:L196"/>
    <mergeCell ref="M196:P196"/>
    <mergeCell ref="Q196:T196"/>
    <mergeCell ref="U196:X196"/>
    <mergeCell ref="Y196:AB196"/>
    <mergeCell ref="BU213:BZ213"/>
    <mergeCell ref="BW206:BX206"/>
    <mergeCell ref="BY206:BZ206"/>
    <mergeCell ref="A208:G209"/>
    <mergeCell ref="H208:W209"/>
    <mergeCell ref="X208:AD209"/>
    <mergeCell ref="AE208:AH209"/>
    <mergeCell ref="AI208:AJ209"/>
    <mergeCell ref="AK208:AL209"/>
    <mergeCell ref="AM208:AN209"/>
    <mergeCell ref="AO208:AP209"/>
    <mergeCell ref="BC208:BD209"/>
    <mergeCell ref="BI208:BJ209"/>
    <mergeCell ref="BK208:BL209"/>
    <mergeCell ref="BM208:BN209"/>
    <mergeCell ref="AQ208:AR209"/>
    <mergeCell ref="AS208:AT209"/>
    <mergeCell ref="AU208:AV209"/>
    <mergeCell ref="AW208:AX209"/>
    <mergeCell ref="AY208:AZ209"/>
    <mergeCell ref="BA208:BB209"/>
    <mergeCell ref="BE208:BF209"/>
    <mergeCell ref="BG208:BH209"/>
    <mergeCell ref="BO208:BP209"/>
    <mergeCell ref="M211:P211"/>
    <mergeCell ref="Q211:S211"/>
    <mergeCell ref="T211:W211"/>
    <mergeCell ref="AF211:AI211"/>
    <mergeCell ref="AJ211:AL211"/>
    <mergeCell ref="AM211:AP211"/>
    <mergeCell ref="BU208:BV208"/>
    <mergeCell ref="BW208:BX208"/>
    <mergeCell ref="BY208:BZ208"/>
    <mergeCell ref="BQ209:BR209"/>
    <mergeCell ref="BS209:BV209"/>
    <mergeCell ref="BW209:BX209"/>
    <mergeCell ref="BY209:BZ209"/>
    <mergeCell ref="BQ208:BR208"/>
    <mergeCell ref="BA211:BD211"/>
    <mergeCell ref="BE211:BH211"/>
    <mergeCell ref="BI211:BL211"/>
    <mergeCell ref="BS208:BT208"/>
    <mergeCell ref="A224:C226"/>
    <mergeCell ref="A227:C227"/>
    <mergeCell ref="O212:T212"/>
    <mergeCell ref="AH212:AN212"/>
    <mergeCell ref="BC212:BJ212"/>
    <mergeCell ref="BG215:BJ230"/>
    <mergeCell ref="BK215:BN230"/>
    <mergeCell ref="BO215:BR230"/>
    <mergeCell ref="A213:C214"/>
    <mergeCell ref="D213:F214"/>
    <mergeCell ref="AI213:AX213"/>
    <mergeCell ref="AY213:BT213"/>
    <mergeCell ref="BS215:BT230"/>
    <mergeCell ref="BU215:BZ230"/>
    <mergeCell ref="A218:C220"/>
    <mergeCell ref="A221:C223"/>
    <mergeCell ref="D223:F230"/>
    <mergeCell ref="BU214:BX214"/>
    <mergeCell ref="BY214:BZ214"/>
    <mergeCell ref="A215:C217"/>
    <mergeCell ref="D215:F222"/>
    <mergeCell ref="G215:V230"/>
    <mergeCell ref="AA215:AB230"/>
    <mergeCell ref="BC215:BF230"/>
    <mergeCell ref="AW214:AZ214"/>
    <mergeCell ref="BA214:BD214"/>
    <mergeCell ref="BE214:BH214"/>
    <mergeCell ref="G214:H214"/>
    <mergeCell ref="I214:L214"/>
    <mergeCell ref="AO214:AR214"/>
    <mergeCell ref="AS214:AV214"/>
    <mergeCell ref="BI214:BL214"/>
    <mergeCell ref="M214:P214"/>
    <mergeCell ref="Q214:T214"/>
    <mergeCell ref="U214:X214"/>
    <mergeCell ref="BM214:BP214"/>
    <mergeCell ref="BQ214:BT214"/>
    <mergeCell ref="D239:F246"/>
    <mergeCell ref="A240:C242"/>
    <mergeCell ref="A243:C243"/>
    <mergeCell ref="A228:C229"/>
    <mergeCell ref="A230:C230"/>
    <mergeCell ref="A231:C233"/>
    <mergeCell ref="D231:F238"/>
    <mergeCell ref="A244:C245"/>
    <mergeCell ref="A246:C246"/>
    <mergeCell ref="G247:H247"/>
    <mergeCell ref="I247:L247"/>
    <mergeCell ref="M247:P247"/>
    <mergeCell ref="Q247:T247"/>
    <mergeCell ref="K231:N246"/>
    <mergeCell ref="O231:Q246"/>
    <mergeCell ref="R231:T246"/>
    <mergeCell ref="A255:BZ255"/>
    <mergeCell ref="AY164:BB179"/>
    <mergeCell ref="BQ247:BT247"/>
    <mergeCell ref="BU247:BX247"/>
    <mergeCell ref="A248:C252"/>
    <mergeCell ref="D248:BZ252"/>
    <mergeCell ref="A253:BZ253"/>
    <mergeCell ref="A254:BZ254"/>
    <mergeCell ref="AS247:AV247"/>
    <mergeCell ref="AW247:AZ247"/>
    <mergeCell ref="BA247:BD247"/>
    <mergeCell ref="BE247:BH247"/>
    <mergeCell ref="BI247:BL247"/>
    <mergeCell ref="U231:V246"/>
    <mergeCell ref="W231:X246"/>
    <mergeCell ref="A234:C236"/>
    <mergeCell ref="A237:C239"/>
    <mergeCell ref="BM247:BP247"/>
    <mergeCell ref="U247:X247"/>
    <mergeCell ref="Y247:AB247"/>
    <mergeCell ref="AC247:AF247"/>
    <mergeCell ref="AG247:AJ247"/>
    <mergeCell ref="AK247:AN247"/>
    <mergeCell ref="AO247:AR247"/>
    <mergeCell ref="BG11:BJ26"/>
    <mergeCell ref="BC62:BF77"/>
    <mergeCell ref="BO113:BT128"/>
    <mergeCell ref="AC164:AT171"/>
    <mergeCell ref="AU164:AX171"/>
    <mergeCell ref="AC223:AH230"/>
    <mergeCell ref="AI223:AL230"/>
    <mergeCell ref="AC215:AP222"/>
    <mergeCell ref="AM223:AP230"/>
    <mergeCell ref="AQ215:AX230"/>
    <mergeCell ref="AY215:BB230"/>
    <mergeCell ref="AC214:AF214"/>
    <mergeCell ref="AG214:AJ214"/>
    <mergeCell ref="AK214:AN214"/>
    <mergeCell ref="Y214:AB214"/>
    <mergeCell ref="BS164:BT179"/>
    <mergeCell ref="AS163:AV163"/>
  </mergeCells>
  <phoneticPr fontId="171"/>
  <conditionalFormatting sqref="H4 AE4 AO4 AU4 BA4 BE4 BK4 A11:C13 A17:C19 A24:C25 A33:C35 A27:C29 A40:C41 AK4">
    <cfRule type="cellIs" dxfId="502" priority="23" stopIfTrue="1" operator="equal">
      <formula>""</formula>
    </cfRule>
  </conditionalFormatting>
  <conditionalFormatting sqref="BS4:BT4 BW4">
    <cfRule type="cellIs" dxfId="501" priority="22" stopIfTrue="1" operator="equal">
      <formula>""</formula>
    </cfRule>
  </conditionalFormatting>
  <conditionalFormatting sqref="BW5:BX5">
    <cfRule type="containsBlanks" dxfId="500" priority="24">
      <formula>LEN(TRIM(BW5))=0</formula>
    </cfRule>
  </conditionalFormatting>
  <conditionalFormatting sqref="AE55 AO55 AU55 BA55 BE55 BK55 A68:C70 A75:C76 A84:C86 A78:C80 A91:C92 AK55">
    <cfRule type="cellIs" dxfId="499" priority="20" stopIfTrue="1" operator="equal">
      <formula>""</formula>
    </cfRule>
  </conditionalFormatting>
  <conditionalFormatting sqref="BS55:BT55 BW55">
    <cfRule type="cellIs" dxfId="498" priority="19" stopIfTrue="1" operator="equal">
      <formula>""</formula>
    </cfRule>
  </conditionalFormatting>
  <conditionalFormatting sqref="BW56:BX56">
    <cfRule type="containsBlanks" dxfId="497" priority="25">
      <formula>LEN(TRIM(BW56))=0</formula>
    </cfRule>
  </conditionalFormatting>
  <conditionalFormatting sqref="H55">
    <cfRule type="cellIs" dxfId="496" priority="17" stopIfTrue="1" operator="equal">
      <formula>""</formula>
    </cfRule>
  </conditionalFormatting>
  <conditionalFormatting sqref="A62:C64">
    <cfRule type="cellIs" dxfId="495" priority="16" stopIfTrue="1" operator="equal">
      <formula>""</formula>
    </cfRule>
  </conditionalFormatting>
  <conditionalFormatting sqref="AE106 AO106 AU106 BA106 BE106 BK106 A119:C121 A126:C127 A135:C137 A129:C131 A142:C143 AK106">
    <cfRule type="cellIs" dxfId="494" priority="15" stopIfTrue="1" operator="equal">
      <formula>""</formula>
    </cfRule>
  </conditionalFormatting>
  <conditionalFormatting sqref="BS106:BT106 BW106">
    <cfRule type="cellIs" dxfId="493" priority="14" stopIfTrue="1" operator="equal">
      <formula>""</formula>
    </cfRule>
  </conditionalFormatting>
  <conditionalFormatting sqref="BW107:BX107">
    <cfRule type="containsBlanks" dxfId="492" priority="26">
      <formula>LEN(TRIM(BW107))=0</formula>
    </cfRule>
  </conditionalFormatting>
  <conditionalFormatting sqref="H106">
    <cfRule type="cellIs" dxfId="491" priority="12" stopIfTrue="1" operator="equal">
      <formula>""</formula>
    </cfRule>
  </conditionalFormatting>
  <conditionalFormatting sqref="A113:C115">
    <cfRule type="cellIs" dxfId="490" priority="11" stopIfTrue="1" operator="equal">
      <formula>""</formula>
    </cfRule>
  </conditionalFormatting>
  <conditionalFormatting sqref="AE157 AO157 AU157 BA157 BE157 BK157 A170:C172 A177:C178 A186:C188 A180:C182 A193:C194 AK157">
    <cfRule type="cellIs" dxfId="489" priority="10" stopIfTrue="1" operator="equal">
      <formula>""</formula>
    </cfRule>
  </conditionalFormatting>
  <conditionalFormatting sqref="BS157:BT157 BW157">
    <cfRule type="cellIs" dxfId="488" priority="9" stopIfTrue="1" operator="equal">
      <formula>""</formula>
    </cfRule>
  </conditionalFormatting>
  <conditionalFormatting sqref="BW158:BX158">
    <cfRule type="containsBlanks" dxfId="487" priority="27">
      <formula>LEN(TRIM(BW158))=0</formula>
    </cfRule>
  </conditionalFormatting>
  <conditionalFormatting sqref="H157">
    <cfRule type="cellIs" dxfId="486" priority="7" stopIfTrue="1" operator="equal">
      <formula>""</formula>
    </cfRule>
  </conditionalFormatting>
  <conditionalFormatting sqref="A164:C166">
    <cfRule type="cellIs" dxfId="485" priority="6" stopIfTrue="1" operator="equal">
      <formula>""</formula>
    </cfRule>
  </conditionalFormatting>
  <conditionalFormatting sqref="AE208 AO208 AU208 BA208 BE208 BK208 A221:C223 A228:C229 A237:C239 A231:C233 A244:C245 AK208">
    <cfRule type="cellIs" dxfId="484" priority="5" stopIfTrue="1" operator="equal">
      <formula>""</formula>
    </cfRule>
  </conditionalFormatting>
  <conditionalFormatting sqref="BS208:BT208 BW208">
    <cfRule type="cellIs" dxfId="483" priority="4" stopIfTrue="1" operator="equal">
      <formula>""</formula>
    </cfRule>
  </conditionalFormatting>
  <conditionalFormatting sqref="BW209:BX209">
    <cfRule type="containsBlanks" dxfId="482" priority="28">
      <formula>LEN(TRIM(BW209))=0</formula>
    </cfRule>
  </conditionalFormatting>
  <conditionalFormatting sqref="H208">
    <cfRule type="cellIs" dxfId="481" priority="2" stopIfTrue="1" operator="equal">
      <formula>""</formula>
    </cfRule>
  </conditionalFormatting>
  <conditionalFormatting sqref="A215:C217">
    <cfRule type="cellIs" dxfId="480" priority="1" stopIfTrue="1" operator="equal">
      <formula>""</formula>
    </cfRule>
  </conditionalFormatting>
  <printOptions horizontalCentered="1" verticalCentered="1"/>
  <pageMargins left="0.39370078740157483" right="0.39370078740157483" top="0.39370078740157483" bottom="0.39370078740157483" header="0" footer="0"/>
  <pageSetup paperSize="9" scale="97" orientation="landscape" r:id="rId1"/>
  <headerFooter>
    <oddFooter>&amp;R&amp;D &amp;T</oddFooter>
  </headerFooter>
  <rowBreaks count="4" manualBreakCount="4">
    <brk id="51" max="77" man="1"/>
    <brk id="102" max="16383" man="1"/>
    <brk id="153" max="77" man="1"/>
    <brk id="204" max="7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CC228"/>
  <sheetViews>
    <sheetView showZeros="0" view="pageBreakPreview" topLeftCell="A34" zoomScale="70" zoomScaleNormal="100" zoomScaleSheetLayoutView="70" workbookViewId="0">
      <selection activeCell="A44" sqref="A44:A45"/>
    </sheetView>
  </sheetViews>
  <sheetFormatPr defaultRowHeight="13.5"/>
  <cols>
    <col min="1" max="26" width="4" style="12" customWidth="1"/>
    <col min="27" max="27" width="3.625" style="12" customWidth="1"/>
    <col min="28" max="28" width="5.625" style="12" customWidth="1"/>
    <col min="29" max="29" width="3.625" style="12" customWidth="1"/>
    <col min="30" max="30" width="6.625" style="12" customWidth="1"/>
    <col min="31" max="31" width="3.625" style="12" customWidth="1"/>
    <col min="32" max="33" width="5.625" style="12" customWidth="1"/>
    <col min="34" max="35" width="4.625" style="12" customWidth="1"/>
    <col min="36" max="36" width="5.625" style="12" customWidth="1"/>
    <col min="37" max="39" width="4.625" style="12" customWidth="1"/>
    <col min="40" max="52" width="3.625" style="12" customWidth="1"/>
    <col min="53" max="53" width="10.625" style="12" customWidth="1"/>
    <col min="54" max="54" width="15.875" style="12" customWidth="1"/>
    <col min="55" max="55" width="13.75" style="12" customWidth="1"/>
    <col min="56" max="56" width="28.375" style="12" customWidth="1"/>
    <col min="57" max="57" width="27.125" style="12" customWidth="1"/>
    <col min="58" max="58" width="16.25" style="12" customWidth="1"/>
    <col min="59" max="59" width="16" style="12" customWidth="1"/>
    <col min="60" max="60" width="22" style="12" customWidth="1"/>
    <col min="61" max="61" width="9.75" style="12" customWidth="1"/>
    <col min="62" max="62" width="8.625" style="12" customWidth="1"/>
    <col min="63" max="63" width="6" style="12" customWidth="1"/>
    <col min="64" max="64" width="5.5" style="12" customWidth="1"/>
    <col min="65" max="65" width="7.125" style="12" customWidth="1"/>
    <col min="66" max="66" width="23.625" style="12" customWidth="1"/>
    <col min="67" max="67" width="8.625" style="12" customWidth="1"/>
    <col min="68" max="72" width="9" style="12"/>
    <col min="73" max="73" width="6.125" style="12" customWidth="1"/>
    <col min="74" max="74" width="7.875" style="12" customWidth="1"/>
    <col min="75" max="16384" width="9" style="12"/>
  </cols>
  <sheetData>
    <row r="1" spans="1:80" ht="24" customHeight="1">
      <c r="A1" s="1510" t="s">
        <v>94</v>
      </c>
      <c r="B1" s="1510"/>
      <c r="C1" s="1510"/>
      <c r="D1" s="1510"/>
      <c r="E1" s="1510"/>
      <c r="F1" s="1510"/>
      <c r="G1" s="1510"/>
      <c r="H1" s="1510"/>
      <c r="I1" s="1510"/>
      <c r="J1" s="1510"/>
      <c r="K1" s="1510"/>
      <c r="L1" s="1510"/>
      <c r="M1" s="1510"/>
      <c r="N1" s="1510"/>
      <c r="O1" s="1510"/>
      <c r="P1" s="1510"/>
      <c r="Q1" s="1510"/>
      <c r="R1" s="1510"/>
      <c r="S1" s="1510"/>
      <c r="T1" s="1510"/>
      <c r="U1" s="1510"/>
      <c r="V1" s="1510"/>
      <c r="W1" s="1510"/>
      <c r="X1" s="1510"/>
      <c r="Y1" s="1510"/>
      <c r="Z1" s="1510"/>
      <c r="AA1" s="1510" t="s">
        <v>94</v>
      </c>
      <c r="AB1" s="1510"/>
      <c r="AC1" s="1510"/>
      <c r="AD1" s="1510"/>
      <c r="AE1" s="1510"/>
      <c r="AF1" s="1510"/>
      <c r="AG1" s="1510"/>
      <c r="AH1" s="1510"/>
      <c r="AI1" s="1510"/>
      <c r="AJ1" s="1510"/>
      <c r="AK1" s="1510"/>
      <c r="AL1" s="1510"/>
      <c r="AM1" s="1510"/>
      <c r="AN1" s="1510"/>
      <c r="AO1" s="1510"/>
      <c r="AP1" s="1510"/>
      <c r="AQ1" s="1510"/>
      <c r="AR1" s="1510"/>
      <c r="AS1" s="1510"/>
      <c r="AT1" s="1510"/>
      <c r="AU1" s="1510"/>
      <c r="AV1" s="1510"/>
      <c r="AW1" s="1510"/>
      <c r="AX1" s="1510"/>
      <c r="AY1" s="1510"/>
      <c r="AZ1" s="1510"/>
      <c r="BA1" s="881"/>
      <c r="BB1" s="881"/>
      <c r="BC1" s="882"/>
      <c r="BD1" s="882"/>
      <c r="BE1" s="882"/>
      <c r="BF1" s="882"/>
      <c r="BG1" s="881"/>
      <c r="BH1" s="881"/>
      <c r="BI1" s="881"/>
      <c r="BJ1" s="881"/>
      <c r="BK1" s="881"/>
      <c r="BL1" s="881"/>
      <c r="BM1" s="881"/>
      <c r="BN1" s="881"/>
      <c r="BO1" s="881"/>
      <c r="BP1" s="881"/>
      <c r="BQ1" s="881"/>
      <c r="BR1" s="883"/>
      <c r="BS1" s="883"/>
      <c r="BT1" s="883"/>
      <c r="BU1" s="79"/>
      <c r="BV1" s="79"/>
      <c r="BW1" s="79"/>
      <c r="BX1" s="79"/>
      <c r="BY1" s="79"/>
      <c r="BZ1" s="79"/>
      <c r="CA1" s="79"/>
    </row>
    <row r="2" spans="1:80" ht="13.5" customHeight="1" thickBot="1">
      <c r="A2" s="605" t="b">
        <v>0</v>
      </c>
      <c r="B2" s="605" t="b">
        <v>0</v>
      </c>
      <c r="C2" s="177"/>
      <c r="D2" s="179"/>
      <c r="E2" s="175"/>
      <c r="F2" s="182"/>
      <c r="G2" s="182"/>
      <c r="H2" s="178"/>
      <c r="I2" s="178"/>
      <c r="J2" s="178"/>
      <c r="K2" s="181"/>
      <c r="L2" s="181"/>
      <c r="M2" s="181"/>
      <c r="N2" s="181"/>
      <c r="O2" s="181"/>
      <c r="P2" s="181"/>
      <c r="Q2" s="181"/>
      <c r="R2" s="181"/>
      <c r="S2" s="181"/>
      <c r="T2" s="181"/>
      <c r="U2" s="181"/>
      <c r="V2" s="181"/>
      <c r="W2" s="237" t="s">
        <v>304</v>
      </c>
      <c r="X2" s="591">
        <v>1</v>
      </c>
      <c r="Y2" s="237" t="s">
        <v>305</v>
      </c>
      <c r="Z2" s="591">
        <v>1</v>
      </c>
      <c r="AA2" s="241" t="b">
        <v>0</v>
      </c>
      <c r="AB2" s="241" t="b">
        <v>0</v>
      </c>
      <c r="AC2" s="177"/>
      <c r="AD2" s="179"/>
      <c r="AE2" s="175"/>
      <c r="AF2" s="182"/>
      <c r="AG2" s="182"/>
      <c r="AH2" s="178"/>
      <c r="AI2" s="178"/>
      <c r="AJ2" s="178"/>
      <c r="AK2" s="223"/>
      <c r="AL2" s="223"/>
      <c r="AM2" s="223"/>
      <c r="AN2" s="223"/>
      <c r="AO2" s="223"/>
      <c r="AP2" s="223"/>
      <c r="AQ2" s="223"/>
      <c r="AR2" s="223"/>
      <c r="AS2" s="223"/>
      <c r="AT2" s="223"/>
      <c r="AU2" s="223"/>
      <c r="AV2" s="223"/>
      <c r="AW2" s="237" t="s">
        <v>85</v>
      </c>
      <c r="AX2" s="591">
        <v>1</v>
      </c>
      <c r="AY2" s="237" t="s">
        <v>125</v>
      </c>
      <c r="AZ2" s="591">
        <v>1</v>
      </c>
      <c r="BA2" s="881"/>
      <c r="BB2" s="881"/>
      <c r="BC2" s="882"/>
      <c r="BD2" s="881"/>
      <c r="BE2" s="881"/>
      <c r="BF2" s="882"/>
      <c r="BG2" s="881"/>
      <c r="BH2" s="881"/>
      <c r="BI2" s="881"/>
      <c r="BJ2" s="881"/>
      <c r="BK2" s="881"/>
      <c r="BL2" s="881"/>
      <c r="BM2" s="881"/>
      <c r="BN2" s="881"/>
      <c r="BO2" s="881"/>
      <c r="BP2" s="881"/>
      <c r="BQ2" s="881"/>
      <c r="BR2" s="883"/>
      <c r="BS2" s="883"/>
      <c r="BT2" s="883"/>
      <c r="BU2" s="797"/>
      <c r="BV2" s="797"/>
      <c r="BW2" s="797"/>
      <c r="BX2" s="797"/>
      <c r="BY2" s="797"/>
      <c r="BZ2" s="797"/>
      <c r="CA2" s="797"/>
      <c r="CB2" s="798"/>
    </row>
    <row r="3" spans="1:80" ht="13.5" customHeight="1">
      <c r="A3" s="1624" t="s">
        <v>95</v>
      </c>
      <c r="B3" s="1624"/>
      <c r="C3" s="1624"/>
      <c r="D3" s="1624"/>
      <c r="E3" s="1624"/>
      <c r="F3" s="1624"/>
      <c r="G3" s="1624"/>
      <c r="H3" s="1624"/>
      <c r="I3" s="1624"/>
      <c r="J3" s="1624"/>
      <c r="K3" s="1624"/>
      <c r="L3" s="1624"/>
      <c r="M3" s="1624"/>
      <c r="N3" s="1624"/>
      <c r="O3" s="1624"/>
      <c r="P3" s="1624"/>
      <c r="Q3" s="1624"/>
      <c r="R3" s="1624"/>
      <c r="S3" s="1624"/>
      <c r="T3" s="1624"/>
      <c r="U3" s="1624"/>
      <c r="V3" s="1624"/>
      <c r="W3" s="183"/>
      <c r="X3" s="173"/>
      <c r="Y3" s="173"/>
      <c r="Z3" s="173"/>
      <c r="AA3" s="1624" t="s">
        <v>95</v>
      </c>
      <c r="AB3" s="1624"/>
      <c r="AC3" s="1624"/>
      <c r="AD3" s="1624"/>
      <c r="AE3" s="1624"/>
      <c r="AF3" s="1624"/>
      <c r="AG3" s="1624"/>
      <c r="AH3" s="1624"/>
      <c r="AI3" s="1624"/>
      <c r="AJ3" s="1624"/>
      <c r="AK3" s="1624"/>
      <c r="AL3" s="1624"/>
      <c r="AM3" s="1624"/>
      <c r="AN3" s="1624"/>
      <c r="AO3" s="1624"/>
      <c r="AP3" s="1624"/>
      <c r="AQ3" s="1624"/>
      <c r="AR3" s="1624"/>
      <c r="AS3" s="1624"/>
      <c r="AT3" s="1624"/>
      <c r="AU3" s="1624"/>
      <c r="AV3" s="1624"/>
      <c r="AW3" s="183"/>
      <c r="AX3" s="173"/>
      <c r="AY3" s="173"/>
      <c r="AZ3" s="173"/>
      <c r="BA3" s="881"/>
      <c r="BB3" s="881"/>
      <c r="BC3" s="882"/>
      <c r="BD3" s="881"/>
      <c r="BE3" s="881"/>
      <c r="BF3" s="882"/>
      <c r="BG3" s="881"/>
      <c r="BH3" s="881"/>
      <c r="BI3" s="881"/>
      <c r="BJ3" s="881"/>
      <c r="BK3" s="881"/>
      <c r="BL3" s="881"/>
      <c r="BM3" s="881"/>
      <c r="BN3" s="881"/>
      <c r="BO3" s="881"/>
      <c r="BP3" s="881"/>
      <c r="BQ3" s="881"/>
      <c r="BR3" s="883"/>
      <c r="BS3" s="883"/>
      <c r="BT3" s="883"/>
      <c r="BU3" s="797"/>
      <c r="BV3" s="797"/>
      <c r="BW3" s="797"/>
      <c r="BX3" s="797"/>
      <c r="BY3" s="797"/>
      <c r="BZ3" s="797"/>
      <c r="CA3" s="797"/>
      <c r="CB3" s="798"/>
    </row>
    <row r="4" spans="1:80" ht="19.5" customHeight="1" thickBot="1">
      <c r="A4" s="184"/>
      <c r="B4" s="604" t="s">
        <v>2939</v>
      </c>
      <c r="C4" s="239" t="s">
        <v>2937</v>
      </c>
      <c r="D4" s="240"/>
      <c r="E4" s="234" t="s">
        <v>15</v>
      </c>
      <c r="F4" s="240"/>
      <c r="G4" s="234" t="s">
        <v>14</v>
      </c>
      <c r="H4" s="219" t="s">
        <v>306</v>
      </c>
      <c r="I4" s="185"/>
      <c r="J4" s="604" t="s">
        <v>2938</v>
      </c>
      <c r="K4" s="239" t="s">
        <v>2937</v>
      </c>
      <c r="L4" s="242"/>
      <c r="M4" s="235" t="s">
        <v>15</v>
      </c>
      <c r="N4" s="243"/>
      <c r="O4" s="235" t="s">
        <v>14</v>
      </c>
      <c r="P4" s="242"/>
      <c r="Q4" s="235" t="s">
        <v>34</v>
      </c>
      <c r="R4" s="244"/>
      <c r="S4" s="235" t="s">
        <v>96</v>
      </c>
      <c r="T4" s="186" t="s">
        <v>307</v>
      </c>
      <c r="U4" s="169"/>
      <c r="V4" s="1625" t="s">
        <v>97</v>
      </c>
      <c r="W4" s="1639"/>
      <c r="X4" s="1627" t="s">
        <v>125</v>
      </c>
      <c r="Y4" s="1635"/>
      <c r="Z4" s="1637"/>
      <c r="AA4" s="184"/>
      <c r="AB4" s="595" t="s">
        <v>2939</v>
      </c>
      <c r="AC4" s="239" t="s">
        <v>2937</v>
      </c>
      <c r="AD4" s="240">
        <v>9</v>
      </c>
      <c r="AE4" s="234" t="s">
        <v>15</v>
      </c>
      <c r="AF4" s="240">
        <v>1</v>
      </c>
      <c r="AG4" s="234" t="s">
        <v>14</v>
      </c>
      <c r="AH4" s="219" t="s">
        <v>37</v>
      </c>
      <c r="AI4" s="185"/>
      <c r="AJ4" s="594" t="s">
        <v>2938</v>
      </c>
      <c r="AK4" s="239" t="s">
        <v>2937</v>
      </c>
      <c r="AL4" s="242">
        <v>9</v>
      </c>
      <c r="AM4" s="235" t="s">
        <v>15</v>
      </c>
      <c r="AN4" s="243">
        <v>15</v>
      </c>
      <c r="AO4" s="235" t="s">
        <v>14</v>
      </c>
      <c r="AP4" s="242">
        <v>15</v>
      </c>
      <c r="AQ4" s="235" t="s">
        <v>34</v>
      </c>
      <c r="AR4" s="244">
        <v>30</v>
      </c>
      <c r="AS4" s="235" t="s">
        <v>96</v>
      </c>
      <c r="AT4" s="186" t="s">
        <v>37</v>
      </c>
      <c r="AU4" s="169"/>
      <c r="AV4" s="1625" t="s">
        <v>97</v>
      </c>
      <c r="AW4" s="1631"/>
      <c r="AX4" s="1632"/>
      <c r="AY4" s="1627" t="s">
        <v>125</v>
      </c>
      <c r="AZ4" s="1629"/>
      <c r="BA4" s="881"/>
      <c r="BB4" s="881"/>
      <c r="BC4" s="882"/>
      <c r="BD4" s="881"/>
      <c r="BE4" s="881"/>
      <c r="BF4" s="882"/>
      <c r="BG4" s="881"/>
      <c r="BH4" s="881"/>
      <c r="BI4" s="881"/>
      <c r="BJ4" s="881"/>
      <c r="BK4" s="881"/>
      <c r="BL4" s="881"/>
      <c r="BM4" s="881"/>
      <c r="BN4" s="881"/>
      <c r="BO4" s="881"/>
      <c r="BP4" s="881"/>
      <c r="BQ4" s="881"/>
      <c r="BR4" s="883"/>
      <c r="BS4" s="883"/>
      <c r="BT4" s="883"/>
      <c r="BU4" s="797"/>
      <c r="BV4" s="797"/>
      <c r="BW4" s="797"/>
      <c r="BX4" s="797"/>
      <c r="BY4" s="797"/>
      <c r="BZ4" s="797"/>
      <c r="CA4" s="797"/>
      <c r="CB4" s="798"/>
    </row>
    <row r="5" spans="1:80" ht="8.1" customHeight="1">
      <c r="A5" s="173"/>
      <c r="B5" s="173"/>
      <c r="C5" s="173"/>
      <c r="D5" s="173"/>
      <c r="E5" s="747"/>
      <c r="F5" s="748" t="str">
        <f>H7</f>
        <v/>
      </c>
      <c r="G5" s="630" t="str">
        <f>H7</f>
        <v/>
      </c>
      <c r="H5" s="630" t="str">
        <f>P7</f>
        <v/>
      </c>
      <c r="I5" s="188"/>
      <c r="J5" s="174"/>
      <c r="K5" s="189"/>
      <c r="L5" s="173"/>
      <c r="M5" s="173"/>
      <c r="N5" s="173"/>
      <c r="O5" s="190"/>
      <c r="P5" s="187"/>
      <c r="Q5" s="187"/>
      <c r="R5" s="189"/>
      <c r="S5" s="174"/>
      <c r="T5" s="189"/>
      <c r="U5" s="170"/>
      <c r="V5" s="1626"/>
      <c r="W5" s="1640"/>
      <c r="X5" s="1628"/>
      <c r="Y5" s="1636"/>
      <c r="Z5" s="1638"/>
      <c r="AA5" s="173"/>
      <c r="AB5" s="173"/>
      <c r="AC5" s="173"/>
      <c r="AD5" s="173"/>
      <c r="AE5" s="173"/>
      <c r="AF5" s="173"/>
      <c r="AG5" s="187"/>
      <c r="AH5" s="187"/>
      <c r="AI5" s="188"/>
      <c r="AJ5" s="217"/>
      <c r="AK5" s="189"/>
      <c r="AL5" s="173"/>
      <c r="AM5" s="173"/>
      <c r="AN5" s="173"/>
      <c r="AO5" s="218"/>
      <c r="AP5" s="187"/>
      <c r="AQ5" s="187"/>
      <c r="AR5" s="189"/>
      <c r="AS5" s="217"/>
      <c r="AT5" s="189"/>
      <c r="AU5" s="170"/>
      <c r="AV5" s="1626"/>
      <c r="AW5" s="1633"/>
      <c r="AX5" s="1634"/>
      <c r="AY5" s="1628"/>
      <c r="AZ5" s="1630"/>
      <c r="BA5" s="881"/>
      <c r="BB5" s="881"/>
      <c r="BC5" s="882"/>
      <c r="BD5" s="881"/>
      <c r="BE5" s="881"/>
      <c r="BF5" s="882"/>
      <c r="BG5" s="881"/>
      <c r="BH5" s="881"/>
      <c r="BI5" s="881"/>
      <c r="BJ5" s="881"/>
      <c r="BK5" s="881"/>
      <c r="BL5" s="881"/>
      <c r="BM5" s="881"/>
      <c r="BN5" s="881"/>
      <c r="BO5" s="881"/>
      <c r="BP5" s="881"/>
      <c r="BQ5" s="881"/>
      <c r="BR5" s="883"/>
      <c r="BS5" s="883"/>
      <c r="BT5" s="883"/>
      <c r="BU5" s="797"/>
      <c r="BV5" s="797"/>
      <c r="BW5" s="797"/>
      <c r="BX5" s="797"/>
      <c r="BY5" s="797"/>
      <c r="BZ5" s="797"/>
      <c r="CA5" s="797"/>
      <c r="CB5" s="798"/>
    </row>
    <row r="6" spans="1:80" ht="27" customHeight="1" thickBot="1">
      <c r="A6" s="1659" t="s">
        <v>84</v>
      </c>
      <c r="B6" s="1659"/>
      <c r="C6" s="1659"/>
      <c r="D6" s="1646" t="str">
        <f>CONCATENATE('01 使用承認申請書'!D4)</f>
        <v/>
      </c>
      <c r="E6" s="1646"/>
      <c r="F6" s="1646"/>
      <c r="G6" s="1646"/>
      <c r="H6" s="1646"/>
      <c r="I6" s="1646"/>
      <c r="J6" s="1646"/>
      <c r="K6" s="1646"/>
      <c r="L6" s="1646"/>
      <c r="M6" s="1646"/>
      <c r="N6" s="1646"/>
      <c r="O6" s="1646"/>
      <c r="P6" s="1646"/>
      <c r="Q6" s="1646"/>
      <c r="R6" s="1646"/>
      <c r="S6" s="1646"/>
      <c r="T6" s="1646"/>
      <c r="U6" s="175"/>
      <c r="V6" s="175"/>
      <c r="W6" s="175"/>
      <c r="X6" s="175"/>
      <c r="Y6" s="175"/>
      <c r="Z6" s="175"/>
      <c r="AA6" s="1659" t="s">
        <v>84</v>
      </c>
      <c r="AB6" s="1659"/>
      <c r="AC6" s="1659"/>
      <c r="AD6" s="1646" t="str">
        <f>CONCATENATE('01 使用承認申請書'!AD4)</f>
        <v>札幌市立青少年山の家小学校</v>
      </c>
      <c r="AE6" s="1646"/>
      <c r="AF6" s="1646"/>
      <c r="AG6" s="1646"/>
      <c r="AH6" s="1646"/>
      <c r="AI6" s="1646"/>
      <c r="AJ6" s="1646"/>
      <c r="AK6" s="1646"/>
      <c r="AL6" s="1646"/>
      <c r="AM6" s="1646"/>
      <c r="AN6" s="1646"/>
      <c r="AO6" s="1646"/>
      <c r="AP6" s="1646"/>
      <c r="AQ6" s="1646"/>
      <c r="AR6" s="1646"/>
      <c r="AS6" s="1646"/>
      <c r="AT6" s="1646"/>
      <c r="AU6" s="175"/>
      <c r="AV6" s="175"/>
      <c r="AW6" s="175"/>
      <c r="AX6" s="175"/>
      <c r="AY6" s="175"/>
      <c r="AZ6" s="175"/>
      <c r="BA6" s="881"/>
      <c r="BB6" s="881"/>
      <c r="BC6" s="882"/>
      <c r="BD6" s="881"/>
      <c r="BE6" s="881"/>
      <c r="BF6" s="882"/>
      <c r="BG6" s="881"/>
      <c r="BH6" s="881"/>
      <c r="BI6" s="881"/>
      <c r="BJ6" s="881"/>
      <c r="BK6" s="881"/>
      <c r="BL6" s="881"/>
      <c r="BM6" s="881"/>
      <c r="BN6" s="881"/>
      <c r="BO6" s="881"/>
      <c r="BP6" s="881"/>
      <c r="BQ6" s="881"/>
      <c r="BR6" s="883"/>
      <c r="BS6" s="883"/>
      <c r="BT6" s="883"/>
      <c r="BU6" s="797"/>
      <c r="BV6" s="797"/>
      <c r="BW6" s="797"/>
      <c r="BX6" s="797"/>
      <c r="BY6" s="797"/>
      <c r="BZ6" s="797"/>
      <c r="CA6" s="797"/>
      <c r="CB6" s="798"/>
    </row>
    <row r="7" spans="1:80" ht="13.5" customHeight="1">
      <c r="A7" s="1660" t="s">
        <v>82</v>
      </c>
      <c r="B7" s="1660"/>
      <c r="C7" s="1660"/>
      <c r="D7" s="1643" t="str">
        <f>CONCATENATE('01 使用承認申請書'!B12)</f>
        <v/>
      </c>
      <c r="E7" s="1645" t="s">
        <v>16</v>
      </c>
      <c r="F7" s="1650" t="str">
        <f>CONCATENATE('01 使用承認申請書'!C14)</f>
        <v/>
      </c>
      <c r="G7" s="1641" t="s">
        <v>15</v>
      </c>
      <c r="H7" s="1648" t="str">
        <f>CONCATENATE('01 使用承認申請書'!F14)</f>
        <v/>
      </c>
      <c r="I7" s="1645" t="s">
        <v>14</v>
      </c>
      <c r="J7" s="1645" t="s">
        <v>303</v>
      </c>
      <c r="K7" s="1648" t="str">
        <f>CONCATENATE('01 使用承認申請書'!J14)</f>
        <v/>
      </c>
      <c r="L7" s="1645" t="s">
        <v>308</v>
      </c>
      <c r="M7" s="1645" t="s">
        <v>309</v>
      </c>
      <c r="N7" s="1648" t="str">
        <f>CONCATENATE('01 使用承認申請書'!C16)</f>
        <v/>
      </c>
      <c r="O7" s="1645" t="s">
        <v>15</v>
      </c>
      <c r="P7" s="1648" t="str">
        <f>CONCATENATE('01 使用承認申請書'!F16)</f>
        <v/>
      </c>
      <c r="Q7" s="1645" t="s">
        <v>14</v>
      </c>
      <c r="R7" s="1645" t="s">
        <v>310</v>
      </c>
      <c r="S7" s="1648" t="str">
        <f>CONCATENATE('01 使用承認申請書'!J16)</f>
        <v/>
      </c>
      <c r="T7" s="1645" t="s">
        <v>308</v>
      </c>
      <c r="U7" s="238"/>
      <c r="V7" s="286"/>
      <c r="W7" s="592" t="str">
        <f>CONCATENATE('01 使用承認申請書'!L13)</f>
        <v/>
      </c>
      <c r="X7" s="238" t="s">
        <v>46</v>
      </c>
      <c r="Y7" s="592" t="str">
        <f>CONCATENATE('01 使用承認申請書'!Q13)</f>
        <v/>
      </c>
      <c r="Z7" s="238" t="s">
        <v>14</v>
      </c>
      <c r="AA7" s="1660" t="s">
        <v>82</v>
      </c>
      <c r="AB7" s="1660"/>
      <c r="AC7" s="1660"/>
      <c r="AD7" s="1643" t="str">
        <f>CONCATENATE('01 使用承認申請書'!AB12)</f>
        <v>令和４</v>
      </c>
      <c r="AE7" s="1645" t="s">
        <v>16</v>
      </c>
      <c r="AF7" s="1650" t="str">
        <f>CONCATENATE('01 使用承認申請書'!AC14)</f>
        <v>10</v>
      </c>
      <c r="AG7" s="1641" t="s">
        <v>15</v>
      </c>
      <c r="AH7" s="1648" t="str">
        <f>CONCATENATE('01 使用承認申請書'!AF14)</f>
        <v>12</v>
      </c>
      <c r="AI7" s="1645" t="s">
        <v>14</v>
      </c>
      <c r="AJ7" s="1645" t="s">
        <v>38</v>
      </c>
      <c r="AK7" s="1648" t="str">
        <f>CONCATENATE('01 使用承認申請書'!AJ14)</f>
        <v>月</v>
      </c>
      <c r="AL7" s="1645" t="s">
        <v>37</v>
      </c>
      <c r="AM7" s="1645" t="s">
        <v>35</v>
      </c>
      <c r="AN7" s="1648" t="str">
        <f>CONCATENATE('01 使用承認申請書'!AC16)</f>
        <v>10</v>
      </c>
      <c r="AO7" s="1645" t="s">
        <v>15</v>
      </c>
      <c r="AP7" s="1648" t="str">
        <f>CONCATENATE('01 使用承認申請書'!AF16)</f>
        <v>13</v>
      </c>
      <c r="AQ7" s="1645" t="s">
        <v>14</v>
      </c>
      <c r="AR7" s="1645" t="s">
        <v>38</v>
      </c>
      <c r="AS7" s="1648" t="str">
        <f>CONCATENATE('01 使用承認申請書'!AJ16)</f>
        <v>火</v>
      </c>
      <c r="AT7" s="1645" t="s">
        <v>37</v>
      </c>
      <c r="AU7" s="173"/>
      <c r="AV7" s="217"/>
      <c r="AW7" s="592" t="str">
        <f>CONCATENATE('01 使用承認申請書'!AL13)</f>
        <v>1</v>
      </c>
      <c r="AX7" s="238" t="s">
        <v>46</v>
      </c>
      <c r="AY7" s="592" t="str">
        <f>CONCATENATE('01 使用承認申請書'!AQ13)</f>
        <v>2</v>
      </c>
      <c r="AZ7" s="238" t="s">
        <v>14</v>
      </c>
      <c r="BA7" s="881"/>
      <c r="BB7" s="881"/>
      <c r="BC7" s="882"/>
      <c r="BD7" s="881"/>
      <c r="BE7" s="881"/>
      <c r="BF7" s="882"/>
      <c r="BG7" s="881"/>
      <c r="BH7" s="881"/>
      <c r="BI7" s="881"/>
      <c r="BJ7" s="881"/>
      <c r="BK7" s="881"/>
      <c r="BL7" s="881"/>
      <c r="BM7" s="881"/>
      <c r="BN7" s="881"/>
      <c r="BO7" s="881"/>
      <c r="BP7" s="881"/>
      <c r="BQ7" s="881"/>
      <c r="BR7" s="883"/>
      <c r="BS7" s="883"/>
      <c r="BT7" s="883"/>
      <c r="BU7" s="797"/>
      <c r="BV7" s="797"/>
      <c r="BW7" s="797"/>
      <c r="BX7" s="797"/>
      <c r="BY7" s="797"/>
      <c r="BZ7" s="797"/>
      <c r="CA7" s="797"/>
      <c r="CB7" s="798"/>
    </row>
    <row r="8" spans="1:80" ht="13.5" customHeight="1" thickBot="1">
      <c r="A8" s="1659"/>
      <c r="B8" s="1659"/>
      <c r="C8" s="1659"/>
      <c r="D8" s="1644"/>
      <c r="E8" s="1642"/>
      <c r="F8" s="1649"/>
      <c r="G8" s="1642"/>
      <c r="H8" s="1649"/>
      <c r="I8" s="1642"/>
      <c r="J8" s="1642"/>
      <c r="K8" s="1649"/>
      <c r="L8" s="1642"/>
      <c r="M8" s="1642"/>
      <c r="N8" s="1649"/>
      <c r="O8" s="1642"/>
      <c r="P8" s="1649"/>
      <c r="Q8" s="1642"/>
      <c r="R8" s="1642"/>
      <c r="S8" s="1649"/>
      <c r="T8" s="1642"/>
      <c r="U8" s="239"/>
      <c r="V8" s="237"/>
      <c r="W8" s="1651" t="s">
        <v>47</v>
      </c>
      <c r="X8" s="1651"/>
      <c r="Y8" s="593" t="str">
        <f>CONCATENATE('01 使用承認申請書'!V13)</f>
        <v/>
      </c>
      <c r="Z8" s="239" t="s">
        <v>99</v>
      </c>
      <c r="AA8" s="1659"/>
      <c r="AB8" s="1659"/>
      <c r="AC8" s="1659"/>
      <c r="AD8" s="1644"/>
      <c r="AE8" s="1642"/>
      <c r="AF8" s="1649"/>
      <c r="AG8" s="1642"/>
      <c r="AH8" s="1649"/>
      <c r="AI8" s="1642"/>
      <c r="AJ8" s="1642"/>
      <c r="AK8" s="1649"/>
      <c r="AL8" s="1642"/>
      <c r="AM8" s="1642"/>
      <c r="AN8" s="1649"/>
      <c r="AO8" s="1642"/>
      <c r="AP8" s="1649"/>
      <c r="AQ8" s="1642"/>
      <c r="AR8" s="1642"/>
      <c r="AS8" s="1649"/>
      <c r="AT8" s="1642"/>
      <c r="AU8" s="184"/>
      <c r="AV8" s="220"/>
      <c r="AW8" s="1651" t="s">
        <v>47</v>
      </c>
      <c r="AX8" s="1651"/>
      <c r="AY8" s="180" t="str">
        <f>CONCATENATE('01 使用承認申請書'!AV13)</f>
        <v/>
      </c>
      <c r="AZ8" s="239" t="s">
        <v>14</v>
      </c>
      <c r="BA8" s="881"/>
      <c r="BB8" s="881"/>
      <c r="BC8" s="882"/>
      <c r="BD8" s="881"/>
      <c r="BE8" s="881"/>
      <c r="BF8" s="882"/>
      <c r="BG8" s="881"/>
      <c r="BH8" s="881"/>
      <c r="BI8" s="881"/>
      <c r="BJ8" s="881"/>
      <c r="BK8" s="881"/>
      <c r="BL8" s="881"/>
      <c r="BM8" s="881"/>
      <c r="BN8" s="881"/>
      <c r="BO8" s="881"/>
      <c r="BP8" s="881"/>
      <c r="BQ8" s="881"/>
      <c r="BR8" s="883"/>
      <c r="BS8" s="883"/>
      <c r="BT8" s="883"/>
      <c r="BU8" s="797"/>
      <c r="BV8" s="797"/>
      <c r="BW8" s="797"/>
      <c r="BX8" s="797"/>
      <c r="BY8" s="797"/>
      <c r="BZ8" s="797"/>
      <c r="CA8" s="797"/>
      <c r="CB8" s="798"/>
    </row>
    <row r="9" spans="1:80" ht="8.1" customHeight="1">
      <c r="A9" s="1652"/>
      <c r="B9" s="1652"/>
      <c r="C9" s="1652"/>
      <c r="D9" s="1652"/>
      <c r="E9" s="1652"/>
      <c r="F9" s="1652"/>
      <c r="G9" s="1652"/>
      <c r="H9" s="1652"/>
      <c r="I9" s="1652"/>
      <c r="J9" s="1652"/>
      <c r="K9" s="1652"/>
      <c r="L9" s="1652"/>
      <c r="M9" s="1652"/>
      <c r="N9" s="1652"/>
      <c r="O9" s="1652"/>
      <c r="P9" s="1652"/>
      <c r="Q9" s="1652"/>
      <c r="R9" s="1652"/>
      <c r="S9" s="1652"/>
      <c r="T9" s="1652"/>
      <c r="U9" s="1652"/>
      <c r="V9" s="1652"/>
      <c r="W9" s="1652"/>
      <c r="X9" s="1652"/>
      <c r="Y9" s="1652"/>
      <c r="Z9" s="1652"/>
      <c r="AA9" s="1652"/>
      <c r="AB9" s="1652"/>
      <c r="AC9" s="1652"/>
      <c r="AD9" s="1652"/>
      <c r="AE9" s="1652"/>
      <c r="AF9" s="1652"/>
      <c r="AG9" s="1652"/>
      <c r="AH9" s="1652"/>
      <c r="AI9" s="1652"/>
      <c r="AJ9" s="1652"/>
      <c r="AK9" s="1652"/>
      <c r="AL9" s="1652"/>
      <c r="AM9" s="1652"/>
      <c r="AN9" s="1652"/>
      <c r="AO9" s="1652"/>
      <c r="AP9" s="1652"/>
      <c r="AQ9" s="1652"/>
      <c r="AR9" s="1652"/>
      <c r="AS9" s="1652"/>
      <c r="AT9" s="1652"/>
      <c r="AU9" s="1652"/>
      <c r="AV9" s="1652"/>
      <c r="AW9" s="1652"/>
      <c r="AX9" s="1652"/>
      <c r="AY9" s="1652"/>
      <c r="AZ9" s="1652"/>
      <c r="BA9" s="881"/>
      <c r="BB9" s="881"/>
      <c r="BC9" s="882"/>
      <c r="BD9" s="881"/>
      <c r="BE9" s="881"/>
      <c r="BF9" s="882"/>
      <c r="BG9" s="881"/>
      <c r="BH9" s="881"/>
      <c r="BI9" s="881"/>
      <c r="BJ9" s="881"/>
      <c r="BK9" s="881"/>
      <c r="BL9" s="881"/>
      <c r="BM9" s="881"/>
      <c r="BN9" s="881"/>
      <c r="BO9" s="881"/>
      <c r="BP9" s="881"/>
      <c r="BQ9" s="881"/>
      <c r="BR9" s="883"/>
      <c r="BS9" s="883"/>
      <c r="BT9" s="883"/>
      <c r="BU9" s="797"/>
      <c r="BV9" s="797"/>
      <c r="BW9" s="797"/>
      <c r="BX9" s="797"/>
      <c r="BY9" s="797"/>
      <c r="BZ9" s="797"/>
      <c r="CA9" s="797"/>
      <c r="CB9" s="798"/>
    </row>
    <row r="10" spans="1:80" ht="16.5" customHeight="1" thickBot="1">
      <c r="A10" s="1647" t="s">
        <v>2934</v>
      </c>
      <c r="B10" s="1647"/>
      <c r="C10" s="1647"/>
      <c r="D10" s="1647"/>
      <c r="E10" s="1647"/>
      <c r="F10" s="1647"/>
      <c r="G10" s="1647"/>
      <c r="H10" s="1647"/>
      <c r="I10" s="1647"/>
      <c r="J10" s="1647"/>
      <c r="K10" s="1647"/>
      <c r="L10" s="1647"/>
      <c r="M10" s="1647"/>
      <c r="N10" s="1647"/>
      <c r="O10" s="1647"/>
      <c r="P10" s="1647"/>
      <c r="Q10" s="1647"/>
      <c r="R10" s="1647"/>
      <c r="S10" s="1647"/>
      <c r="T10" s="1647"/>
      <c r="U10" s="1647"/>
      <c r="V10" s="1647"/>
      <c r="W10" s="1647"/>
      <c r="X10" s="1647"/>
      <c r="Y10" s="1647"/>
      <c r="Z10" s="1647"/>
      <c r="AA10" s="1647" t="s">
        <v>2934</v>
      </c>
      <c r="AB10" s="1647"/>
      <c r="AC10" s="1647"/>
      <c r="AD10" s="1647"/>
      <c r="AE10" s="1647"/>
      <c r="AF10" s="1647"/>
      <c r="AG10" s="1647"/>
      <c r="AH10" s="1647"/>
      <c r="AI10" s="1647"/>
      <c r="AJ10" s="1647"/>
      <c r="AK10" s="1647"/>
      <c r="AL10" s="1647"/>
      <c r="AM10" s="1647"/>
      <c r="AN10" s="1647"/>
      <c r="AO10" s="1647"/>
      <c r="AP10" s="1647"/>
      <c r="AQ10" s="1647"/>
      <c r="AR10" s="1647"/>
      <c r="AS10" s="1647"/>
      <c r="AT10" s="1647"/>
      <c r="AU10" s="1647"/>
      <c r="AV10" s="1647"/>
      <c r="AW10" s="1647"/>
      <c r="AX10" s="1647"/>
      <c r="AY10" s="1647"/>
      <c r="AZ10" s="1647"/>
      <c r="BA10" s="881"/>
      <c r="BB10" s="881"/>
      <c r="BC10" s="882"/>
      <c r="BD10" s="881"/>
      <c r="BE10" s="881"/>
      <c r="BF10" s="882"/>
      <c r="BG10" s="881"/>
      <c r="BH10" s="881"/>
      <c r="BI10" s="881"/>
      <c r="BJ10" s="881"/>
      <c r="BK10" s="881"/>
      <c r="BL10" s="881"/>
      <c r="BM10" s="881"/>
      <c r="BN10" s="881"/>
      <c r="BO10" s="881"/>
      <c r="BP10" s="881"/>
      <c r="BQ10" s="881"/>
      <c r="BR10" s="883"/>
      <c r="BS10" s="883"/>
      <c r="BT10" s="883"/>
      <c r="BU10" s="797"/>
      <c r="BV10" s="797"/>
      <c r="BW10" s="797"/>
      <c r="BX10" s="797"/>
      <c r="BY10" s="797"/>
      <c r="BZ10" s="797"/>
      <c r="CA10" s="797"/>
      <c r="CB10" s="798"/>
    </row>
    <row r="11" spans="1:80" ht="13.5" customHeight="1">
      <c r="A11" s="1541" t="s">
        <v>1899</v>
      </c>
      <c r="B11" s="1542"/>
      <c r="C11" s="245" t="s">
        <v>300</v>
      </c>
      <c r="D11" s="1597" t="s">
        <v>100</v>
      </c>
      <c r="E11" s="1597"/>
      <c r="F11" s="1597"/>
      <c r="G11" s="1597"/>
      <c r="H11" s="1597"/>
      <c r="I11" s="1597"/>
      <c r="J11" s="603" t="s">
        <v>300</v>
      </c>
      <c r="K11" s="1664" t="str">
        <f>IF(A52=TRUE,IF(A53=TRUE,"!再度確認!","提出してください"),IF(A53=FALSE,"!再度確認!","必要ありません"))</f>
        <v>!再度確認!</v>
      </c>
      <c r="L11" s="1665"/>
      <c r="M11" s="1665"/>
      <c r="N11" s="1665"/>
      <c r="O11" s="1559" t="s">
        <v>302</v>
      </c>
      <c r="P11" s="1560"/>
      <c r="Q11" s="1560"/>
      <c r="R11" s="1560"/>
      <c r="S11" s="1560"/>
      <c r="T11" s="1560"/>
      <c r="U11" s="1560"/>
      <c r="V11" s="1560"/>
      <c r="W11" s="1560"/>
      <c r="X11" s="1560"/>
      <c r="Y11" s="1560"/>
      <c r="Z11" s="1561"/>
      <c r="AA11" s="1555" t="s">
        <v>1899</v>
      </c>
      <c r="AB11" s="1556"/>
      <c r="AC11" s="222" t="s">
        <v>299</v>
      </c>
      <c r="AD11" s="1662" t="s">
        <v>100</v>
      </c>
      <c r="AE11" s="1662"/>
      <c r="AF11" s="1662"/>
      <c r="AG11" s="1662"/>
      <c r="AH11" s="1662"/>
      <c r="AI11" s="1662"/>
      <c r="AJ11" s="172" t="s">
        <v>299</v>
      </c>
      <c r="AK11" s="1557" t="s">
        <v>2970</v>
      </c>
      <c r="AL11" s="1558"/>
      <c r="AM11" s="1558"/>
      <c r="AN11" s="1558"/>
      <c r="AO11" s="1559" t="s">
        <v>302</v>
      </c>
      <c r="AP11" s="1560"/>
      <c r="AQ11" s="1560"/>
      <c r="AR11" s="1560"/>
      <c r="AS11" s="1560"/>
      <c r="AT11" s="1560"/>
      <c r="AU11" s="1560"/>
      <c r="AV11" s="1560"/>
      <c r="AW11" s="1560"/>
      <c r="AX11" s="1560"/>
      <c r="AY11" s="1560"/>
      <c r="AZ11" s="1561"/>
      <c r="BA11" s="881"/>
      <c r="BB11" s="881"/>
      <c r="BC11" s="882"/>
      <c r="BD11" s="881"/>
      <c r="BE11" s="881"/>
      <c r="BF11" s="882"/>
      <c r="BG11" s="881"/>
      <c r="BH11" s="881"/>
      <c r="BI11" s="881"/>
      <c r="BJ11" s="881"/>
      <c r="BK11" s="881"/>
      <c r="BL11" s="881"/>
      <c r="BM11" s="881"/>
      <c r="BN11" s="881"/>
      <c r="BO11" s="881"/>
      <c r="BP11" s="881"/>
      <c r="BQ11" s="881"/>
      <c r="BR11" s="883"/>
      <c r="BS11" s="883"/>
      <c r="BT11" s="883"/>
      <c r="BU11" s="797"/>
      <c r="BV11" s="797"/>
      <c r="BW11" s="797"/>
      <c r="BX11" s="797"/>
      <c r="BY11" s="797"/>
      <c r="BZ11" s="797"/>
      <c r="CA11" s="797"/>
      <c r="CB11" s="798"/>
    </row>
    <row r="12" spans="1:80" ht="13.5" customHeight="1" thickBot="1">
      <c r="A12" s="1543" t="s">
        <v>1900</v>
      </c>
      <c r="B12" s="1544"/>
      <c r="C12" s="245" t="s">
        <v>299</v>
      </c>
      <c r="D12" s="1661"/>
      <c r="E12" s="1661"/>
      <c r="F12" s="1661"/>
      <c r="G12" s="1661"/>
      <c r="H12" s="1661"/>
      <c r="I12" s="1661"/>
      <c r="J12" s="603" t="s">
        <v>299</v>
      </c>
      <c r="K12" s="1664"/>
      <c r="L12" s="1665"/>
      <c r="M12" s="1665"/>
      <c r="N12" s="1665"/>
      <c r="O12" s="1562"/>
      <c r="P12" s="1563"/>
      <c r="Q12" s="1563"/>
      <c r="R12" s="1563"/>
      <c r="S12" s="1563"/>
      <c r="T12" s="1563"/>
      <c r="U12" s="1563"/>
      <c r="V12" s="1563"/>
      <c r="W12" s="1563"/>
      <c r="X12" s="1563"/>
      <c r="Y12" s="1563"/>
      <c r="Z12" s="1564"/>
      <c r="AA12" s="1543" t="s">
        <v>1900</v>
      </c>
      <c r="AB12" s="1544"/>
      <c r="AC12" s="222" t="s">
        <v>299</v>
      </c>
      <c r="AD12" s="1663"/>
      <c r="AE12" s="1663"/>
      <c r="AF12" s="1663"/>
      <c r="AG12" s="1663"/>
      <c r="AH12" s="1663"/>
      <c r="AI12" s="1663"/>
      <c r="AJ12" s="172" t="s">
        <v>299</v>
      </c>
      <c r="AK12" s="1557"/>
      <c r="AL12" s="1558"/>
      <c r="AM12" s="1558"/>
      <c r="AN12" s="1558"/>
      <c r="AO12" s="1562"/>
      <c r="AP12" s="1563"/>
      <c r="AQ12" s="1563"/>
      <c r="AR12" s="1563"/>
      <c r="AS12" s="1563"/>
      <c r="AT12" s="1563"/>
      <c r="AU12" s="1563"/>
      <c r="AV12" s="1563"/>
      <c r="AW12" s="1563"/>
      <c r="AX12" s="1563"/>
      <c r="AY12" s="1563"/>
      <c r="AZ12" s="1564"/>
      <c r="BA12" s="881"/>
      <c r="BB12" s="881"/>
      <c r="BC12" s="882"/>
      <c r="BD12" s="881"/>
      <c r="BE12" s="881"/>
      <c r="BF12" s="882"/>
      <c r="BG12" s="881"/>
      <c r="BH12" s="881"/>
      <c r="BI12" s="881"/>
      <c r="BJ12" s="881"/>
      <c r="BK12" s="881"/>
      <c r="BL12" s="881"/>
      <c r="BM12" s="881"/>
      <c r="BN12" s="881"/>
      <c r="BO12" s="881"/>
      <c r="BP12" s="881"/>
      <c r="BQ12" s="881"/>
      <c r="BR12" s="883"/>
      <c r="BS12" s="883"/>
      <c r="BT12" s="883"/>
      <c r="BU12" s="797"/>
      <c r="BV12" s="797"/>
      <c r="BW12" s="797"/>
      <c r="BX12" s="797"/>
      <c r="BY12" s="797"/>
      <c r="BZ12" s="797"/>
      <c r="CA12" s="797"/>
      <c r="CB12" s="798"/>
    </row>
    <row r="13" spans="1:80" ht="8.1" customHeight="1">
      <c r="A13" s="236"/>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21"/>
      <c r="AB13" s="221"/>
      <c r="AC13" s="221"/>
      <c r="AD13" s="221"/>
      <c r="AE13" s="221"/>
      <c r="AF13" s="221"/>
      <c r="AG13" s="221"/>
      <c r="AH13" s="221"/>
      <c r="AI13" s="221"/>
      <c r="AJ13" s="221"/>
      <c r="AK13" s="221"/>
      <c r="AL13" s="221"/>
      <c r="AM13" s="221"/>
      <c r="AN13" s="221"/>
      <c r="AO13" s="221"/>
      <c r="AP13" s="233"/>
      <c r="AQ13" s="221"/>
      <c r="AR13" s="221"/>
      <c r="AS13" s="221"/>
      <c r="AT13" s="221"/>
      <c r="AU13" s="221"/>
      <c r="AV13" s="221"/>
      <c r="AW13" s="221"/>
      <c r="AX13" s="221"/>
      <c r="AY13" s="221"/>
      <c r="AZ13" s="221"/>
      <c r="BA13" s="881"/>
      <c r="BB13" s="881"/>
      <c r="BC13" s="882"/>
      <c r="BD13" s="881"/>
      <c r="BE13" s="881"/>
      <c r="BF13" s="882"/>
      <c r="BG13" s="881"/>
      <c r="BH13" s="881"/>
      <c r="BI13" s="881"/>
      <c r="BJ13" s="881"/>
      <c r="BK13" s="881"/>
      <c r="BL13" s="881"/>
      <c r="BM13" s="881"/>
      <c r="BN13" s="881"/>
      <c r="BO13" s="881"/>
      <c r="BP13" s="881"/>
      <c r="BQ13" s="881"/>
      <c r="BR13" s="883"/>
      <c r="BS13" s="883"/>
      <c r="BT13" s="883"/>
      <c r="BU13" s="797"/>
      <c r="BV13" s="797"/>
      <c r="BW13" s="797"/>
      <c r="BX13" s="797"/>
      <c r="BY13" s="797"/>
      <c r="BZ13" s="797"/>
      <c r="CA13" s="797"/>
      <c r="CB13" s="798"/>
    </row>
    <row r="14" spans="1:80" ht="18.95" customHeight="1" thickBot="1">
      <c r="A14" s="1547" t="s">
        <v>2933</v>
      </c>
      <c r="B14" s="1547"/>
      <c r="C14" s="1547"/>
      <c r="D14" s="1547"/>
      <c r="E14" s="1547"/>
      <c r="F14" s="1547"/>
      <c r="G14" s="1547"/>
      <c r="H14" s="1547"/>
      <c r="I14" s="1547"/>
      <c r="J14" s="1547"/>
      <c r="K14" s="1547"/>
      <c r="L14" s="1547"/>
      <c r="M14" s="1547"/>
      <c r="N14" s="1547"/>
      <c r="O14" s="1547"/>
      <c r="P14" s="1547"/>
      <c r="Q14" s="1547"/>
      <c r="R14" s="1547"/>
      <c r="S14" s="1547"/>
      <c r="T14" s="1547"/>
      <c r="U14" s="1547"/>
      <c r="V14" s="1547"/>
      <c r="W14" s="1547"/>
      <c r="X14" s="1547"/>
      <c r="Y14" s="1547"/>
      <c r="Z14" s="1547"/>
      <c r="AA14" s="1547" t="s">
        <v>2933</v>
      </c>
      <c r="AB14" s="1547"/>
      <c r="AC14" s="1547"/>
      <c r="AD14" s="1547"/>
      <c r="AE14" s="1547"/>
      <c r="AF14" s="1547"/>
      <c r="AG14" s="1547"/>
      <c r="AH14" s="1547"/>
      <c r="AI14" s="1547"/>
      <c r="AJ14" s="1547"/>
      <c r="AK14" s="1547"/>
      <c r="AL14" s="1547"/>
      <c r="AM14" s="1547"/>
      <c r="AN14" s="1547"/>
      <c r="AO14" s="1547"/>
      <c r="AP14" s="1547"/>
      <c r="AQ14" s="1547"/>
      <c r="AR14" s="1547"/>
      <c r="AS14" s="1547"/>
      <c r="AT14" s="1547"/>
      <c r="AU14" s="1547"/>
      <c r="AV14" s="1547"/>
      <c r="AW14" s="1547"/>
      <c r="AX14" s="1547"/>
      <c r="AY14" s="1547"/>
      <c r="AZ14" s="1547"/>
      <c r="BA14" s="881"/>
      <c r="BB14" s="881"/>
      <c r="BC14" s="882"/>
      <c r="BD14" s="881"/>
      <c r="BE14" s="881"/>
      <c r="BF14" s="882"/>
      <c r="BG14" s="881"/>
      <c r="BH14" s="881"/>
      <c r="BI14" s="881"/>
      <c r="BJ14" s="881"/>
      <c r="BK14" s="881"/>
      <c r="BL14" s="881"/>
      <c r="BM14" s="881"/>
      <c r="BN14" s="881"/>
      <c r="BO14" s="881"/>
      <c r="BP14" s="881"/>
      <c r="BQ14" s="881"/>
      <c r="BR14" s="883"/>
      <c r="BS14" s="883"/>
      <c r="BT14" s="883"/>
      <c r="BU14" s="797"/>
      <c r="BV14" s="797"/>
      <c r="BW14" s="797"/>
      <c r="BX14" s="797"/>
      <c r="BY14" s="797"/>
      <c r="BZ14" s="797"/>
      <c r="CA14" s="797"/>
      <c r="CB14" s="798"/>
    </row>
    <row r="15" spans="1:80">
      <c r="A15" s="1548" t="s">
        <v>301</v>
      </c>
      <c r="B15" s="1549"/>
      <c r="C15" s="1549"/>
      <c r="D15" s="1549"/>
      <c r="E15" s="1549"/>
      <c r="F15" s="1549"/>
      <c r="G15" s="1549"/>
      <c r="H15" s="1549"/>
      <c r="I15" s="1549"/>
      <c r="J15" s="1549"/>
      <c r="K15" s="1549"/>
      <c r="L15" s="1549"/>
      <c r="M15" s="1550"/>
      <c r="N15" s="1554" t="s">
        <v>299</v>
      </c>
      <c r="O15" s="1541" t="s">
        <v>1899</v>
      </c>
      <c r="P15" s="1542"/>
      <c r="Q15" s="1653" t="s">
        <v>300</v>
      </c>
      <c r="R15" s="1655" t="str">
        <f>IF(B52=TRUE,IF(B53=TRUE,"!再度確認!","青少年山の家までご連絡ください"),IF(B53=FALSE,"!再度確認!","連絡の必要はありません"))</f>
        <v>!再度確認!</v>
      </c>
      <c r="S15" s="1655"/>
      <c r="T15" s="1655"/>
      <c r="U15" s="1655" t="str">
        <f>IF(K56=TRUE,IF(K57=TRUE,"!再度確認!","提出"),IF(K57=FALSE,"!再度確認!","いりません"))</f>
        <v>!再度確認!</v>
      </c>
      <c r="V15" s="1655"/>
      <c r="W15" s="1655"/>
      <c r="X15" s="1655" t="str">
        <f>IF(N56=TRUE,IF(N57=TRUE,"!再度確認!","提出"),IF(N57=FALSE,"!再度確認!","いりません"))</f>
        <v>!再度確認!</v>
      </c>
      <c r="Y15" s="1655"/>
      <c r="Z15" s="1656"/>
      <c r="AA15" s="1565" t="s">
        <v>301</v>
      </c>
      <c r="AB15" s="1566"/>
      <c r="AC15" s="1566"/>
      <c r="AD15" s="1566"/>
      <c r="AE15" s="1566"/>
      <c r="AF15" s="1566"/>
      <c r="AG15" s="1566"/>
      <c r="AH15" s="1566"/>
      <c r="AI15" s="1566"/>
      <c r="AJ15" s="1566"/>
      <c r="AK15" s="1566"/>
      <c r="AL15" s="1566"/>
      <c r="AM15" s="1567"/>
      <c r="AN15" s="1674" t="s">
        <v>299</v>
      </c>
      <c r="AO15" s="1541" t="s">
        <v>1899</v>
      </c>
      <c r="AP15" s="1542"/>
      <c r="AQ15" s="1571" t="s">
        <v>299</v>
      </c>
      <c r="AR15" s="1537" t="s">
        <v>2969</v>
      </c>
      <c r="AS15" s="1537"/>
      <c r="AT15" s="1537"/>
      <c r="AU15" s="1537" t="str">
        <f>IF(AK56=TRUE,IF(AK57=TRUE,"!再度確認!","提出"),IF(AK57=FALSE,"!再度確認!","いりません"))</f>
        <v>!再度確認!</v>
      </c>
      <c r="AV15" s="1537"/>
      <c r="AW15" s="1537"/>
      <c r="AX15" s="1537" t="str">
        <f>IF(AN56=TRUE,IF(AN57=TRUE,"!再度確認!","提出"),IF(AN57=FALSE,"!再度確認!","いりません"))</f>
        <v>!再度確認!</v>
      </c>
      <c r="AY15" s="1537"/>
      <c r="AZ15" s="1538"/>
      <c r="BA15" s="881"/>
      <c r="BB15" s="881"/>
      <c r="BC15" s="882"/>
      <c r="BD15" s="881"/>
      <c r="BE15" s="881"/>
      <c r="BF15" s="882"/>
      <c r="BG15" s="881"/>
      <c r="BH15" s="881"/>
      <c r="BI15" s="881"/>
      <c r="BJ15" s="881"/>
      <c r="BK15" s="881"/>
      <c r="BL15" s="881"/>
      <c r="BM15" s="881"/>
      <c r="BN15" s="881"/>
      <c r="BO15" s="881"/>
      <c r="BP15" s="881"/>
      <c r="BQ15" s="881"/>
      <c r="BR15" s="883"/>
      <c r="BS15" s="883"/>
      <c r="BT15" s="883"/>
      <c r="BU15" s="797"/>
      <c r="BV15" s="797"/>
      <c r="BW15" s="797"/>
      <c r="BX15" s="797"/>
      <c r="BY15" s="797"/>
      <c r="BZ15" s="797"/>
      <c r="CA15" s="797"/>
      <c r="CB15" s="798"/>
    </row>
    <row r="16" spans="1:80" ht="14.25" thickBot="1">
      <c r="A16" s="1551"/>
      <c r="B16" s="1552"/>
      <c r="C16" s="1552"/>
      <c r="D16" s="1552"/>
      <c r="E16" s="1552"/>
      <c r="F16" s="1552"/>
      <c r="G16" s="1552"/>
      <c r="H16" s="1552"/>
      <c r="I16" s="1552"/>
      <c r="J16" s="1552"/>
      <c r="K16" s="1552"/>
      <c r="L16" s="1552"/>
      <c r="M16" s="1553"/>
      <c r="N16" s="1554"/>
      <c r="O16" s="1543" t="s">
        <v>1900</v>
      </c>
      <c r="P16" s="1544"/>
      <c r="Q16" s="1654"/>
      <c r="R16" s="1657"/>
      <c r="S16" s="1657"/>
      <c r="T16" s="1657"/>
      <c r="U16" s="1657"/>
      <c r="V16" s="1657"/>
      <c r="W16" s="1657"/>
      <c r="X16" s="1657"/>
      <c r="Y16" s="1657"/>
      <c r="Z16" s="1658"/>
      <c r="AA16" s="1568"/>
      <c r="AB16" s="1569"/>
      <c r="AC16" s="1569"/>
      <c r="AD16" s="1569"/>
      <c r="AE16" s="1569"/>
      <c r="AF16" s="1569"/>
      <c r="AG16" s="1569"/>
      <c r="AH16" s="1569"/>
      <c r="AI16" s="1569"/>
      <c r="AJ16" s="1569"/>
      <c r="AK16" s="1569"/>
      <c r="AL16" s="1569"/>
      <c r="AM16" s="1570"/>
      <c r="AN16" s="1674"/>
      <c r="AO16" s="1573" t="s">
        <v>1900</v>
      </c>
      <c r="AP16" s="1574"/>
      <c r="AQ16" s="1572"/>
      <c r="AR16" s="1539"/>
      <c r="AS16" s="1539"/>
      <c r="AT16" s="1539"/>
      <c r="AU16" s="1539"/>
      <c r="AV16" s="1539"/>
      <c r="AW16" s="1539"/>
      <c r="AX16" s="1539"/>
      <c r="AY16" s="1539"/>
      <c r="AZ16" s="1540"/>
      <c r="BA16" s="881"/>
      <c r="BB16" s="881"/>
      <c r="BC16" s="882"/>
      <c r="BD16" s="881"/>
      <c r="BE16" s="881"/>
      <c r="BF16" s="882"/>
      <c r="BG16" s="881"/>
      <c r="BH16" s="881"/>
      <c r="BI16" s="881"/>
      <c r="BJ16" s="881"/>
      <c r="BK16" s="881"/>
      <c r="BL16" s="881"/>
      <c r="BM16" s="881"/>
      <c r="BN16" s="881"/>
      <c r="BO16" s="881"/>
      <c r="BP16" s="881"/>
      <c r="BQ16" s="881"/>
      <c r="BR16" s="883"/>
      <c r="BS16" s="883"/>
      <c r="BT16" s="883"/>
      <c r="BU16" s="797"/>
      <c r="BV16" s="797"/>
      <c r="BW16" s="797"/>
      <c r="BX16" s="797"/>
      <c r="BY16" s="797"/>
      <c r="BZ16" s="797"/>
      <c r="CA16" s="797"/>
      <c r="CB16" s="798"/>
    </row>
    <row r="17" spans="1:81" ht="8.1" customHeight="1">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881"/>
      <c r="BB17" s="881"/>
      <c r="BC17" s="884"/>
      <c r="BD17" s="881"/>
      <c r="BE17" s="881"/>
      <c r="BF17" s="882"/>
      <c r="BG17" s="881"/>
      <c r="BH17" s="881"/>
      <c r="BI17" s="881"/>
      <c r="BJ17" s="881"/>
      <c r="BK17" s="881"/>
      <c r="BL17" s="881"/>
      <c r="BM17" s="881"/>
      <c r="BN17" s="881"/>
      <c r="BO17" s="881"/>
      <c r="BP17" s="881"/>
      <c r="BQ17" s="881"/>
      <c r="BR17" s="883"/>
      <c r="BS17" s="883"/>
      <c r="BT17" s="883"/>
      <c r="BU17" s="797"/>
      <c r="BV17" s="797"/>
      <c r="BW17" s="797"/>
      <c r="BX17" s="797"/>
      <c r="BY17" s="797"/>
      <c r="BZ17" s="797"/>
      <c r="CA17" s="797"/>
      <c r="CB17" s="798"/>
    </row>
    <row r="18" spans="1:81" ht="18" customHeight="1">
      <c r="A18" s="1536" t="s">
        <v>2932</v>
      </c>
      <c r="B18" s="1536"/>
      <c r="C18" s="1536"/>
      <c r="D18" s="1536"/>
      <c r="E18" s="1536"/>
      <c r="F18" s="1536"/>
      <c r="G18" s="1536"/>
      <c r="H18" s="1536"/>
      <c r="I18" s="1536"/>
      <c r="J18" s="1536"/>
      <c r="K18" s="1536"/>
      <c r="L18" s="1536"/>
      <c r="M18" s="1536"/>
      <c r="N18" s="1536"/>
      <c r="O18" s="1536"/>
      <c r="P18" s="1536"/>
      <c r="Q18" s="1536"/>
      <c r="R18" s="1536"/>
      <c r="S18" s="1536"/>
      <c r="T18" s="1536"/>
      <c r="U18" s="1536"/>
      <c r="V18" s="1536"/>
      <c r="W18" s="1536"/>
      <c r="X18" s="1536"/>
      <c r="Y18" s="1536"/>
      <c r="Z18" s="1536"/>
      <c r="AA18" s="1536" t="s">
        <v>2932</v>
      </c>
      <c r="AB18" s="1536"/>
      <c r="AC18" s="1536"/>
      <c r="AD18" s="1536"/>
      <c r="AE18" s="1536"/>
      <c r="AF18" s="1536"/>
      <c r="AG18" s="1536"/>
      <c r="AH18" s="1536"/>
      <c r="AI18" s="1536"/>
      <c r="AJ18" s="1536"/>
      <c r="AK18" s="1536"/>
      <c r="AL18" s="1536"/>
      <c r="AM18" s="1536"/>
      <c r="AN18" s="1536"/>
      <c r="AO18" s="1536"/>
      <c r="AP18" s="1536"/>
      <c r="AQ18" s="1536"/>
      <c r="AR18" s="1536"/>
      <c r="AS18" s="1536"/>
      <c r="AT18" s="1536"/>
      <c r="AU18" s="1536"/>
      <c r="AV18" s="1536"/>
      <c r="AW18" s="1536"/>
      <c r="AX18" s="1536"/>
      <c r="AY18" s="1536"/>
      <c r="AZ18" s="1536"/>
      <c r="BA18" s="881"/>
      <c r="BB18" s="881"/>
      <c r="BC18" s="882"/>
      <c r="BD18" s="881"/>
      <c r="BE18" s="881"/>
      <c r="BF18" s="882"/>
      <c r="BG18" s="881"/>
      <c r="BH18" s="881"/>
      <c r="BI18" s="881"/>
      <c r="BJ18" s="881"/>
      <c r="BK18" s="881"/>
      <c r="BL18" s="881"/>
      <c r="BM18" s="881"/>
      <c r="BN18" s="881"/>
      <c r="BO18" s="881"/>
      <c r="BP18" s="881"/>
      <c r="BQ18" s="881"/>
      <c r="BR18" s="883"/>
      <c r="BS18" s="883"/>
      <c r="BT18" s="883"/>
      <c r="BU18" s="797"/>
      <c r="BV18" s="797"/>
      <c r="BW18" s="797"/>
      <c r="BX18" s="797"/>
      <c r="BY18" s="797"/>
      <c r="BZ18" s="797"/>
      <c r="CA18" s="797"/>
      <c r="CB18" s="798"/>
    </row>
    <row r="19" spans="1:81" ht="30" customHeight="1">
      <c r="A19" s="1545" t="s">
        <v>2931</v>
      </c>
      <c r="B19" s="1546"/>
      <c r="C19" s="1546"/>
      <c r="D19" s="1546"/>
      <c r="E19" s="1546"/>
      <c r="F19" s="1546"/>
      <c r="G19" s="1546"/>
      <c r="H19" s="1546"/>
      <c r="I19" s="1546"/>
      <c r="J19" s="1546"/>
      <c r="K19" s="1546"/>
      <c r="L19" s="1546"/>
      <c r="M19" s="1546"/>
      <c r="N19" s="1546"/>
      <c r="O19" s="1546"/>
      <c r="P19" s="1546"/>
      <c r="Q19" s="1546"/>
      <c r="R19" s="1546"/>
      <c r="S19" s="1546"/>
      <c r="T19" s="1546"/>
      <c r="U19" s="1546"/>
      <c r="V19" s="1546"/>
      <c r="W19" s="1546"/>
      <c r="X19" s="1546"/>
      <c r="Y19" s="1546"/>
      <c r="Z19" s="1546"/>
      <c r="AA19" s="1545" t="s">
        <v>2931</v>
      </c>
      <c r="AB19" s="1546"/>
      <c r="AC19" s="1546"/>
      <c r="AD19" s="1546"/>
      <c r="AE19" s="1546"/>
      <c r="AF19" s="1546"/>
      <c r="AG19" s="1546"/>
      <c r="AH19" s="1546"/>
      <c r="AI19" s="1546"/>
      <c r="AJ19" s="1546"/>
      <c r="AK19" s="1546"/>
      <c r="AL19" s="1546"/>
      <c r="AM19" s="1546"/>
      <c r="AN19" s="1546"/>
      <c r="AO19" s="1546"/>
      <c r="AP19" s="1546"/>
      <c r="AQ19" s="1546"/>
      <c r="AR19" s="1546"/>
      <c r="AS19" s="1546"/>
      <c r="AT19" s="1546"/>
      <c r="AU19" s="1546"/>
      <c r="AV19" s="1546"/>
      <c r="AW19" s="1546"/>
      <c r="AX19" s="1546"/>
      <c r="AY19" s="1546"/>
      <c r="AZ19" s="1546"/>
      <c r="BA19" s="881"/>
      <c r="BB19" s="881"/>
      <c r="BC19" s="882"/>
      <c r="BD19" s="881"/>
      <c r="BE19" s="881"/>
      <c r="BF19" s="882"/>
      <c r="BG19" s="881"/>
      <c r="BH19" s="881"/>
      <c r="BI19" s="881"/>
      <c r="BJ19" s="881"/>
      <c r="BK19" s="881"/>
      <c r="BL19" s="881"/>
      <c r="BM19" s="881"/>
      <c r="BN19" s="881"/>
      <c r="BO19" s="881"/>
      <c r="BP19" s="881"/>
      <c r="BQ19" s="881"/>
      <c r="BR19" s="883"/>
      <c r="BS19" s="883"/>
      <c r="BT19" s="883"/>
      <c r="BU19" s="797"/>
      <c r="BV19" s="797"/>
      <c r="BW19" s="797"/>
      <c r="BX19" s="797"/>
      <c r="BY19" s="797"/>
      <c r="BZ19" s="797"/>
      <c r="CA19" s="797"/>
      <c r="CB19" s="798"/>
    </row>
    <row r="20" spans="1:81" ht="18" customHeight="1">
      <c r="A20" s="1546" t="s">
        <v>2968</v>
      </c>
      <c r="B20" s="1546"/>
      <c r="C20" s="1546"/>
      <c r="D20" s="1546"/>
      <c r="E20" s="1546"/>
      <c r="F20" s="1546"/>
      <c r="G20" s="1546"/>
      <c r="H20" s="1546"/>
      <c r="I20" s="1546"/>
      <c r="J20" s="1546"/>
      <c r="K20" s="1546"/>
      <c r="L20" s="1546"/>
      <c r="M20" s="1546"/>
      <c r="N20" s="1546"/>
      <c r="O20" s="1546"/>
      <c r="P20" s="1546"/>
      <c r="Q20" s="1546"/>
      <c r="R20" s="1546"/>
      <c r="S20" s="1546"/>
      <c r="T20" s="1546"/>
      <c r="U20" s="1546"/>
      <c r="V20" s="1546"/>
      <c r="W20" s="1546"/>
      <c r="X20" s="1546"/>
      <c r="Y20" s="1546"/>
      <c r="Z20" s="1546"/>
      <c r="AA20" s="1546" t="s">
        <v>2930</v>
      </c>
      <c r="AB20" s="1546"/>
      <c r="AC20" s="1546"/>
      <c r="AD20" s="1546"/>
      <c r="AE20" s="1546"/>
      <c r="AF20" s="1546"/>
      <c r="AG20" s="1546"/>
      <c r="AH20" s="1546"/>
      <c r="AI20" s="1546"/>
      <c r="AJ20" s="1546"/>
      <c r="AK20" s="1546"/>
      <c r="AL20" s="1546"/>
      <c r="AM20" s="1546"/>
      <c r="AN20" s="1546"/>
      <c r="AO20" s="1546"/>
      <c r="AP20" s="1546"/>
      <c r="AQ20" s="1546"/>
      <c r="AR20" s="1546"/>
      <c r="AS20" s="1546"/>
      <c r="AT20" s="1546"/>
      <c r="AU20" s="1546"/>
      <c r="AV20" s="1546"/>
      <c r="AW20" s="1546"/>
      <c r="AX20" s="1546"/>
      <c r="AY20" s="1546"/>
      <c r="AZ20" s="1546"/>
      <c r="BA20" s="881"/>
      <c r="BB20" s="881"/>
      <c r="BC20" s="882"/>
      <c r="BD20" s="881"/>
      <c r="BE20" s="881"/>
      <c r="BF20" s="882"/>
      <c r="BG20" s="881"/>
      <c r="BH20" s="881"/>
      <c r="BI20" s="881"/>
      <c r="BJ20" s="881"/>
      <c r="BK20" s="881"/>
      <c r="BL20" s="881"/>
      <c r="BM20" s="881"/>
      <c r="BN20" s="881"/>
      <c r="BO20" s="881"/>
      <c r="BP20" s="881"/>
      <c r="BQ20" s="881"/>
      <c r="BR20" s="883"/>
      <c r="BS20" s="883"/>
      <c r="BT20" s="883"/>
      <c r="BU20" s="797"/>
      <c r="BV20" s="797"/>
      <c r="BW20" s="797"/>
      <c r="BX20" s="797"/>
      <c r="BY20" s="797"/>
      <c r="BZ20" s="797"/>
      <c r="CA20" s="797"/>
      <c r="CB20" s="798"/>
    </row>
    <row r="21" spans="1:81" ht="30" customHeight="1">
      <c r="A21" s="1575" t="s">
        <v>2935</v>
      </c>
      <c r="B21" s="1575"/>
      <c r="C21" s="1575"/>
      <c r="D21" s="1575"/>
      <c r="E21" s="1575"/>
      <c r="F21" s="1575"/>
      <c r="G21" s="1575"/>
      <c r="H21" s="1575"/>
      <c r="I21" s="1575"/>
      <c r="J21" s="1575"/>
      <c r="K21" s="1575"/>
      <c r="L21" s="1575"/>
      <c r="M21" s="1575"/>
      <c r="N21" s="1575"/>
      <c r="O21" s="1575"/>
      <c r="P21" s="1575"/>
      <c r="Q21" s="1575"/>
      <c r="R21" s="1575"/>
      <c r="S21" s="1575"/>
      <c r="T21" s="1575"/>
      <c r="U21" s="1575"/>
      <c r="V21" s="1575"/>
      <c r="W21" s="1575"/>
      <c r="X21" s="1575"/>
      <c r="Y21" s="1575"/>
      <c r="Z21" s="1575"/>
      <c r="AA21" s="1575" t="s">
        <v>2935</v>
      </c>
      <c r="AB21" s="1575"/>
      <c r="AC21" s="1575"/>
      <c r="AD21" s="1575"/>
      <c r="AE21" s="1575"/>
      <c r="AF21" s="1575"/>
      <c r="AG21" s="1575"/>
      <c r="AH21" s="1575"/>
      <c r="AI21" s="1575"/>
      <c r="AJ21" s="1575"/>
      <c r="AK21" s="1575"/>
      <c r="AL21" s="1575"/>
      <c r="AM21" s="1575"/>
      <c r="AN21" s="1575"/>
      <c r="AO21" s="1575"/>
      <c r="AP21" s="1575"/>
      <c r="AQ21" s="1575"/>
      <c r="AR21" s="1575"/>
      <c r="AS21" s="1575"/>
      <c r="AT21" s="1575"/>
      <c r="AU21" s="1575"/>
      <c r="AV21" s="1575"/>
      <c r="AW21" s="1575"/>
      <c r="AX21" s="1575"/>
      <c r="AY21" s="1575"/>
      <c r="AZ21" s="1575"/>
      <c r="BA21" s="881"/>
      <c r="BB21" s="881"/>
      <c r="BC21" s="882"/>
      <c r="BD21" s="881"/>
      <c r="BE21" s="881"/>
      <c r="BF21" s="882"/>
      <c r="BG21" s="881"/>
      <c r="BH21" s="881"/>
      <c r="BI21" s="881"/>
      <c r="BJ21" s="881"/>
      <c r="BK21" s="881"/>
      <c r="BL21" s="881"/>
      <c r="BM21" s="881"/>
      <c r="BN21" s="881"/>
      <c r="BO21" s="881"/>
      <c r="BP21" s="881"/>
      <c r="BQ21" s="881"/>
      <c r="BR21" s="883"/>
      <c r="BS21" s="883"/>
      <c r="BT21" s="883"/>
      <c r="BU21" s="797"/>
      <c r="BV21" s="797"/>
      <c r="BW21" s="797"/>
      <c r="BX21" s="797"/>
      <c r="BY21" s="797"/>
      <c r="BZ21" s="797"/>
      <c r="CA21" s="797"/>
      <c r="CB21" s="798"/>
    </row>
    <row r="22" spans="1:81" ht="18" customHeight="1">
      <c r="A22" s="1546" t="s">
        <v>2928</v>
      </c>
      <c r="B22" s="1546"/>
      <c r="C22" s="1546"/>
      <c r="D22" s="1546"/>
      <c r="E22" s="1546"/>
      <c r="F22" s="1546"/>
      <c r="G22" s="1546"/>
      <c r="H22" s="1546"/>
      <c r="I22" s="1546"/>
      <c r="J22" s="1546"/>
      <c r="K22" s="1546"/>
      <c r="L22" s="1546"/>
      <c r="M22" s="1546"/>
      <c r="N22" s="1546"/>
      <c r="O22" s="1546"/>
      <c r="P22" s="1546"/>
      <c r="Q22" s="1546"/>
      <c r="R22" s="1546"/>
      <c r="S22" s="1546"/>
      <c r="T22" s="1546"/>
      <c r="U22" s="1546"/>
      <c r="V22" s="1546"/>
      <c r="W22" s="1546"/>
      <c r="X22" s="1546"/>
      <c r="Y22" s="1546"/>
      <c r="Z22" s="1546"/>
      <c r="AA22" s="1546" t="s">
        <v>2928</v>
      </c>
      <c r="AB22" s="1546"/>
      <c r="AC22" s="1546"/>
      <c r="AD22" s="1546"/>
      <c r="AE22" s="1546"/>
      <c r="AF22" s="1546"/>
      <c r="AG22" s="1546"/>
      <c r="AH22" s="1546"/>
      <c r="AI22" s="1546"/>
      <c r="AJ22" s="1546"/>
      <c r="AK22" s="1546"/>
      <c r="AL22" s="1546"/>
      <c r="AM22" s="1546"/>
      <c r="AN22" s="1546"/>
      <c r="AO22" s="1546"/>
      <c r="AP22" s="1546"/>
      <c r="AQ22" s="1546"/>
      <c r="AR22" s="1546"/>
      <c r="AS22" s="1546"/>
      <c r="AT22" s="1546"/>
      <c r="AU22" s="1546"/>
      <c r="AV22" s="1546"/>
      <c r="AW22" s="1546"/>
      <c r="AX22" s="1546"/>
      <c r="AY22" s="1546"/>
      <c r="AZ22" s="1546"/>
      <c r="BA22" s="881"/>
      <c r="BB22" s="881"/>
      <c r="BC22" s="882"/>
      <c r="BD22" s="881"/>
      <c r="BE22" s="881"/>
      <c r="BF22" s="882"/>
      <c r="BG22" s="881"/>
      <c r="BH22" s="881"/>
      <c r="BI22" s="881"/>
      <c r="BJ22" s="881"/>
      <c r="BK22" s="881"/>
      <c r="BL22" s="881"/>
      <c r="BM22" s="881"/>
      <c r="BN22" s="881"/>
      <c r="BO22" s="881"/>
      <c r="BP22" s="881"/>
      <c r="BQ22" s="881"/>
      <c r="BR22" s="883"/>
      <c r="BS22" s="883"/>
      <c r="BT22" s="883"/>
      <c r="BU22" s="797"/>
      <c r="BV22" s="797"/>
      <c r="BW22" s="797"/>
      <c r="BX22" s="797"/>
      <c r="BY22" s="797"/>
      <c r="BZ22" s="797"/>
      <c r="CA22" s="797"/>
      <c r="CB22" s="798"/>
    </row>
    <row r="23" spans="1:81" ht="30" customHeight="1">
      <c r="A23" s="1545" t="s">
        <v>2936</v>
      </c>
      <c r="B23" s="1546"/>
      <c r="C23" s="1546"/>
      <c r="D23" s="1546"/>
      <c r="E23" s="1546"/>
      <c r="F23" s="1546"/>
      <c r="G23" s="1546"/>
      <c r="H23" s="1546"/>
      <c r="I23" s="1546"/>
      <c r="J23" s="1546"/>
      <c r="K23" s="1546"/>
      <c r="L23" s="1546"/>
      <c r="M23" s="1546"/>
      <c r="N23" s="1546"/>
      <c r="O23" s="1546"/>
      <c r="P23" s="1546"/>
      <c r="Q23" s="1546"/>
      <c r="R23" s="1546"/>
      <c r="S23" s="1546"/>
      <c r="T23" s="1546"/>
      <c r="U23" s="1546"/>
      <c r="V23" s="1546"/>
      <c r="W23" s="1546"/>
      <c r="X23" s="1546"/>
      <c r="Y23" s="1546"/>
      <c r="Z23" s="1546"/>
      <c r="AA23" s="1545" t="s">
        <v>2936</v>
      </c>
      <c r="AB23" s="1546"/>
      <c r="AC23" s="1546"/>
      <c r="AD23" s="1546"/>
      <c r="AE23" s="1546"/>
      <c r="AF23" s="1546"/>
      <c r="AG23" s="1546"/>
      <c r="AH23" s="1546"/>
      <c r="AI23" s="1546"/>
      <c r="AJ23" s="1546"/>
      <c r="AK23" s="1546"/>
      <c r="AL23" s="1546"/>
      <c r="AM23" s="1546"/>
      <c r="AN23" s="1546"/>
      <c r="AO23" s="1546"/>
      <c r="AP23" s="1546"/>
      <c r="AQ23" s="1546"/>
      <c r="AR23" s="1546"/>
      <c r="AS23" s="1546"/>
      <c r="AT23" s="1546"/>
      <c r="AU23" s="1546"/>
      <c r="AV23" s="1546"/>
      <c r="AW23" s="1546"/>
      <c r="AX23" s="1546"/>
      <c r="AY23" s="1546"/>
      <c r="AZ23" s="1546"/>
      <c r="BA23" s="881"/>
      <c r="BB23" s="881"/>
      <c r="BC23" s="882"/>
      <c r="BD23" s="881"/>
      <c r="BE23" s="881"/>
      <c r="BF23" s="882"/>
      <c r="BG23" s="881"/>
      <c r="BH23" s="881"/>
      <c r="BI23" s="881"/>
      <c r="BJ23" s="881"/>
      <c r="BK23" s="881"/>
      <c r="BL23" s="881"/>
      <c r="BM23" s="881"/>
      <c r="BN23" s="881"/>
      <c r="BO23" s="881"/>
      <c r="BP23" s="881"/>
      <c r="BQ23" s="881"/>
      <c r="BR23" s="883"/>
      <c r="BS23" s="883"/>
      <c r="BT23" s="883"/>
      <c r="BU23" s="797"/>
      <c r="BV23" s="797"/>
      <c r="BW23" s="797"/>
      <c r="BX23" s="797"/>
      <c r="BY23" s="797"/>
      <c r="BZ23" s="797"/>
      <c r="CA23" s="797"/>
      <c r="CB23" s="798"/>
    </row>
    <row r="24" spans="1:81" ht="18" customHeight="1">
      <c r="A24" s="1546" t="s">
        <v>2929</v>
      </c>
      <c r="B24" s="1546"/>
      <c r="C24" s="1546"/>
      <c r="D24" s="1546"/>
      <c r="E24" s="1546"/>
      <c r="F24" s="1546"/>
      <c r="G24" s="1546"/>
      <c r="H24" s="1546"/>
      <c r="I24" s="1546"/>
      <c r="J24" s="1546"/>
      <c r="K24" s="1546"/>
      <c r="L24" s="1546"/>
      <c r="M24" s="1546"/>
      <c r="N24" s="1546"/>
      <c r="O24" s="1546"/>
      <c r="P24" s="1546"/>
      <c r="Q24" s="1546"/>
      <c r="R24" s="1546"/>
      <c r="S24" s="1546"/>
      <c r="T24" s="1546"/>
      <c r="U24" s="1546"/>
      <c r="V24" s="1546"/>
      <c r="W24" s="1546"/>
      <c r="X24" s="1546"/>
      <c r="Y24" s="1546"/>
      <c r="Z24" s="1546"/>
      <c r="AA24" s="1546" t="s">
        <v>2929</v>
      </c>
      <c r="AB24" s="1546"/>
      <c r="AC24" s="1546"/>
      <c r="AD24" s="1546"/>
      <c r="AE24" s="1546"/>
      <c r="AF24" s="1546"/>
      <c r="AG24" s="1546"/>
      <c r="AH24" s="1546"/>
      <c r="AI24" s="1546"/>
      <c r="AJ24" s="1546"/>
      <c r="AK24" s="1546"/>
      <c r="AL24" s="1546"/>
      <c r="AM24" s="1546"/>
      <c r="AN24" s="1546"/>
      <c r="AO24" s="1546"/>
      <c r="AP24" s="1546"/>
      <c r="AQ24" s="1546"/>
      <c r="AR24" s="1546"/>
      <c r="AS24" s="1546"/>
      <c r="AT24" s="1546"/>
      <c r="AU24" s="1546"/>
      <c r="AV24" s="1546"/>
      <c r="AW24" s="1546"/>
      <c r="AX24" s="1546"/>
      <c r="AY24" s="1546"/>
      <c r="AZ24" s="1546"/>
      <c r="BA24" s="885"/>
      <c r="BB24" s="885"/>
      <c r="BC24" s="886"/>
      <c r="BD24" s="885"/>
      <c r="BE24" s="885"/>
      <c r="BF24" s="886"/>
      <c r="BG24" s="885"/>
      <c r="BH24" s="885"/>
      <c r="BI24" s="885"/>
      <c r="BJ24" s="885"/>
      <c r="BK24" s="885"/>
      <c r="BL24" s="885"/>
      <c r="BM24" s="885"/>
      <c r="BN24" s="885"/>
      <c r="BO24" s="885"/>
      <c r="BP24" s="885"/>
      <c r="BQ24" s="885"/>
      <c r="BR24" s="887"/>
      <c r="BS24" s="887"/>
      <c r="BT24" s="887"/>
      <c r="BU24" s="800"/>
      <c r="BV24" s="800"/>
      <c r="BW24" s="800"/>
      <c r="BX24" s="800"/>
      <c r="BY24" s="800"/>
      <c r="BZ24" s="800"/>
      <c r="CA24" s="800"/>
      <c r="CB24" s="813"/>
      <c r="CC24" s="813"/>
    </row>
    <row r="25" spans="1:81" ht="7.5" customHeight="1">
      <c r="A25" s="1669"/>
      <c r="B25" s="1669"/>
      <c r="C25" s="1669"/>
      <c r="D25" s="1669"/>
      <c r="E25" s="1669"/>
      <c r="F25" s="1669"/>
      <c r="G25" s="1669"/>
      <c r="H25" s="1669"/>
      <c r="I25" s="1669"/>
      <c r="J25" s="1669"/>
      <c r="K25" s="1669"/>
      <c r="L25" s="1669"/>
      <c r="M25" s="1669"/>
      <c r="N25" s="1669"/>
      <c r="O25" s="1669"/>
      <c r="P25" s="1669"/>
      <c r="Q25" s="1669"/>
      <c r="R25" s="1669"/>
      <c r="S25" s="1669"/>
      <c r="T25" s="1669"/>
      <c r="U25" s="1669"/>
      <c r="V25" s="1669"/>
      <c r="W25" s="1669"/>
      <c r="X25" s="1669"/>
      <c r="Y25" s="1669"/>
      <c r="Z25" s="1669"/>
      <c r="AA25" s="1669"/>
      <c r="AB25" s="1669"/>
      <c r="AC25" s="1669"/>
      <c r="AD25" s="1669"/>
      <c r="AE25" s="1669"/>
      <c r="AF25" s="1669"/>
      <c r="AG25" s="1669"/>
      <c r="AH25" s="1669"/>
      <c r="AI25" s="1669"/>
      <c r="AJ25" s="1669"/>
      <c r="AK25" s="1669"/>
      <c r="AL25" s="1669"/>
      <c r="AM25" s="1669"/>
      <c r="AN25" s="1669"/>
      <c r="AO25" s="1669"/>
      <c r="AP25" s="1669"/>
      <c r="AQ25" s="1669"/>
      <c r="AR25" s="1669"/>
      <c r="AS25" s="1669"/>
      <c r="AT25" s="1669"/>
      <c r="AU25" s="1669"/>
      <c r="AV25" s="1669"/>
      <c r="AW25" s="1669"/>
      <c r="AX25" s="1669"/>
      <c r="AY25" s="1669"/>
      <c r="AZ25" s="1669"/>
      <c r="BA25" s="885"/>
      <c r="BB25" s="885"/>
      <c r="BC25" s="886"/>
      <c r="BD25" s="885"/>
      <c r="BE25" s="885"/>
      <c r="BF25" s="886"/>
      <c r="BG25" s="885"/>
      <c r="BH25" s="885"/>
      <c r="BI25" s="885"/>
      <c r="BJ25" s="885"/>
      <c r="BK25" s="885"/>
      <c r="BL25" s="885"/>
      <c r="BM25" s="885"/>
      <c r="BN25" s="885"/>
      <c r="BO25" s="885"/>
      <c r="BP25" s="885"/>
      <c r="BQ25" s="885"/>
      <c r="BR25" s="887"/>
      <c r="BS25" s="887"/>
      <c r="BT25" s="887"/>
      <c r="BU25" s="800"/>
      <c r="BV25" s="800"/>
      <c r="BW25" s="800"/>
      <c r="BX25" s="800"/>
      <c r="BY25" s="800"/>
      <c r="BZ25" s="800"/>
      <c r="CA25" s="800"/>
      <c r="CB25" s="813"/>
      <c r="CC25" s="813"/>
    </row>
    <row r="26" spans="1:81" ht="13.5" customHeight="1" thickBot="1">
      <c r="A26" s="1670" t="s">
        <v>108</v>
      </c>
      <c r="B26" s="1670"/>
      <c r="C26" s="1596" t="s">
        <v>109</v>
      </c>
      <c r="D26" s="1597"/>
      <c r="E26" s="1598"/>
      <c r="F26" s="1596" t="s">
        <v>390</v>
      </c>
      <c r="G26" s="1597"/>
      <c r="H26" s="1596" t="s">
        <v>391</v>
      </c>
      <c r="I26" s="1597"/>
      <c r="J26" s="1597"/>
      <c r="K26" s="1597"/>
      <c r="L26" s="1597"/>
      <c r="M26" s="1598"/>
      <c r="N26" s="1622" t="s">
        <v>110</v>
      </c>
      <c r="O26" s="1623"/>
      <c r="P26" s="1623"/>
      <c r="Q26" s="1623"/>
      <c r="R26" s="1597"/>
      <c r="S26" s="1598"/>
      <c r="T26" s="1625" t="s">
        <v>111</v>
      </c>
      <c r="U26" s="1596" t="s">
        <v>112</v>
      </c>
      <c r="V26" s="1597"/>
      <c r="W26" s="1597"/>
      <c r="X26" s="1597"/>
      <c r="Y26" s="1597"/>
      <c r="Z26" s="1598"/>
      <c r="AA26" s="1596" t="s">
        <v>108</v>
      </c>
      <c r="AB26" s="1598"/>
      <c r="AC26" s="1596" t="s">
        <v>109</v>
      </c>
      <c r="AD26" s="1597"/>
      <c r="AE26" s="1598"/>
      <c r="AF26" s="1596" t="s">
        <v>390</v>
      </c>
      <c r="AG26" s="1598"/>
      <c r="AH26" s="1596" t="s">
        <v>391</v>
      </c>
      <c r="AI26" s="1597"/>
      <c r="AJ26" s="1597"/>
      <c r="AK26" s="1598"/>
      <c r="AL26" s="1622" t="s">
        <v>110</v>
      </c>
      <c r="AM26" s="1623"/>
      <c r="AN26" s="1623"/>
      <c r="AO26" s="1623"/>
      <c r="AP26" s="1623"/>
      <c r="AQ26" s="1668"/>
      <c r="AR26" s="1625" t="s">
        <v>111</v>
      </c>
      <c r="AS26" s="1596" t="s">
        <v>112</v>
      </c>
      <c r="AT26" s="1597"/>
      <c r="AU26" s="1597"/>
      <c r="AV26" s="1597"/>
      <c r="AW26" s="1597"/>
      <c r="AX26" s="1597"/>
      <c r="AY26" s="1597"/>
      <c r="AZ26" s="1597"/>
      <c r="BA26" s="885"/>
      <c r="BB26" s="885"/>
      <c r="BC26" s="886"/>
      <c r="BD26" s="885"/>
      <c r="BE26" s="885"/>
      <c r="BF26" s="886"/>
      <c r="BG26" s="885"/>
      <c r="BH26" s="885"/>
      <c r="BI26" s="885"/>
      <c r="BJ26" s="885"/>
      <c r="BK26" s="885"/>
      <c r="BL26" s="885"/>
      <c r="BM26" s="885"/>
      <c r="BN26" s="885"/>
      <c r="BO26" s="885"/>
      <c r="BP26" s="885"/>
      <c r="BQ26" s="885"/>
      <c r="BR26" s="887"/>
      <c r="BS26" s="887"/>
      <c r="BT26" s="887"/>
      <c r="BU26" s="800"/>
      <c r="BV26" s="800"/>
      <c r="BW26" s="800"/>
      <c r="BX26" s="800"/>
      <c r="BY26" s="800"/>
      <c r="BZ26" s="800"/>
      <c r="CA26" s="800"/>
      <c r="CB26" s="813"/>
      <c r="CC26" s="813"/>
    </row>
    <row r="27" spans="1:81" ht="13.5" customHeight="1">
      <c r="A27" s="1670"/>
      <c r="B27" s="1670"/>
      <c r="C27" s="1599"/>
      <c r="D27" s="1600"/>
      <c r="E27" s="1601"/>
      <c r="F27" s="1599"/>
      <c r="G27" s="1600"/>
      <c r="H27" s="1599"/>
      <c r="I27" s="1600"/>
      <c r="J27" s="1600"/>
      <c r="K27" s="1600"/>
      <c r="L27" s="1600"/>
      <c r="M27" s="1601"/>
      <c r="N27" s="1616" t="s">
        <v>116</v>
      </c>
      <c r="O27" s="1617"/>
      <c r="P27" s="1616" t="s">
        <v>117</v>
      </c>
      <c r="Q27" s="1620"/>
      <c r="R27" s="1612" t="s">
        <v>118</v>
      </c>
      <c r="S27" s="1613"/>
      <c r="T27" s="1672"/>
      <c r="U27" s="1599"/>
      <c r="V27" s="1600"/>
      <c r="W27" s="1600"/>
      <c r="X27" s="1600"/>
      <c r="Y27" s="1600"/>
      <c r="Z27" s="1601"/>
      <c r="AA27" s="1599"/>
      <c r="AB27" s="1601"/>
      <c r="AC27" s="1599"/>
      <c r="AD27" s="1600"/>
      <c r="AE27" s="1601"/>
      <c r="AF27" s="1599"/>
      <c r="AG27" s="1601"/>
      <c r="AH27" s="1599"/>
      <c r="AI27" s="1600"/>
      <c r="AJ27" s="1600"/>
      <c r="AK27" s="1601"/>
      <c r="AL27" s="1616" t="s">
        <v>116</v>
      </c>
      <c r="AM27" s="1617"/>
      <c r="AN27" s="1616" t="s">
        <v>117</v>
      </c>
      <c r="AO27" s="1617"/>
      <c r="AP27" s="1616" t="s">
        <v>118</v>
      </c>
      <c r="AQ27" s="1617"/>
      <c r="AR27" s="1666"/>
      <c r="AS27" s="1599"/>
      <c r="AT27" s="1600"/>
      <c r="AU27" s="1600"/>
      <c r="AV27" s="1600"/>
      <c r="AW27" s="1600"/>
      <c r="AX27" s="1600"/>
      <c r="AY27" s="1600"/>
      <c r="AZ27" s="1600"/>
      <c r="BA27" s="885"/>
      <c r="BB27" s="885"/>
      <c r="BC27" s="886"/>
      <c r="BD27" s="885"/>
      <c r="BE27" s="885"/>
      <c r="BF27" s="886"/>
      <c r="BG27" s="885"/>
      <c r="BH27" s="885"/>
      <c r="BI27" s="885"/>
      <c r="BJ27" s="885"/>
      <c r="BK27" s="885"/>
      <c r="BL27" s="885"/>
      <c r="BM27" s="885"/>
      <c r="BN27" s="885"/>
      <c r="BO27" s="885"/>
      <c r="BP27" s="885"/>
      <c r="BQ27" s="885"/>
      <c r="BR27" s="887"/>
      <c r="BS27" s="887"/>
      <c r="BT27" s="887"/>
      <c r="BU27" s="800"/>
      <c r="BV27" s="800"/>
      <c r="BW27" s="800"/>
      <c r="BX27" s="800"/>
      <c r="BY27" s="800"/>
      <c r="BZ27" s="800"/>
      <c r="CA27" s="800"/>
      <c r="CB27" s="813"/>
      <c r="CC27" s="813"/>
    </row>
    <row r="28" spans="1:81" ht="13.5" customHeight="1" thickBot="1">
      <c r="A28" s="1671"/>
      <c r="B28" s="1671"/>
      <c r="C28" s="1602"/>
      <c r="D28" s="1603"/>
      <c r="E28" s="1604"/>
      <c r="F28" s="1602"/>
      <c r="G28" s="1603"/>
      <c r="H28" s="1602"/>
      <c r="I28" s="1603"/>
      <c r="J28" s="1603"/>
      <c r="K28" s="1603"/>
      <c r="L28" s="1603"/>
      <c r="M28" s="1604"/>
      <c r="N28" s="1618"/>
      <c r="O28" s="1619"/>
      <c r="P28" s="1618"/>
      <c r="Q28" s="1621"/>
      <c r="R28" s="1614"/>
      <c r="S28" s="1615"/>
      <c r="T28" s="1673"/>
      <c r="U28" s="1599"/>
      <c r="V28" s="1600"/>
      <c r="W28" s="1600"/>
      <c r="X28" s="1600"/>
      <c r="Y28" s="1600"/>
      <c r="Z28" s="1601"/>
      <c r="AA28" s="1602"/>
      <c r="AB28" s="1604"/>
      <c r="AC28" s="1602"/>
      <c r="AD28" s="1603"/>
      <c r="AE28" s="1604"/>
      <c r="AF28" s="1602"/>
      <c r="AG28" s="1604"/>
      <c r="AH28" s="1602"/>
      <c r="AI28" s="1603"/>
      <c r="AJ28" s="1603"/>
      <c r="AK28" s="1604"/>
      <c r="AL28" s="1618"/>
      <c r="AM28" s="1619"/>
      <c r="AN28" s="1618"/>
      <c r="AO28" s="1619"/>
      <c r="AP28" s="1618"/>
      <c r="AQ28" s="1619"/>
      <c r="AR28" s="1667"/>
      <c r="AS28" s="1602"/>
      <c r="AT28" s="1603"/>
      <c r="AU28" s="1603"/>
      <c r="AV28" s="1603"/>
      <c r="AW28" s="1603"/>
      <c r="AX28" s="1603"/>
      <c r="AY28" s="1603"/>
      <c r="AZ28" s="1603"/>
      <c r="BA28" s="885"/>
      <c r="BB28" s="888" t="s">
        <v>323</v>
      </c>
      <c r="BC28" s="889" t="s">
        <v>324</v>
      </c>
      <c r="BD28" s="888"/>
      <c r="BE28" s="888" t="s">
        <v>325</v>
      </c>
      <c r="BF28" s="889" t="s">
        <v>326</v>
      </c>
      <c r="BG28" s="888" t="s">
        <v>327</v>
      </c>
      <c r="BH28" s="888" t="s">
        <v>328</v>
      </c>
      <c r="BI28" s="888" t="s">
        <v>329</v>
      </c>
      <c r="BJ28" s="888" t="s">
        <v>330</v>
      </c>
      <c r="BK28" s="889" t="s">
        <v>324</v>
      </c>
      <c r="BL28" s="885"/>
      <c r="BM28" s="885"/>
      <c r="BN28" s="885"/>
      <c r="BO28" s="885"/>
      <c r="BP28" s="885"/>
      <c r="BQ28" s="885"/>
      <c r="BR28" s="887"/>
      <c r="BS28" s="887"/>
      <c r="BT28" s="887"/>
      <c r="BU28" s="800"/>
      <c r="BV28" s="800"/>
      <c r="BW28" s="800"/>
      <c r="BX28" s="800"/>
      <c r="BY28" s="800"/>
      <c r="BZ28" s="800"/>
      <c r="CA28" s="800"/>
      <c r="CB28" s="813"/>
      <c r="CC28" s="813"/>
    </row>
    <row r="29" spans="1:81" ht="31.5" customHeight="1">
      <c r="A29" s="794"/>
      <c r="B29" s="795" t="s">
        <v>421</v>
      </c>
      <c r="C29" s="1605"/>
      <c r="D29" s="1606"/>
      <c r="E29" s="1607"/>
      <c r="F29" s="1611"/>
      <c r="G29" s="1611"/>
      <c r="H29" s="1608"/>
      <c r="I29" s="1609"/>
      <c r="J29" s="1609"/>
      <c r="K29" s="1609"/>
      <c r="L29" s="1609"/>
      <c r="M29" s="1610"/>
      <c r="N29" s="1681"/>
      <c r="O29" s="1682"/>
      <c r="P29" s="1681"/>
      <c r="Q29" s="1683"/>
      <c r="R29" s="1679">
        <f>SUM(L29:Q29)</f>
        <v>0</v>
      </c>
      <c r="S29" s="1684"/>
      <c r="T29" s="787"/>
      <c r="U29" s="1685"/>
      <c r="V29" s="1686"/>
      <c r="W29" s="1686"/>
      <c r="X29" s="1686"/>
      <c r="Y29" s="1686"/>
      <c r="Z29" s="1687"/>
      <c r="AA29" s="791">
        <v>8</v>
      </c>
      <c r="AB29" s="597" t="s">
        <v>14</v>
      </c>
      <c r="AC29" s="1688" t="s">
        <v>388</v>
      </c>
      <c r="AD29" s="1689"/>
      <c r="AE29" s="1690"/>
      <c r="AF29" s="1691" t="s">
        <v>478</v>
      </c>
      <c r="AG29" s="1692"/>
      <c r="AH29" s="1691" t="s">
        <v>3081</v>
      </c>
      <c r="AI29" s="1693"/>
      <c r="AJ29" s="1693"/>
      <c r="AK29" s="1692"/>
      <c r="AL29" s="1676">
        <v>100</v>
      </c>
      <c r="AM29" s="1677"/>
      <c r="AN29" s="1676">
        <v>11</v>
      </c>
      <c r="AO29" s="1678"/>
      <c r="AP29" s="1679">
        <f>SUM(AJ29:AO29)</f>
        <v>111</v>
      </c>
      <c r="AQ29" s="1680"/>
      <c r="AR29" s="598"/>
      <c r="AS29" s="1727"/>
      <c r="AT29" s="1728"/>
      <c r="AU29" s="1728"/>
      <c r="AV29" s="1728"/>
      <c r="AW29" s="1728"/>
      <c r="AX29" s="1728"/>
      <c r="AY29" s="1728"/>
      <c r="AZ29" s="1728"/>
      <c r="BA29" s="885"/>
      <c r="BB29" s="888">
        <f>IF(F29="炊事",1,0)</f>
        <v>0</v>
      </c>
      <c r="BC29" s="889">
        <f>12*BB29</f>
        <v>0</v>
      </c>
      <c r="BD29" s="888"/>
      <c r="BE29" s="888">
        <f t="shared" ref="BE29:BE39" si="0">INDEX(A$29:A$40,MATCH($BK29,$BC$29:$BC$40,0))</f>
        <v>0</v>
      </c>
      <c r="BF29" s="888">
        <f t="shared" ref="BF29:BF39" si="1">INDEX(C$29:C$40,MATCH($BK29,$BC$29:$BC$40,0))</f>
        <v>0</v>
      </c>
      <c r="BG29" s="888">
        <f t="shared" ref="BG29:BG39" si="2">INDEX(D$29:D$40,MATCH($BK29,$BC$29:$BC$40,0))</f>
        <v>0</v>
      </c>
      <c r="BH29" s="888">
        <f t="shared" ref="BH29:BH39" si="3">INDEX(E$29:E$40,MATCH($BK29,$BC$29:$BC$40,0))</f>
        <v>0</v>
      </c>
      <c r="BI29" s="888">
        <f t="shared" ref="BI29:BI39" si="4">INDEX(H$29:H$40,MATCH($BK29,$BC$29:$BC$40,0))</f>
        <v>0</v>
      </c>
      <c r="BJ29" s="888">
        <f t="shared" ref="BJ29:BJ39" si="5">INDEX(R$29:R$40,MATCH($BK29,$BC$29:$BC$40,0))</f>
        <v>0</v>
      </c>
      <c r="BK29" s="888">
        <f t="shared" ref="BK29:BK40" si="6">LARGE($BC$29:$BC$40,ROW(A1))</f>
        <v>0</v>
      </c>
      <c r="BL29" s="890"/>
      <c r="BM29" s="1675"/>
      <c r="BN29" s="1675"/>
      <c r="BO29" s="891"/>
      <c r="BP29" s="1675"/>
      <c r="BQ29" s="1675"/>
      <c r="BR29" s="892"/>
      <c r="BS29" s="887"/>
      <c r="BT29" s="887"/>
      <c r="BU29" s="800"/>
      <c r="BV29" s="800"/>
      <c r="BW29" s="800"/>
      <c r="BX29" s="800"/>
      <c r="BY29" s="800"/>
      <c r="BZ29" s="800"/>
      <c r="CA29" s="800"/>
      <c r="CB29" s="813"/>
      <c r="CC29" s="813"/>
    </row>
    <row r="30" spans="1:81" ht="31.5" customHeight="1">
      <c r="A30" s="636"/>
      <c r="B30" s="246" t="s">
        <v>378</v>
      </c>
      <c r="C30" s="1580"/>
      <c r="D30" s="1581"/>
      <c r="E30" s="1582"/>
      <c r="F30" s="1576"/>
      <c r="G30" s="1576"/>
      <c r="H30" s="1593"/>
      <c r="I30" s="1594"/>
      <c r="J30" s="1594"/>
      <c r="K30" s="1594"/>
      <c r="L30" s="1594"/>
      <c r="M30" s="1595"/>
      <c r="N30" s="1580"/>
      <c r="O30" s="1582"/>
      <c r="P30" s="1576"/>
      <c r="Q30" s="1577"/>
      <c r="R30" s="1578">
        <f>SUM(L30:Q30)</f>
        <v>0</v>
      </c>
      <c r="S30" s="1579"/>
      <c r="T30" s="596"/>
      <c r="U30" s="1586"/>
      <c r="V30" s="1587"/>
      <c r="W30" s="1587"/>
      <c r="X30" s="1587"/>
      <c r="Y30" s="1587"/>
      <c r="Z30" s="1588"/>
      <c r="AA30" s="792">
        <f>AA29</f>
        <v>8</v>
      </c>
      <c r="AB30" s="599" t="s">
        <v>14</v>
      </c>
      <c r="AC30" s="1590" t="s">
        <v>389</v>
      </c>
      <c r="AD30" s="1591"/>
      <c r="AE30" s="1592"/>
      <c r="AF30" s="1584" t="s">
        <v>479</v>
      </c>
      <c r="AG30" s="1585"/>
      <c r="AH30" s="1584" t="s">
        <v>2838</v>
      </c>
      <c r="AI30" s="1589"/>
      <c r="AJ30" s="1589"/>
      <c r="AK30" s="1585"/>
      <c r="AL30" s="1694">
        <v>100</v>
      </c>
      <c r="AM30" s="1695"/>
      <c r="AN30" s="1694">
        <v>10</v>
      </c>
      <c r="AO30" s="1696"/>
      <c r="AP30" s="1578">
        <f>SUM(AJ30:AO30)</f>
        <v>110</v>
      </c>
      <c r="AQ30" s="1583"/>
      <c r="AR30" s="600"/>
      <c r="AS30" s="1700"/>
      <c r="AT30" s="1701"/>
      <c r="AU30" s="1701"/>
      <c r="AV30" s="1701"/>
      <c r="AW30" s="1701"/>
      <c r="AX30" s="1701"/>
      <c r="AY30" s="1701"/>
      <c r="AZ30" s="1701"/>
      <c r="BA30" s="885"/>
      <c r="BB30" s="888">
        <f t="shared" ref="BB30:BB40" si="7">IF(F30="炊事",1,0)</f>
        <v>0</v>
      </c>
      <c r="BC30" s="889">
        <f>11*BB30</f>
        <v>0</v>
      </c>
      <c r="BD30" s="888"/>
      <c r="BE30" s="888">
        <f t="shared" si="0"/>
        <v>0</v>
      </c>
      <c r="BF30" s="888">
        <f t="shared" si="1"/>
        <v>0</v>
      </c>
      <c r="BG30" s="888">
        <f t="shared" si="2"/>
        <v>0</v>
      </c>
      <c r="BH30" s="888">
        <f t="shared" si="3"/>
        <v>0</v>
      </c>
      <c r="BI30" s="888">
        <f t="shared" si="4"/>
        <v>0</v>
      </c>
      <c r="BJ30" s="888">
        <f t="shared" si="5"/>
        <v>0</v>
      </c>
      <c r="BK30" s="888">
        <f t="shared" si="6"/>
        <v>0</v>
      </c>
      <c r="BL30" s="890"/>
      <c r="BM30" s="1675"/>
      <c r="BN30" s="1675"/>
      <c r="BO30" s="891"/>
      <c r="BP30" s="1675"/>
      <c r="BQ30" s="1675"/>
      <c r="BR30" s="892"/>
      <c r="BS30" s="887"/>
      <c r="BT30" s="887"/>
      <c r="BU30" s="800"/>
      <c r="BV30" s="800"/>
      <c r="BW30" s="800"/>
      <c r="BX30" s="800"/>
      <c r="BY30" s="800"/>
      <c r="BZ30" s="800"/>
      <c r="CA30" s="800"/>
      <c r="CB30" s="813"/>
      <c r="CC30" s="813"/>
    </row>
    <row r="31" spans="1:81" ht="31.5" customHeight="1">
      <c r="A31" s="636"/>
      <c r="B31" s="246" t="s">
        <v>378</v>
      </c>
      <c r="C31" s="1580"/>
      <c r="D31" s="1581"/>
      <c r="E31" s="1582"/>
      <c r="F31" s="1576"/>
      <c r="G31" s="1576"/>
      <c r="H31" s="1593"/>
      <c r="I31" s="1594"/>
      <c r="J31" s="1594"/>
      <c r="K31" s="1594"/>
      <c r="L31" s="1594"/>
      <c r="M31" s="1595"/>
      <c r="N31" s="1576"/>
      <c r="O31" s="1576"/>
      <c r="P31" s="1576"/>
      <c r="Q31" s="1577"/>
      <c r="R31" s="1578">
        <f>SUM(L31:Q31)</f>
        <v>0</v>
      </c>
      <c r="S31" s="1579"/>
      <c r="T31" s="596"/>
      <c r="U31" s="1586"/>
      <c r="V31" s="1587"/>
      <c r="W31" s="1587"/>
      <c r="X31" s="1587"/>
      <c r="Y31" s="1587"/>
      <c r="Z31" s="1588"/>
      <c r="AA31" s="793">
        <v>9</v>
      </c>
      <c r="AB31" s="599" t="s">
        <v>14</v>
      </c>
      <c r="AC31" s="1590" t="s">
        <v>2839</v>
      </c>
      <c r="AD31" s="1591"/>
      <c r="AE31" s="1592"/>
      <c r="AF31" s="1584" t="s">
        <v>2840</v>
      </c>
      <c r="AG31" s="1585"/>
      <c r="AH31" s="1584" t="s">
        <v>2838</v>
      </c>
      <c r="AI31" s="1589"/>
      <c r="AJ31" s="1589"/>
      <c r="AK31" s="1585"/>
      <c r="AL31" s="1694">
        <v>100</v>
      </c>
      <c r="AM31" s="1695"/>
      <c r="AN31" s="1694">
        <v>10</v>
      </c>
      <c r="AO31" s="1696"/>
      <c r="AP31" s="1578">
        <f>SUM(AJ31:AO31)</f>
        <v>110</v>
      </c>
      <c r="AQ31" s="1583"/>
      <c r="AR31" s="600"/>
      <c r="AS31" s="1700"/>
      <c r="AT31" s="1701"/>
      <c r="AU31" s="1701"/>
      <c r="AV31" s="1701"/>
      <c r="AW31" s="1701"/>
      <c r="AX31" s="1701"/>
      <c r="AY31" s="1701"/>
      <c r="AZ31" s="1701"/>
      <c r="BA31" s="885"/>
      <c r="BB31" s="888">
        <f t="shared" si="7"/>
        <v>0</v>
      </c>
      <c r="BC31" s="889">
        <f>10*BB31</f>
        <v>0</v>
      </c>
      <c r="BD31" s="888"/>
      <c r="BE31" s="888">
        <f t="shared" si="0"/>
        <v>0</v>
      </c>
      <c r="BF31" s="888">
        <f t="shared" si="1"/>
        <v>0</v>
      </c>
      <c r="BG31" s="888">
        <f t="shared" si="2"/>
        <v>0</v>
      </c>
      <c r="BH31" s="888">
        <f t="shared" si="3"/>
        <v>0</v>
      </c>
      <c r="BI31" s="888">
        <f t="shared" si="4"/>
        <v>0</v>
      </c>
      <c r="BJ31" s="888">
        <f t="shared" si="5"/>
        <v>0</v>
      </c>
      <c r="BK31" s="888">
        <f t="shared" si="6"/>
        <v>0</v>
      </c>
      <c r="BL31" s="890"/>
      <c r="BM31" s="1675"/>
      <c r="BN31" s="1675"/>
      <c r="BO31" s="891"/>
      <c r="BP31" s="1675"/>
      <c r="BQ31" s="1675"/>
      <c r="BR31" s="892"/>
      <c r="BS31" s="887"/>
      <c r="BT31" s="887"/>
      <c r="BU31" s="800"/>
      <c r="BV31" s="800"/>
      <c r="BW31" s="800"/>
      <c r="BX31" s="800"/>
      <c r="BY31" s="800"/>
      <c r="BZ31" s="800"/>
      <c r="CA31" s="800"/>
      <c r="CB31" s="813"/>
      <c r="CC31" s="813"/>
    </row>
    <row r="32" spans="1:81" ht="31.5" customHeight="1">
      <c r="A32" s="636"/>
      <c r="B32" s="246" t="s">
        <v>378</v>
      </c>
      <c r="C32" s="1580"/>
      <c r="D32" s="1581"/>
      <c r="E32" s="1582"/>
      <c r="F32" s="1576"/>
      <c r="G32" s="1576"/>
      <c r="H32" s="1593"/>
      <c r="I32" s="1594"/>
      <c r="J32" s="1594"/>
      <c r="K32" s="1594"/>
      <c r="L32" s="1594"/>
      <c r="M32" s="1595"/>
      <c r="N32" s="1576"/>
      <c r="O32" s="1576"/>
      <c r="P32" s="1576"/>
      <c r="Q32" s="1577"/>
      <c r="R32" s="1578">
        <f>SUM(L32:Q32)</f>
        <v>0</v>
      </c>
      <c r="S32" s="1579"/>
      <c r="T32" s="596"/>
      <c r="U32" s="1586"/>
      <c r="V32" s="1587"/>
      <c r="W32" s="1587"/>
      <c r="X32" s="1587"/>
      <c r="Y32" s="1587"/>
      <c r="Z32" s="1588"/>
      <c r="AA32" s="793">
        <v>9</v>
      </c>
      <c r="AB32" s="599" t="s">
        <v>14</v>
      </c>
      <c r="AC32" s="1590" t="s">
        <v>388</v>
      </c>
      <c r="AD32" s="1591"/>
      <c r="AE32" s="1592"/>
      <c r="AF32" s="1584" t="s">
        <v>2841</v>
      </c>
      <c r="AG32" s="1585"/>
      <c r="AH32" s="1584" t="s">
        <v>2923</v>
      </c>
      <c r="AI32" s="1589"/>
      <c r="AJ32" s="1589"/>
      <c r="AK32" s="1585"/>
      <c r="AL32" s="1694">
        <v>90</v>
      </c>
      <c r="AM32" s="1695"/>
      <c r="AN32" s="1694">
        <v>10</v>
      </c>
      <c r="AO32" s="1696"/>
      <c r="AP32" s="1578">
        <f>SUM(AJ32:AO32)</f>
        <v>100</v>
      </c>
      <c r="AQ32" s="1583"/>
      <c r="AR32" s="600" t="s">
        <v>2842</v>
      </c>
      <c r="AS32" s="1729" t="s">
        <v>2843</v>
      </c>
      <c r="AT32" s="1730"/>
      <c r="AU32" s="1730"/>
      <c r="AV32" s="1730"/>
      <c r="AW32" s="1730"/>
      <c r="AX32" s="1730"/>
      <c r="AY32" s="1730"/>
      <c r="AZ32" s="1730"/>
      <c r="BA32" s="885"/>
      <c r="BB32" s="888">
        <f t="shared" si="7"/>
        <v>0</v>
      </c>
      <c r="BC32" s="889">
        <f>9*BB32</f>
        <v>0</v>
      </c>
      <c r="BD32" s="889"/>
      <c r="BE32" s="888">
        <f t="shared" si="0"/>
        <v>0</v>
      </c>
      <c r="BF32" s="888">
        <f t="shared" si="1"/>
        <v>0</v>
      </c>
      <c r="BG32" s="888">
        <f t="shared" si="2"/>
        <v>0</v>
      </c>
      <c r="BH32" s="888">
        <f t="shared" si="3"/>
        <v>0</v>
      </c>
      <c r="BI32" s="888">
        <f t="shared" si="4"/>
        <v>0</v>
      </c>
      <c r="BJ32" s="888">
        <f t="shared" si="5"/>
        <v>0</v>
      </c>
      <c r="BK32" s="888">
        <f t="shared" si="6"/>
        <v>0</v>
      </c>
      <c r="BL32" s="890"/>
      <c r="BM32" s="1675"/>
      <c r="BN32" s="1675"/>
      <c r="BO32" s="891"/>
      <c r="BP32" s="1675"/>
      <c r="BQ32" s="1675"/>
      <c r="BR32" s="892"/>
      <c r="BS32" s="887"/>
      <c r="BT32" s="887"/>
      <c r="BU32" s="800"/>
      <c r="BV32" s="800"/>
      <c r="BW32" s="800"/>
      <c r="BX32" s="800"/>
      <c r="BY32" s="800"/>
      <c r="BZ32" s="800"/>
      <c r="CA32" s="800"/>
      <c r="CB32" s="813"/>
      <c r="CC32" s="813"/>
    </row>
    <row r="33" spans="1:81" ht="31.5" customHeight="1">
      <c r="A33" s="636"/>
      <c r="B33" s="246" t="s">
        <v>378</v>
      </c>
      <c r="C33" s="1580"/>
      <c r="D33" s="1581"/>
      <c r="E33" s="1582"/>
      <c r="F33" s="1576"/>
      <c r="G33" s="1576"/>
      <c r="H33" s="1593"/>
      <c r="I33" s="1594"/>
      <c r="J33" s="1594"/>
      <c r="K33" s="1594"/>
      <c r="L33" s="1594"/>
      <c r="M33" s="1595"/>
      <c r="N33" s="1576"/>
      <c r="O33" s="1576"/>
      <c r="P33" s="1576"/>
      <c r="Q33" s="1577"/>
      <c r="R33" s="1578">
        <f t="shared" ref="R33:R40" si="8">SUM(L33:Q33)</f>
        <v>0</v>
      </c>
      <c r="S33" s="1579"/>
      <c r="T33" s="596"/>
      <c r="U33" s="1586"/>
      <c r="V33" s="1587"/>
      <c r="W33" s="1587"/>
      <c r="X33" s="1587"/>
      <c r="Y33" s="1587"/>
      <c r="Z33" s="1588"/>
      <c r="AA33" s="793">
        <v>9</v>
      </c>
      <c r="AB33" s="599" t="s">
        <v>14</v>
      </c>
      <c r="AC33" s="1590" t="s">
        <v>388</v>
      </c>
      <c r="AD33" s="1591"/>
      <c r="AE33" s="1592"/>
      <c r="AF33" s="1584" t="s">
        <v>2841</v>
      </c>
      <c r="AG33" s="1585"/>
      <c r="AH33" s="1584" t="s">
        <v>2924</v>
      </c>
      <c r="AI33" s="1589"/>
      <c r="AJ33" s="1589"/>
      <c r="AK33" s="1585"/>
      <c r="AL33" s="1694">
        <v>10</v>
      </c>
      <c r="AM33" s="1695"/>
      <c r="AN33" s="1694"/>
      <c r="AO33" s="1696"/>
      <c r="AP33" s="1578">
        <f t="shared" ref="AP33:AP40" si="9">SUM(AJ33:AO33)</f>
        <v>10</v>
      </c>
      <c r="AQ33" s="1583"/>
      <c r="AR33" s="600" t="s">
        <v>2842</v>
      </c>
      <c r="AS33" s="1700" t="s">
        <v>2844</v>
      </c>
      <c r="AT33" s="1701"/>
      <c r="AU33" s="1701"/>
      <c r="AV33" s="1701"/>
      <c r="AW33" s="1701"/>
      <c r="AX33" s="1701"/>
      <c r="AY33" s="1701"/>
      <c r="AZ33" s="1701"/>
      <c r="BA33" s="885"/>
      <c r="BB33" s="888">
        <f t="shared" si="7"/>
        <v>0</v>
      </c>
      <c r="BC33" s="889">
        <f>8*BB33</f>
        <v>0</v>
      </c>
      <c r="BD33" s="889"/>
      <c r="BE33" s="888">
        <f t="shared" si="0"/>
        <v>0</v>
      </c>
      <c r="BF33" s="888">
        <f t="shared" si="1"/>
        <v>0</v>
      </c>
      <c r="BG33" s="888">
        <f t="shared" si="2"/>
        <v>0</v>
      </c>
      <c r="BH33" s="888">
        <f t="shared" si="3"/>
        <v>0</v>
      </c>
      <c r="BI33" s="888">
        <f t="shared" si="4"/>
        <v>0</v>
      </c>
      <c r="BJ33" s="888">
        <f t="shared" si="5"/>
        <v>0</v>
      </c>
      <c r="BK33" s="888">
        <f t="shared" si="6"/>
        <v>0</v>
      </c>
      <c r="BL33" s="890"/>
      <c r="BM33" s="1675"/>
      <c r="BN33" s="1675"/>
      <c r="BO33" s="891"/>
      <c r="BP33" s="1675"/>
      <c r="BQ33" s="1675"/>
      <c r="BR33" s="892"/>
      <c r="BS33" s="887"/>
      <c r="BT33" s="887"/>
      <c r="BU33" s="800"/>
      <c r="BV33" s="800"/>
      <c r="BW33" s="800"/>
      <c r="BX33" s="800"/>
      <c r="BY33" s="800"/>
      <c r="BZ33" s="800"/>
      <c r="CA33" s="800"/>
      <c r="CB33" s="813"/>
      <c r="CC33" s="813"/>
    </row>
    <row r="34" spans="1:81" ht="31.5" customHeight="1">
      <c r="A34" s="636"/>
      <c r="B34" s="246" t="s">
        <v>378</v>
      </c>
      <c r="C34" s="1580"/>
      <c r="D34" s="1581"/>
      <c r="E34" s="1582"/>
      <c r="F34" s="1576"/>
      <c r="G34" s="1576"/>
      <c r="H34" s="1593"/>
      <c r="I34" s="1594"/>
      <c r="J34" s="1594"/>
      <c r="K34" s="1594"/>
      <c r="L34" s="1594"/>
      <c r="M34" s="1595"/>
      <c r="N34" s="1576"/>
      <c r="O34" s="1576"/>
      <c r="P34" s="1576"/>
      <c r="Q34" s="1577"/>
      <c r="R34" s="1578">
        <f t="shared" si="8"/>
        <v>0</v>
      </c>
      <c r="S34" s="1579"/>
      <c r="T34" s="596"/>
      <c r="U34" s="1586"/>
      <c r="V34" s="1587"/>
      <c r="W34" s="1587"/>
      <c r="X34" s="1587"/>
      <c r="Y34" s="1587"/>
      <c r="Z34" s="1588"/>
      <c r="AA34" s="793">
        <v>9</v>
      </c>
      <c r="AB34" s="599" t="s">
        <v>14</v>
      </c>
      <c r="AC34" s="1590" t="s">
        <v>386</v>
      </c>
      <c r="AD34" s="1591"/>
      <c r="AE34" s="1592"/>
      <c r="AF34" s="1584" t="s">
        <v>2841</v>
      </c>
      <c r="AG34" s="1585"/>
      <c r="AH34" s="1697" t="s">
        <v>2925</v>
      </c>
      <c r="AI34" s="1698"/>
      <c r="AJ34" s="1698"/>
      <c r="AK34" s="1699"/>
      <c r="AL34" s="1694">
        <v>50</v>
      </c>
      <c r="AM34" s="1695"/>
      <c r="AN34" s="1694">
        <v>5</v>
      </c>
      <c r="AO34" s="1696"/>
      <c r="AP34" s="1578">
        <f t="shared" si="9"/>
        <v>55</v>
      </c>
      <c r="AQ34" s="1583"/>
      <c r="AR34" s="600"/>
      <c r="AS34" s="1700"/>
      <c r="AT34" s="1701"/>
      <c r="AU34" s="1701"/>
      <c r="AV34" s="1701"/>
      <c r="AW34" s="1701"/>
      <c r="AX34" s="1701"/>
      <c r="AY34" s="1701"/>
      <c r="AZ34" s="1701"/>
      <c r="BA34" s="885"/>
      <c r="BB34" s="888">
        <f t="shared" si="7"/>
        <v>0</v>
      </c>
      <c r="BC34" s="889">
        <f>7*BB34</f>
        <v>0</v>
      </c>
      <c r="BD34" s="889"/>
      <c r="BE34" s="888">
        <f t="shared" si="0"/>
        <v>0</v>
      </c>
      <c r="BF34" s="888">
        <f t="shared" si="1"/>
        <v>0</v>
      </c>
      <c r="BG34" s="888">
        <f t="shared" si="2"/>
        <v>0</v>
      </c>
      <c r="BH34" s="888">
        <f t="shared" si="3"/>
        <v>0</v>
      </c>
      <c r="BI34" s="888">
        <f t="shared" si="4"/>
        <v>0</v>
      </c>
      <c r="BJ34" s="888">
        <f t="shared" si="5"/>
        <v>0</v>
      </c>
      <c r="BK34" s="888">
        <f t="shared" si="6"/>
        <v>0</v>
      </c>
      <c r="BL34" s="890"/>
      <c r="BM34" s="1675"/>
      <c r="BN34" s="1675"/>
      <c r="BO34" s="891"/>
      <c r="BP34" s="1675"/>
      <c r="BQ34" s="1675"/>
      <c r="BR34" s="892"/>
      <c r="BS34" s="887"/>
      <c r="BT34" s="887"/>
      <c r="BU34" s="800"/>
      <c r="BV34" s="800"/>
      <c r="BW34" s="800"/>
      <c r="BX34" s="800"/>
      <c r="BY34" s="800"/>
      <c r="BZ34" s="800"/>
      <c r="CA34" s="800"/>
      <c r="CB34" s="813"/>
      <c r="CC34" s="813"/>
    </row>
    <row r="35" spans="1:81" ht="31.5" customHeight="1">
      <c r="A35" s="636"/>
      <c r="B35" s="246" t="s">
        <v>378</v>
      </c>
      <c r="C35" s="1580"/>
      <c r="D35" s="1581"/>
      <c r="E35" s="1582"/>
      <c r="F35" s="1576"/>
      <c r="G35" s="1576"/>
      <c r="H35" s="1593"/>
      <c r="I35" s="1594"/>
      <c r="J35" s="1594"/>
      <c r="K35" s="1594"/>
      <c r="L35" s="1594"/>
      <c r="M35" s="1595"/>
      <c r="N35" s="1576"/>
      <c r="O35" s="1576"/>
      <c r="P35" s="1576"/>
      <c r="Q35" s="1577"/>
      <c r="R35" s="1578">
        <f t="shared" si="8"/>
        <v>0</v>
      </c>
      <c r="S35" s="1579"/>
      <c r="T35" s="596"/>
      <c r="U35" s="1586"/>
      <c r="V35" s="1587"/>
      <c r="W35" s="1587"/>
      <c r="X35" s="1587"/>
      <c r="Y35" s="1587"/>
      <c r="Z35" s="1588"/>
      <c r="AA35" s="793">
        <v>9</v>
      </c>
      <c r="AB35" s="599" t="s">
        <v>14</v>
      </c>
      <c r="AC35" s="1590" t="s">
        <v>386</v>
      </c>
      <c r="AD35" s="1591"/>
      <c r="AE35" s="1592"/>
      <c r="AF35" s="1584" t="s">
        <v>2841</v>
      </c>
      <c r="AG35" s="1585"/>
      <c r="AH35" s="1697" t="s">
        <v>2926</v>
      </c>
      <c r="AI35" s="1698"/>
      <c r="AJ35" s="1698"/>
      <c r="AK35" s="1699"/>
      <c r="AL35" s="1694">
        <v>50</v>
      </c>
      <c r="AM35" s="1695"/>
      <c r="AN35" s="1694">
        <v>5</v>
      </c>
      <c r="AO35" s="1696"/>
      <c r="AP35" s="1578">
        <f t="shared" si="9"/>
        <v>55</v>
      </c>
      <c r="AQ35" s="1583"/>
      <c r="AR35" s="600"/>
      <c r="AS35" s="1700"/>
      <c r="AT35" s="1701"/>
      <c r="AU35" s="1701"/>
      <c r="AV35" s="1701"/>
      <c r="AW35" s="1701"/>
      <c r="AX35" s="1701"/>
      <c r="AY35" s="1701"/>
      <c r="AZ35" s="1701"/>
      <c r="BA35" s="885"/>
      <c r="BB35" s="888">
        <f t="shared" si="7"/>
        <v>0</v>
      </c>
      <c r="BC35" s="889">
        <f>6*BB35</f>
        <v>0</v>
      </c>
      <c r="BD35" s="889"/>
      <c r="BE35" s="888">
        <f t="shared" si="0"/>
        <v>0</v>
      </c>
      <c r="BF35" s="888">
        <f t="shared" si="1"/>
        <v>0</v>
      </c>
      <c r="BG35" s="888">
        <f t="shared" si="2"/>
        <v>0</v>
      </c>
      <c r="BH35" s="888">
        <f t="shared" si="3"/>
        <v>0</v>
      </c>
      <c r="BI35" s="888">
        <f t="shared" si="4"/>
        <v>0</v>
      </c>
      <c r="BJ35" s="888">
        <f t="shared" si="5"/>
        <v>0</v>
      </c>
      <c r="BK35" s="888">
        <f t="shared" si="6"/>
        <v>0</v>
      </c>
      <c r="BL35" s="890"/>
      <c r="BM35" s="1675"/>
      <c r="BN35" s="1675"/>
      <c r="BO35" s="891"/>
      <c r="BP35" s="1675"/>
      <c r="BQ35" s="1675"/>
      <c r="BR35" s="892"/>
      <c r="BS35" s="887"/>
      <c r="BT35" s="887"/>
      <c r="BU35" s="800"/>
      <c r="BV35" s="800"/>
      <c r="BW35" s="800"/>
      <c r="BX35" s="800"/>
      <c r="BY35" s="800"/>
      <c r="BZ35" s="800"/>
      <c r="CA35" s="800"/>
      <c r="CB35" s="813"/>
      <c r="CC35" s="813"/>
    </row>
    <row r="36" spans="1:81" ht="31.5" customHeight="1">
      <c r="A36" s="636"/>
      <c r="B36" s="246" t="s">
        <v>378</v>
      </c>
      <c r="C36" s="1580"/>
      <c r="D36" s="1581"/>
      <c r="E36" s="1582"/>
      <c r="F36" s="1576"/>
      <c r="G36" s="1576"/>
      <c r="H36" s="1593"/>
      <c r="I36" s="1594"/>
      <c r="J36" s="1594"/>
      <c r="K36" s="1594"/>
      <c r="L36" s="1594"/>
      <c r="M36" s="1595"/>
      <c r="N36" s="1576"/>
      <c r="O36" s="1576"/>
      <c r="P36" s="1576"/>
      <c r="Q36" s="1577"/>
      <c r="R36" s="1578">
        <f t="shared" si="8"/>
        <v>0</v>
      </c>
      <c r="S36" s="1579"/>
      <c r="T36" s="596"/>
      <c r="U36" s="1586"/>
      <c r="V36" s="1587"/>
      <c r="W36" s="1587"/>
      <c r="X36" s="1587"/>
      <c r="Y36" s="1587"/>
      <c r="Z36" s="1588"/>
      <c r="AA36" s="793"/>
      <c r="AB36" s="599" t="s">
        <v>14</v>
      </c>
      <c r="AC36" s="1590"/>
      <c r="AD36" s="1591"/>
      <c r="AE36" s="1592"/>
      <c r="AF36" s="1584"/>
      <c r="AG36" s="1585"/>
      <c r="AH36" s="1584"/>
      <c r="AI36" s="1589"/>
      <c r="AJ36" s="1589"/>
      <c r="AK36" s="1585"/>
      <c r="AL36" s="1694"/>
      <c r="AM36" s="1695"/>
      <c r="AN36" s="1694"/>
      <c r="AO36" s="1696"/>
      <c r="AP36" s="1578">
        <f t="shared" si="9"/>
        <v>0</v>
      </c>
      <c r="AQ36" s="1583"/>
      <c r="AR36" s="600"/>
      <c r="AS36" s="1700"/>
      <c r="AT36" s="1701"/>
      <c r="AU36" s="1701"/>
      <c r="AV36" s="1701"/>
      <c r="AW36" s="1701"/>
      <c r="AX36" s="1701"/>
      <c r="AY36" s="1701"/>
      <c r="AZ36" s="1701"/>
      <c r="BA36" s="885"/>
      <c r="BB36" s="888">
        <f t="shared" si="7"/>
        <v>0</v>
      </c>
      <c r="BC36" s="889">
        <f>5*BB36</f>
        <v>0</v>
      </c>
      <c r="BD36" s="889"/>
      <c r="BE36" s="888">
        <f t="shared" si="0"/>
        <v>0</v>
      </c>
      <c r="BF36" s="888">
        <f t="shared" si="1"/>
        <v>0</v>
      </c>
      <c r="BG36" s="888">
        <f t="shared" si="2"/>
        <v>0</v>
      </c>
      <c r="BH36" s="888">
        <f t="shared" si="3"/>
        <v>0</v>
      </c>
      <c r="BI36" s="888">
        <f t="shared" si="4"/>
        <v>0</v>
      </c>
      <c r="BJ36" s="888">
        <f t="shared" si="5"/>
        <v>0</v>
      </c>
      <c r="BK36" s="888">
        <f t="shared" si="6"/>
        <v>0</v>
      </c>
      <c r="BL36" s="890"/>
      <c r="BM36" s="1675"/>
      <c r="BN36" s="1675"/>
      <c r="BO36" s="891"/>
      <c r="BP36" s="1675"/>
      <c r="BQ36" s="1675"/>
      <c r="BR36" s="892"/>
      <c r="BS36" s="887"/>
      <c r="BT36" s="887"/>
      <c r="BU36" s="800"/>
      <c r="BV36" s="800"/>
      <c r="BW36" s="800"/>
      <c r="BX36" s="800"/>
      <c r="BY36" s="800"/>
      <c r="BZ36" s="800"/>
      <c r="CA36" s="800"/>
      <c r="CB36" s="813"/>
      <c r="CC36" s="813"/>
    </row>
    <row r="37" spans="1:81" ht="31.5" customHeight="1">
      <c r="A37" s="636"/>
      <c r="B37" s="246" t="s">
        <v>378</v>
      </c>
      <c r="C37" s="1580"/>
      <c r="D37" s="1581"/>
      <c r="E37" s="1582"/>
      <c r="F37" s="1576"/>
      <c r="G37" s="1576"/>
      <c r="H37" s="1593"/>
      <c r="I37" s="1594"/>
      <c r="J37" s="1594"/>
      <c r="K37" s="1594"/>
      <c r="L37" s="1594"/>
      <c r="M37" s="1595"/>
      <c r="N37" s="1576"/>
      <c r="O37" s="1576"/>
      <c r="P37" s="1576"/>
      <c r="Q37" s="1577"/>
      <c r="R37" s="1578">
        <f t="shared" si="8"/>
        <v>0</v>
      </c>
      <c r="S37" s="1579"/>
      <c r="T37" s="596"/>
      <c r="U37" s="1586"/>
      <c r="V37" s="1587"/>
      <c r="W37" s="1587"/>
      <c r="X37" s="1587"/>
      <c r="Y37" s="1587"/>
      <c r="Z37" s="1588"/>
      <c r="AA37" s="793"/>
      <c r="AB37" s="599" t="s">
        <v>14</v>
      </c>
      <c r="AC37" s="1590"/>
      <c r="AD37" s="1591"/>
      <c r="AE37" s="1592"/>
      <c r="AF37" s="1584"/>
      <c r="AG37" s="1585"/>
      <c r="AH37" s="1584"/>
      <c r="AI37" s="1589"/>
      <c r="AJ37" s="1589"/>
      <c r="AK37" s="1585"/>
      <c r="AL37" s="1694"/>
      <c r="AM37" s="1695"/>
      <c r="AN37" s="1694"/>
      <c r="AO37" s="1696"/>
      <c r="AP37" s="1578">
        <f t="shared" si="9"/>
        <v>0</v>
      </c>
      <c r="AQ37" s="1583"/>
      <c r="AR37" s="600"/>
      <c r="AS37" s="1700"/>
      <c r="AT37" s="1701"/>
      <c r="AU37" s="1701"/>
      <c r="AV37" s="1701"/>
      <c r="AW37" s="1701"/>
      <c r="AX37" s="1701"/>
      <c r="AY37" s="1701"/>
      <c r="AZ37" s="1701"/>
      <c r="BA37" s="885"/>
      <c r="BB37" s="888">
        <f t="shared" si="7"/>
        <v>0</v>
      </c>
      <c r="BC37" s="889">
        <f>4*BB37</f>
        <v>0</v>
      </c>
      <c r="BD37" s="889"/>
      <c r="BE37" s="888">
        <f t="shared" si="0"/>
        <v>0</v>
      </c>
      <c r="BF37" s="888">
        <f t="shared" si="1"/>
        <v>0</v>
      </c>
      <c r="BG37" s="888">
        <f t="shared" si="2"/>
        <v>0</v>
      </c>
      <c r="BH37" s="888">
        <f t="shared" si="3"/>
        <v>0</v>
      </c>
      <c r="BI37" s="888">
        <f t="shared" si="4"/>
        <v>0</v>
      </c>
      <c r="BJ37" s="888">
        <f t="shared" si="5"/>
        <v>0</v>
      </c>
      <c r="BK37" s="888">
        <f t="shared" si="6"/>
        <v>0</v>
      </c>
      <c r="BL37" s="890"/>
      <c r="BM37" s="1675"/>
      <c r="BN37" s="1675"/>
      <c r="BO37" s="891"/>
      <c r="BP37" s="1675"/>
      <c r="BQ37" s="1675"/>
      <c r="BR37" s="892"/>
      <c r="BS37" s="887"/>
      <c r="BT37" s="887"/>
      <c r="BU37" s="800"/>
      <c r="BV37" s="800"/>
      <c r="BW37" s="800"/>
      <c r="BX37" s="800"/>
      <c r="BY37" s="800"/>
      <c r="BZ37" s="800"/>
      <c r="CA37" s="800"/>
      <c r="CB37" s="813"/>
      <c r="CC37" s="813"/>
    </row>
    <row r="38" spans="1:81" ht="31.5" customHeight="1">
      <c r="A38" s="636"/>
      <c r="B38" s="246" t="s">
        <v>378</v>
      </c>
      <c r="C38" s="1580"/>
      <c r="D38" s="1581"/>
      <c r="E38" s="1582"/>
      <c r="F38" s="1576"/>
      <c r="G38" s="1576"/>
      <c r="H38" s="1593"/>
      <c r="I38" s="1594"/>
      <c r="J38" s="1594"/>
      <c r="K38" s="1594"/>
      <c r="L38" s="1594"/>
      <c r="M38" s="1595"/>
      <c r="N38" s="1576"/>
      <c r="O38" s="1576"/>
      <c r="P38" s="1576"/>
      <c r="Q38" s="1577"/>
      <c r="R38" s="1578">
        <f t="shared" si="8"/>
        <v>0</v>
      </c>
      <c r="S38" s="1579"/>
      <c r="T38" s="596"/>
      <c r="U38" s="1586"/>
      <c r="V38" s="1587"/>
      <c r="W38" s="1587"/>
      <c r="X38" s="1587"/>
      <c r="Y38" s="1587"/>
      <c r="Z38" s="1588"/>
      <c r="AA38" s="793"/>
      <c r="AB38" s="599" t="s">
        <v>14</v>
      </c>
      <c r="AC38" s="1590"/>
      <c r="AD38" s="1591"/>
      <c r="AE38" s="1592"/>
      <c r="AF38" s="1584"/>
      <c r="AG38" s="1585"/>
      <c r="AH38" s="1584"/>
      <c r="AI38" s="1589"/>
      <c r="AJ38" s="1589"/>
      <c r="AK38" s="1585"/>
      <c r="AL38" s="1694"/>
      <c r="AM38" s="1695"/>
      <c r="AN38" s="1694"/>
      <c r="AO38" s="1696"/>
      <c r="AP38" s="1578">
        <f t="shared" si="9"/>
        <v>0</v>
      </c>
      <c r="AQ38" s="1583"/>
      <c r="AR38" s="600"/>
      <c r="AS38" s="1700"/>
      <c r="AT38" s="1701"/>
      <c r="AU38" s="1701"/>
      <c r="AV38" s="1701"/>
      <c r="AW38" s="1701"/>
      <c r="AX38" s="1701"/>
      <c r="AY38" s="1701"/>
      <c r="AZ38" s="1701"/>
      <c r="BA38" s="885"/>
      <c r="BB38" s="888">
        <f t="shared" si="7"/>
        <v>0</v>
      </c>
      <c r="BC38" s="889">
        <f>3*BB38</f>
        <v>0</v>
      </c>
      <c r="BD38" s="889"/>
      <c r="BE38" s="888">
        <f t="shared" si="0"/>
        <v>0</v>
      </c>
      <c r="BF38" s="888">
        <f t="shared" si="1"/>
        <v>0</v>
      </c>
      <c r="BG38" s="888">
        <f t="shared" si="2"/>
        <v>0</v>
      </c>
      <c r="BH38" s="888">
        <f t="shared" si="3"/>
        <v>0</v>
      </c>
      <c r="BI38" s="888">
        <f t="shared" si="4"/>
        <v>0</v>
      </c>
      <c r="BJ38" s="888">
        <f t="shared" si="5"/>
        <v>0</v>
      </c>
      <c r="BK38" s="888">
        <f t="shared" si="6"/>
        <v>0</v>
      </c>
      <c r="BL38" s="890"/>
      <c r="BM38" s="1675"/>
      <c r="BN38" s="1675"/>
      <c r="BO38" s="891"/>
      <c r="BP38" s="1675"/>
      <c r="BQ38" s="1675"/>
      <c r="BR38" s="892"/>
      <c r="BS38" s="887"/>
      <c r="BT38" s="887"/>
      <c r="BU38" s="800"/>
      <c r="BV38" s="800"/>
      <c r="BW38" s="800"/>
      <c r="BX38" s="800"/>
      <c r="BY38" s="800"/>
      <c r="BZ38" s="800"/>
      <c r="CA38" s="800"/>
      <c r="CB38" s="813"/>
      <c r="CC38" s="813"/>
    </row>
    <row r="39" spans="1:81" ht="31.5" customHeight="1">
      <c r="A39" s="636"/>
      <c r="B39" s="246" t="s">
        <v>378</v>
      </c>
      <c r="C39" s="1580"/>
      <c r="D39" s="1581"/>
      <c r="E39" s="1582"/>
      <c r="F39" s="1576"/>
      <c r="G39" s="1576"/>
      <c r="H39" s="1593"/>
      <c r="I39" s="1594"/>
      <c r="J39" s="1594"/>
      <c r="K39" s="1594"/>
      <c r="L39" s="1594"/>
      <c r="M39" s="1595"/>
      <c r="N39" s="1576"/>
      <c r="O39" s="1576"/>
      <c r="P39" s="1576"/>
      <c r="Q39" s="1577"/>
      <c r="R39" s="1578">
        <f t="shared" si="8"/>
        <v>0</v>
      </c>
      <c r="S39" s="1579"/>
      <c r="T39" s="596"/>
      <c r="U39" s="1586"/>
      <c r="V39" s="1587"/>
      <c r="W39" s="1587"/>
      <c r="X39" s="1587"/>
      <c r="Y39" s="1587"/>
      <c r="Z39" s="1588"/>
      <c r="AA39" s="793"/>
      <c r="AB39" s="599" t="s">
        <v>14</v>
      </c>
      <c r="AC39" s="1590"/>
      <c r="AD39" s="1591"/>
      <c r="AE39" s="1592"/>
      <c r="AF39" s="1584"/>
      <c r="AG39" s="1585"/>
      <c r="AH39" s="1584"/>
      <c r="AI39" s="1589"/>
      <c r="AJ39" s="1589"/>
      <c r="AK39" s="1585"/>
      <c r="AL39" s="1694"/>
      <c r="AM39" s="1695"/>
      <c r="AN39" s="1694"/>
      <c r="AO39" s="1696"/>
      <c r="AP39" s="1578">
        <f t="shared" si="9"/>
        <v>0</v>
      </c>
      <c r="AQ39" s="1583"/>
      <c r="AR39" s="600"/>
      <c r="AS39" s="1700"/>
      <c r="AT39" s="1701"/>
      <c r="AU39" s="1701"/>
      <c r="AV39" s="1701"/>
      <c r="AW39" s="1701"/>
      <c r="AX39" s="1701"/>
      <c r="AY39" s="1701"/>
      <c r="AZ39" s="1701"/>
      <c r="BA39" s="885"/>
      <c r="BB39" s="888">
        <f t="shared" si="7"/>
        <v>0</v>
      </c>
      <c r="BC39" s="889">
        <f>2*BB39</f>
        <v>0</v>
      </c>
      <c r="BD39" s="889"/>
      <c r="BE39" s="888">
        <f t="shared" si="0"/>
        <v>0</v>
      </c>
      <c r="BF39" s="888">
        <f t="shared" si="1"/>
        <v>0</v>
      </c>
      <c r="BG39" s="888">
        <f t="shared" si="2"/>
        <v>0</v>
      </c>
      <c r="BH39" s="888">
        <f t="shared" si="3"/>
        <v>0</v>
      </c>
      <c r="BI39" s="888">
        <f t="shared" si="4"/>
        <v>0</v>
      </c>
      <c r="BJ39" s="888">
        <f t="shared" si="5"/>
        <v>0</v>
      </c>
      <c r="BK39" s="888">
        <f t="shared" si="6"/>
        <v>0</v>
      </c>
      <c r="BL39" s="890"/>
      <c r="BM39" s="1675"/>
      <c r="BN39" s="1675"/>
      <c r="BO39" s="891"/>
      <c r="BP39" s="1675"/>
      <c r="BQ39" s="1675"/>
      <c r="BR39" s="892"/>
      <c r="BS39" s="887"/>
      <c r="BT39" s="887"/>
      <c r="BU39" s="800"/>
      <c r="BV39" s="800"/>
      <c r="BW39" s="800"/>
      <c r="BX39" s="800"/>
      <c r="BY39" s="800"/>
      <c r="BZ39" s="800"/>
      <c r="CA39" s="800"/>
      <c r="CB39" s="813"/>
      <c r="CC39" s="813"/>
    </row>
    <row r="40" spans="1:81" ht="31.5" customHeight="1" thickBot="1">
      <c r="A40" s="790"/>
      <c r="B40" s="246" t="s">
        <v>378</v>
      </c>
      <c r="C40" s="1580"/>
      <c r="D40" s="1581"/>
      <c r="E40" s="1582"/>
      <c r="F40" s="1580"/>
      <c r="G40" s="1582"/>
      <c r="H40" s="1593"/>
      <c r="I40" s="1594"/>
      <c r="J40" s="1594"/>
      <c r="K40" s="1594"/>
      <c r="L40" s="1594"/>
      <c r="M40" s="1595"/>
      <c r="N40" s="1580"/>
      <c r="O40" s="1582"/>
      <c r="P40" s="1580"/>
      <c r="Q40" s="1742"/>
      <c r="R40" s="1578">
        <f t="shared" si="8"/>
        <v>0</v>
      </c>
      <c r="S40" s="1579"/>
      <c r="T40" s="786"/>
      <c r="U40" s="1586"/>
      <c r="V40" s="1587"/>
      <c r="W40" s="1587"/>
      <c r="X40" s="1587"/>
      <c r="Y40" s="1587"/>
      <c r="Z40" s="1588"/>
      <c r="AA40" s="788"/>
      <c r="AB40" s="601" t="s">
        <v>14</v>
      </c>
      <c r="AC40" s="1734"/>
      <c r="AD40" s="1735"/>
      <c r="AE40" s="1736"/>
      <c r="AF40" s="1731"/>
      <c r="AG40" s="1732"/>
      <c r="AH40" s="1731"/>
      <c r="AI40" s="1733"/>
      <c r="AJ40" s="1733"/>
      <c r="AK40" s="1732"/>
      <c r="AL40" s="1739"/>
      <c r="AM40" s="1741"/>
      <c r="AN40" s="1739"/>
      <c r="AO40" s="1740"/>
      <c r="AP40" s="1737">
        <f t="shared" si="9"/>
        <v>0</v>
      </c>
      <c r="AQ40" s="1738"/>
      <c r="AR40" s="602"/>
      <c r="AS40" s="1743"/>
      <c r="AT40" s="1744"/>
      <c r="AU40" s="1744"/>
      <c r="AV40" s="1744"/>
      <c r="AW40" s="1744"/>
      <c r="AX40" s="1744"/>
      <c r="AY40" s="1744"/>
      <c r="AZ40" s="1744"/>
      <c r="BA40" s="885"/>
      <c r="BB40" s="888">
        <f t="shared" si="7"/>
        <v>0</v>
      </c>
      <c r="BC40" s="889">
        <f>1*BB40</f>
        <v>0</v>
      </c>
      <c r="BD40" s="889"/>
      <c r="BE40" s="888">
        <f t="shared" ref="BE40" si="10">INDEX(A$29:A$40,MATCH($BK40,$BC$29:$BC$40,0))</f>
        <v>0</v>
      </c>
      <c r="BF40" s="888">
        <f t="shared" ref="BF40" si="11">INDEX(C$29:C$40,MATCH($BK40,$BC$29:$BC$40,0))</f>
        <v>0</v>
      </c>
      <c r="BG40" s="888">
        <f>INDEX(D$29:D$40,MATCH($BK40,$BC$29:$BC$40,0))</f>
        <v>0</v>
      </c>
      <c r="BH40" s="888">
        <f t="shared" ref="BH40" si="12">INDEX(E$29:E$40,MATCH($BK40,$BC$29:$BC$40,0))</f>
        <v>0</v>
      </c>
      <c r="BI40" s="888">
        <f t="shared" ref="BI40" si="13">INDEX(H$29:H$40,MATCH($BK40,$BC$29:$BC$40,0))</f>
        <v>0</v>
      </c>
      <c r="BJ40" s="888">
        <f t="shared" ref="BJ40" si="14">INDEX(R$29:R$40,MATCH($BK40,$BC$29:$BC$40,0))</f>
        <v>0</v>
      </c>
      <c r="BK40" s="888">
        <f t="shared" si="6"/>
        <v>0</v>
      </c>
      <c r="BL40" s="890"/>
      <c r="BM40" s="1675"/>
      <c r="BN40" s="1675"/>
      <c r="BO40" s="891"/>
      <c r="BP40" s="1675"/>
      <c r="BQ40" s="1675"/>
      <c r="BR40" s="892"/>
      <c r="BS40" s="887"/>
      <c r="BT40" s="887"/>
      <c r="BU40" s="800"/>
      <c r="BV40" s="800"/>
      <c r="BW40" s="800"/>
      <c r="BX40" s="800"/>
      <c r="BY40" s="800"/>
      <c r="BZ40" s="800"/>
      <c r="CA40" s="800"/>
      <c r="CB40" s="813"/>
      <c r="CC40" s="813"/>
    </row>
    <row r="41" spans="1:81" ht="9" customHeight="1">
      <c r="A41" s="215"/>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2"/>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885"/>
      <c r="BB41" s="884"/>
      <c r="BC41" s="886"/>
      <c r="BD41" s="886"/>
      <c r="BE41" s="886"/>
      <c r="BF41" s="886"/>
      <c r="BG41" s="885"/>
      <c r="BH41" s="885"/>
      <c r="BI41" s="885"/>
      <c r="BJ41" s="885"/>
      <c r="BK41" s="885"/>
      <c r="BL41" s="885"/>
      <c r="BM41" s="885"/>
      <c r="BN41" s="885"/>
      <c r="BO41" s="885"/>
      <c r="BP41" s="885"/>
      <c r="BQ41" s="885"/>
      <c r="BR41" s="887"/>
      <c r="BS41" s="887"/>
      <c r="BT41" s="887"/>
      <c r="BU41" s="800"/>
      <c r="BV41" s="800"/>
      <c r="BW41" s="800"/>
      <c r="BX41" s="800"/>
      <c r="BY41" s="800"/>
      <c r="BZ41" s="800"/>
      <c r="CA41" s="800"/>
      <c r="CB41" s="813"/>
      <c r="CC41" s="813"/>
    </row>
    <row r="42" spans="1:81" s="294" customFormat="1" ht="18" customHeight="1">
      <c r="A42" s="1536" t="s">
        <v>3213</v>
      </c>
      <c r="B42" s="1536"/>
      <c r="C42" s="1536"/>
      <c r="D42" s="1536"/>
      <c r="E42" s="1536"/>
      <c r="F42" s="1536"/>
      <c r="G42" s="1536"/>
      <c r="H42" s="1536"/>
      <c r="I42" s="1536"/>
      <c r="J42" s="1536"/>
      <c r="K42" s="1536"/>
      <c r="L42" s="1536"/>
      <c r="M42" s="1536"/>
      <c r="N42" s="1536"/>
      <c r="O42" s="1536"/>
      <c r="P42" s="1536"/>
      <c r="Q42" s="1536"/>
      <c r="R42" s="1536"/>
      <c r="S42" s="1536"/>
      <c r="T42" s="1536"/>
      <c r="U42" s="1536"/>
      <c r="V42" s="1536"/>
      <c r="W42" s="1536"/>
      <c r="X42" s="1536"/>
      <c r="Y42" s="1536"/>
      <c r="Z42" s="1536"/>
      <c r="AA42" s="1536" t="s">
        <v>3213</v>
      </c>
      <c r="AB42" s="1536"/>
      <c r="AC42" s="1536"/>
      <c r="AD42" s="1536"/>
      <c r="AE42" s="1536"/>
      <c r="AF42" s="1536"/>
      <c r="AG42" s="1536"/>
      <c r="AH42" s="1536"/>
      <c r="AI42" s="1536"/>
      <c r="AJ42" s="1536"/>
      <c r="AK42" s="1536"/>
      <c r="AL42" s="1536"/>
      <c r="AM42" s="1536"/>
      <c r="AN42" s="1536"/>
      <c r="AO42" s="1536"/>
      <c r="AP42" s="1536"/>
      <c r="AQ42" s="1536"/>
      <c r="AR42" s="1536"/>
      <c r="AS42" s="1536"/>
      <c r="AT42" s="1536"/>
      <c r="AU42" s="1536"/>
      <c r="AV42" s="1536"/>
      <c r="AW42" s="1536"/>
      <c r="AX42" s="1536"/>
      <c r="AY42" s="1536"/>
      <c r="AZ42" s="1536"/>
      <c r="BA42" s="900"/>
      <c r="BB42" s="895"/>
      <c r="BC42" s="900"/>
      <c r="BD42" s="900"/>
      <c r="BE42" s="900"/>
      <c r="BF42" s="900"/>
      <c r="BG42" s="900"/>
      <c r="BH42" s="900"/>
      <c r="BI42" s="900"/>
      <c r="BJ42" s="900"/>
      <c r="BK42" s="900"/>
      <c r="BL42" s="900"/>
      <c r="BM42" s="900"/>
      <c r="BN42" s="900"/>
      <c r="BO42" s="900"/>
      <c r="BP42" s="900"/>
      <c r="BQ42" s="900"/>
      <c r="BR42" s="1039"/>
      <c r="BS42" s="1039"/>
      <c r="BT42" s="1039"/>
      <c r="BU42" s="1040"/>
      <c r="BV42" s="1040"/>
      <c r="BW42" s="1040"/>
      <c r="BX42" s="1040"/>
      <c r="BY42" s="1040"/>
      <c r="BZ42" s="1040"/>
      <c r="CA42" s="1040"/>
      <c r="CB42" s="1041"/>
      <c r="CC42" s="1041"/>
    </row>
    <row r="43" spans="1:81" s="294" customFormat="1" ht="16.5" customHeight="1" thickBot="1">
      <c r="A43" s="1713" t="s">
        <v>395</v>
      </c>
      <c r="B43" s="1713"/>
      <c r="C43" s="1713" t="s">
        <v>391</v>
      </c>
      <c r="D43" s="1713"/>
      <c r="E43" s="1713"/>
      <c r="F43" s="1713"/>
      <c r="G43" s="1713"/>
      <c r="H43" s="1713" t="s">
        <v>3216</v>
      </c>
      <c r="I43" s="1713"/>
      <c r="J43" s="1713"/>
      <c r="K43" s="1713" t="s">
        <v>3216</v>
      </c>
      <c r="L43" s="1713"/>
      <c r="M43" s="1713"/>
      <c r="N43" s="1713" t="s">
        <v>3216</v>
      </c>
      <c r="O43" s="1713"/>
      <c r="P43" s="1713"/>
      <c r="Q43" s="1713" t="s">
        <v>3216</v>
      </c>
      <c r="R43" s="1713"/>
      <c r="S43" s="1713"/>
      <c r="T43" s="1713" t="s">
        <v>3216</v>
      </c>
      <c r="U43" s="1713"/>
      <c r="V43" s="1713"/>
      <c r="W43" s="1713" t="s">
        <v>3210</v>
      </c>
      <c r="X43" s="1713"/>
      <c r="Y43" s="1713"/>
      <c r="Z43" s="1713"/>
      <c r="AA43" s="1713" t="s">
        <v>395</v>
      </c>
      <c r="AB43" s="1713"/>
      <c r="AC43" s="1713" t="s">
        <v>391</v>
      </c>
      <c r="AD43" s="1713"/>
      <c r="AE43" s="1713"/>
      <c r="AF43" s="1713"/>
      <c r="AG43" s="1713"/>
      <c r="AH43" s="1713" t="s">
        <v>3216</v>
      </c>
      <c r="AI43" s="1713"/>
      <c r="AJ43" s="1713"/>
      <c r="AK43" s="1713" t="s">
        <v>3216</v>
      </c>
      <c r="AL43" s="1713"/>
      <c r="AM43" s="1713"/>
      <c r="AN43" s="1713" t="s">
        <v>3216</v>
      </c>
      <c r="AO43" s="1713"/>
      <c r="AP43" s="1713"/>
      <c r="AQ43" s="1713" t="s">
        <v>3216</v>
      </c>
      <c r="AR43" s="1713"/>
      <c r="AS43" s="1713"/>
      <c r="AT43" s="1713" t="s">
        <v>3216</v>
      </c>
      <c r="AU43" s="1713"/>
      <c r="AV43" s="1713"/>
      <c r="AW43" s="1713" t="s">
        <v>3210</v>
      </c>
      <c r="AX43" s="1713"/>
      <c r="AY43" s="1713"/>
      <c r="AZ43" s="1713"/>
      <c r="BA43" s="900"/>
      <c r="BB43" s="1042"/>
      <c r="BC43" s="900"/>
      <c r="BD43" s="900"/>
      <c r="BE43" s="900"/>
      <c r="BF43" s="900"/>
      <c r="BG43" s="900"/>
      <c r="BH43" s="900"/>
      <c r="BI43" s="900"/>
      <c r="BJ43" s="900"/>
      <c r="BK43" s="900"/>
      <c r="BL43" s="900"/>
      <c r="BM43" s="900"/>
      <c r="BN43" s="900"/>
      <c r="BO43" s="900"/>
      <c r="BP43" s="900"/>
      <c r="BQ43" s="900"/>
      <c r="BR43" s="1039"/>
      <c r="BS43" s="1039"/>
      <c r="BT43" s="1039"/>
      <c r="BU43" s="1040"/>
      <c r="BV43" s="1040"/>
      <c r="BW43" s="1040"/>
      <c r="BX43" s="1040"/>
      <c r="BY43" s="1040"/>
      <c r="BZ43" s="1040"/>
      <c r="CA43" s="1040"/>
      <c r="CB43" s="1041"/>
      <c r="CC43" s="1041"/>
    </row>
    <row r="44" spans="1:81" s="294" customFormat="1" ht="16.5" customHeight="1">
      <c r="A44" s="1709"/>
      <c r="B44" s="1711" t="s">
        <v>3209</v>
      </c>
      <c r="C44" s="1714"/>
      <c r="D44" s="1715"/>
      <c r="E44" s="1715"/>
      <c r="F44" s="1715"/>
      <c r="G44" s="1716"/>
      <c r="H44" s="1714"/>
      <c r="I44" s="1746" t="s">
        <v>3215</v>
      </c>
      <c r="J44" s="1716"/>
      <c r="K44" s="1714"/>
      <c r="L44" s="1746" t="s">
        <v>3215</v>
      </c>
      <c r="M44" s="1716"/>
      <c r="N44" s="1714"/>
      <c r="O44" s="1746" t="s">
        <v>3215</v>
      </c>
      <c r="P44" s="1716"/>
      <c r="Q44" s="1714"/>
      <c r="R44" s="1746" t="s">
        <v>3215</v>
      </c>
      <c r="S44" s="1716"/>
      <c r="T44" s="1714"/>
      <c r="U44" s="1746" t="s">
        <v>3215</v>
      </c>
      <c r="V44" s="1755"/>
      <c r="W44" s="1761">
        <f>H44*J44+K44*M44+N44*P44+Q44*S44+T44*V44</f>
        <v>0</v>
      </c>
      <c r="X44" s="1750" t="s">
        <v>3211</v>
      </c>
      <c r="Y44" s="1750">
        <f>J44+M44+P44+S44+V44</f>
        <v>0</v>
      </c>
      <c r="Z44" s="1752" t="s">
        <v>3212</v>
      </c>
      <c r="AA44" s="1709">
        <v>8</v>
      </c>
      <c r="AB44" s="1711" t="s">
        <v>3209</v>
      </c>
      <c r="AC44" s="1714" t="s">
        <v>343</v>
      </c>
      <c r="AD44" s="1715"/>
      <c r="AE44" s="1715"/>
      <c r="AF44" s="1715"/>
      <c r="AG44" s="1716"/>
      <c r="AH44" s="1714">
        <v>5</v>
      </c>
      <c r="AI44" s="1746" t="s">
        <v>3215</v>
      </c>
      <c r="AJ44" s="1716">
        <v>21</v>
      </c>
      <c r="AK44" s="1714">
        <v>6</v>
      </c>
      <c r="AL44" s="1746" t="s">
        <v>3215</v>
      </c>
      <c r="AM44" s="1716">
        <v>1</v>
      </c>
      <c r="AN44" s="1714"/>
      <c r="AO44" s="1746" t="s">
        <v>3215</v>
      </c>
      <c r="AP44" s="1716"/>
      <c r="AQ44" s="1714"/>
      <c r="AR44" s="1746" t="s">
        <v>3215</v>
      </c>
      <c r="AS44" s="1716"/>
      <c r="AT44" s="1714"/>
      <c r="AU44" s="1746" t="s">
        <v>3215</v>
      </c>
      <c r="AV44" s="1755"/>
      <c r="AW44" s="1767">
        <f>(AH44*AJ44)+(AK44*AM44)+(AN44*AP44)+(AQ44*AS44)+(AT44+AV44)</f>
        <v>111</v>
      </c>
      <c r="AX44" s="1750" t="s">
        <v>3211</v>
      </c>
      <c r="AY44" s="1765">
        <f>AJ44+AM44+AP44+AS44+AV44</f>
        <v>22</v>
      </c>
      <c r="AZ44" s="1752" t="s">
        <v>3212</v>
      </c>
      <c r="BA44" s="900"/>
      <c r="BB44" s="1042"/>
      <c r="BC44" s="895"/>
      <c r="BD44" s="900"/>
      <c r="BE44" s="900"/>
      <c r="BF44" s="900"/>
      <c r="BG44" s="900"/>
      <c r="BH44" s="900"/>
      <c r="BI44" s="900"/>
      <c r="BJ44" s="900"/>
      <c r="BK44" s="900"/>
      <c r="BL44" s="900"/>
      <c r="BM44" s="900"/>
      <c r="BN44" s="900"/>
      <c r="BO44" s="900"/>
      <c r="BP44" s="900"/>
      <c r="BQ44" s="900"/>
      <c r="BR44" s="1039"/>
      <c r="BS44" s="1039"/>
      <c r="BT44" s="1039"/>
      <c r="BU44" s="1040"/>
      <c r="BV44" s="1040"/>
      <c r="BW44" s="1040"/>
      <c r="BX44" s="1040"/>
      <c r="BY44" s="1040"/>
      <c r="BZ44" s="1040"/>
      <c r="CA44" s="1040"/>
      <c r="CB44" s="1041"/>
      <c r="CC44" s="1041"/>
    </row>
    <row r="45" spans="1:81" s="294" customFormat="1" ht="16.5" customHeight="1">
      <c r="A45" s="1710"/>
      <c r="B45" s="1712"/>
      <c r="C45" s="1717"/>
      <c r="D45" s="1718"/>
      <c r="E45" s="1718"/>
      <c r="F45" s="1718"/>
      <c r="G45" s="1719"/>
      <c r="H45" s="1745"/>
      <c r="I45" s="1747"/>
      <c r="J45" s="1726"/>
      <c r="K45" s="1745"/>
      <c r="L45" s="1747"/>
      <c r="M45" s="1726"/>
      <c r="N45" s="1745"/>
      <c r="O45" s="1747"/>
      <c r="P45" s="1726"/>
      <c r="Q45" s="1745"/>
      <c r="R45" s="1747"/>
      <c r="S45" s="1726"/>
      <c r="T45" s="1745"/>
      <c r="U45" s="1747"/>
      <c r="V45" s="1756"/>
      <c r="W45" s="1762"/>
      <c r="X45" s="1754"/>
      <c r="Y45" s="1754"/>
      <c r="Z45" s="1763"/>
      <c r="AA45" s="1710"/>
      <c r="AB45" s="1712"/>
      <c r="AC45" s="1717"/>
      <c r="AD45" s="1718"/>
      <c r="AE45" s="1718"/>
      <c r="AF45" s="1718"/>
      <c r="AG45" s="1719"/>
      <c r="AH45" s="1745"/>
      <c r="AI45" s="1747"/>
      <c r="AJ45" s="1726"/>
      <c r="AK45" s="1745"/>
      <c r="AL45" s="1747"/>
      <c r="AM45" s="1726"/>
      <c r="AN45" s="1745"/>
      <c r="AO45" s="1747"/>
      <c r="AP45" s="1726"/>
      <c r="AQ45" s="1745"/>
      <c r="AR45" s="1747"/>
      <c r="AS45" s="1726"/>
      <c r="AT45" s="1745"/>
      <c r="AU45" s="1747"/>
      <c r="AV45" s="1756"/>
      <c r="AW45" s="1768"/>
      <c r="AX45" s="1754"/>
      <c r="AY45" s="1769"/>
      <c r="AZ45" s="1763"/>
      <c r="BA45" s="900"/>
      <c r="BB45" s="895"/>
      <c r="BC45" s="895"/>
      <c r="BD45" s="900"/>
      <c r="BE45" s="900"/>
      <c r="BF45" s="900"/>
      <c r="BG45" s="900"/>
      <c r="BH45" s="900"/>
      <c r="BI45" s="900"/>
      <c r="BJ45" s="900"/>
      <c r="BK45" s="900"/>
      <c r="BL45" s="900"/>
      <c r="BM45" s="900"/>
      <c r="BN45" s="900"/>
      <c r="BO45" s="900"/>
      <c r="BP45" s="900"/>
      <c r="BQ45" s="900"/>
      <c r="BR45" s="1039"/>
      <c r="BS45" s="1039"/>
      <c r="BT45" s="1039"/>
      <c r="BU45" s="1040"/>
      <c r="BV45" s="1040"/>
      <c r="BW45" s="1040"/>
      <c r="BX45" s="1040"/>
      <c r="BY45" s="1040"/>
      <c r="BZ45" s="1040"/>
      <c r="CA45" s="1040"/>
      <c r="CB45" s="1041"/>
      <c r="CC45" s="1041"/>
    </row>
    <row r="46" spans="1:81" s="294" customFormat="1" ht="16.5" customHeight="1">
      <c r="A46" s="1705"/>
      <c r="B46" s="1707" t="s">
        <v>3209</v>
      </c>
      <c r="C46" s="1720"/>
      <c r="D46" s="1721"/>
      <c r="E46" s="1721"/>
      <c r="F46" s="1721"/>
      <c r="G46" s="1722"/>
      <c r="H46" s="1720"/>
      <c r="I46" s="1757" t="s">
        <v>3215</v>
      </c>
      <c r="J46" s="1722"/>
      <c r="K46" s="1720"/>
      <c r="L46" s="1757" t="s">
        <v>3215</v>
      </c>
      <c r="M46" s="1722"/>
      <c r="N46" s="1720"/>
      <c r="O46" s="1757" t="s">
        <v>3215</v>
      </c>
      <c r="P46" s="1722"/>
      <c r="Q46" s="1720"/>
      <c r="R46" s="1757" t="s">
        <v>3215</v>
      </c>
      <c r="S46" s="1722"/>
      <c r="T46" s="1720"/>
      <c r="U46" s="1757" t="s">
        <v>3215</v>
      </c>
      <c r="V46" s="1759"/>
      <c r="W46" s="1748">
        <f>H46*J46+K46*M46+N46*P46+Q46*S46+T46*V46</f>
        <v>0</v>
      </c>
      <c r="X46" s="1750" t="s">
        <v>3211</v>
      </c>
      <c r="Y46" s="1750">
        <f>J46+M46+P46+S46+V46</f>
        <v>0</v>
      </c>
      <c r="Z46" s="1752" t="s">
        <v>3212</v>
      </c>
      <c r="AA46" s="1705"/>
      <c r="AB46" s="1707" t="s">
        <v>3209</v>
      </c>
      <c r="AC46" s="1720"/>
      <c r="AD46" s="1721"/>
      <c r="AE46" s="1721"/>
      <c r="AF46" s="1721"/>
      <c r="AG46" s="1722"/>
      <c r="AH46" s="1720"/>
      <c r="AI46" s="1757" t="s">
        <v>3215</v>
      </c>
      <c r="AJ46" s="1722"/>
      <c r="AK46" s="1720"/>
      <c r="AL46" s="1757" t="s">
        <v>3215</v>
      </c>
      <c r="AM46" s="1722"/>
      <c r="AN46" s="1720"/>
      <c r="AO46" s="1757" t="s">
        <v>3215</v>
      </c>
      <c r="AP46" s="1722"/>
      <c r="AQ46" s="1720"/>
      <c r="AR46" s="1757" t="s">
        <v>3215</v>
      </c>
      <c r="AS46" s="1722"/>
      <c r="AT46" s="1720"/>
      <c r="AU46" s="1757" t="s">
        <v>3215</v>
      </c>
      <c r="AV46" s="1759"/>
      <c r="AW46" s="1750">
        <f>AH46+AK46+AN46+AQ46+AT46</f>
        <v>0</v>
      </c>
      <c r="AX46" s="1750" t="s">
        <v>3211</v>
      </c>
      <c r="AY46" s="1765">
        <f>AJ46+AM46+AP46+AS46+AV46</f>
        <v>0</v>
      </c>
      <c r="AZ46" s="1752" t="s">
        <v>3212</v>
      </c>
      <c r="BA46" s="900"/>
      <c r="BB46" s="895" t="s">
        <v>331</v>
      </c>
      <c r="BC46" s="895" t="s">
        <v>392</v>
      </c>
      <c r="BD46" s="900" t="s">
        <v>393</v>
      </c>
      <c r="BE46" s="900"/>
      <c r="BF46" s="900"/>
      <c r="BG46" s="900"/>
      <c r="BH46" s="900"/>
      <c r="BI46" s="900"/>
      <c r="BJ46" s="900"/>
      <c r="BK46" s="900"/>
      <c r="BL46" s="900"/>
      <c r="BM46" s="900"/>
      <c r="BN46" s="900"/>
      <c r="BO46" s="900"/>
      <c r="BP46" s="900"/>
      <c r="BQ46" s="900"/>
      <c r="BR46" s="1039"/>
      <c r="BS46" s="1039"/>
      <c r="BT46" s="1039"/>
      <c r="BU46" s="1040"/>
      <c r="BV46" s="1040"/>
      <c r="BW46" s="1040"/>
      <c r="BX46" s="1040"/>
      <c r="BY46" s="1040"/>
      <c r="BZ46" s="1040"/>
      <c r="CA46" s="1040"/>
      <c r="CB46" s="1041"/>
      <c r="CC46" s="1041"/>
    </row>
    <row r="47" spans="1:81" s="294" customFormat="1" ht="16.5" customHeight="1" thickBot="1">
      <c r="A47" s="1706"/>
      <c r="B47" s="1708"/>
      <c r="C47" s="1723"/>
      <c r="D47" s="1724"/>
      <c r="E47" s="1724"/>
      <c r="F47" s="1724"/>
      <c r="G47" s="1725"/>
      <c r="H47" s="1723"/>
      <c r="I47" s="1758"/>
      <c r="J47" s="1725"/>
      <c r="K47" s="1723"/>
      <c r="L47" s="1758"/>
      <c r="M47" s="1725"/>
      <c r="N47" s="1723"/>
      <c r="O47" s="1758"/>
      <c r="P47" s="1725"/>
      <c r="Q47" s="1723"/>
      <c r="R47" s="1758"/>
      <c r="S47" s="1725"/>
      <c r="T47" s="1723"/>
      <c r="U47" s="1758"/>
      <c r="V47" s="1760"/>
      <c r="W47" s="1749"/>
      <c r="X47" s="1751"/>
      <c r="Y47" s="1751"/>
      <c r="Z47" s="1753"/>
      <c r="AA47" s="1706"/>
      <c r="AB47" s="1708"/>
      <c r="AC47" s="1723"/>
      <c r="AD47" s="1724"/>
      <c r="AE47" s="1724"/>
      <c r="AF47" s="1724"/>
      <c r="AG47" s="1725"/>
      <c r="AH47" s="1723"/>
      <c r="AI47" s="1758"/>
      <c r="AJ47" s="1725"/>
      <c r="AK47" s="1723"/>
      <c r="AL47" s="1758"/>
      <c r="AM47" s="1725"/>
      <c r="AN47" s="1723"/>
      <c r="AO47" s="1758"/>
      <c r="AP47" s="1725"/>
      <c r="AQ47" s="1723"/>
      <c r="AR47" s="1758"/>
      <c r="AS47" s="1725"/>
      <c r="AT47" s="1723"/>
      <c r="AU47" s="1758"/>
      <c r="AV47" s="1760"/>
      <c r="AW47" s="1751"/>
      <c r="AX47" s="1751"/>
      <c r="AY47" s="1766"/>
      <c r="AZ47" s="1753"/>
      <c r="BA47" s="900"/>
      <c r="BB47" s="895">
        <f>K47*M47+N47*P47+Q47*S47+T47*V47</f>
        <v>0</v>
      </c>
      <c r="BC47" s="895">
        <f>BJ29</f>
        <v>0</v>
      </c>
      <c r="BD47" s="900">
        <f>Y47</f>
        <v>0</v>
      </c>
      <c r="BE47" s="900"/>
      <c r="BF47" s="900"/>
      <c r="BG47" s="900"/>
      <c r="BH47" s="900"/>
      <c r="BI47" s="900"/>
      <c r="BJ47" s="900"/>
      <c r="BK47" s="900"/>
      <c r="BL47" s="900"/>
      <c r="BM47" s="900"/>
      <c r="BN47" s="900"/>
      <c r="BO47" s="900"/>
      <c r="BP47" s="900"/>
      <c r="BQ47" s="900"/>
      <c r="BR47" s="1039"/>
      <c r="BS47" s="1039"/>
      <c r="BT47" s="1039"/>
      <c r="BU47" s="1040"/>
      <c r="BV47" s="1040"/>
      <c r="BW47" s="1040"/>
      <c r="BX47" s="1040"/>
      <c r="BY47" s="1040"/>
      <c r="BZ47" s="1040"/>
      <c r="CA47" s="1040"/>
      <c r="CB47" s="1041"/>
      <c r="CC47" s="1041"/>
    </row>
    <row r="48" spans="1:81" ht="20.100000000000001" customHeight="1">
      <c r="A48" s="204"/>
      <c r="B48" s="205"/>
      <c r="C48" s="1764" t="s">
        <v>3217</v>
      </c>
      <c r="D48" s="1764"/>
      <c r="E48" s="1764"/>
      <c r="F48" s="1764"/>
      <c r="G48" s="1764"/>
      <c r="H48" s="1764"/>
      <c r="I48" s="1764"/>
      <c r="J48" s="1764"/>
      <c r="K48" s="1764"/>
      <c r="L48" s="1764"/>
      <c r="M48" s="1764"/>
      <c r="N48" s="1764"/>
      <c r="O48" s="1764"/>
      <c r="P48" s="1764"/>
      <c r="Q48" s="1764"/>
      <c r="R48" s="1764"/>
      <c r="S48" s="1764"/>
      <c r="T48" s="1764"/>
      <c r="U48" s="1764"/>
      <c r="V48" s="1764"/>
      <c r="W48" s="1764"/>
      <c r="X48" s="1764"/>
      <c r="Y48" s="1764"/>
      <c r="Z48" s="1764"/>
      <c r="AA48" s="208"/>
      <c r="AB48" s="201"/>
      <c r="AC48" s="214"/>
      <c r="AD48" s="214"/>
      <c r="AE48" s="214"/>
      <c r="AF48" s="213"/>
      <c r="AG48" s="213"/>
      <c r="AH48" s="213"/>
      <c r="AI48" s="213"/>
      <c r="AJ48" s="213"/>
      <c r="AK48" s="208"/>
      <c r="AL48" s="209"/>
      <c r="AM48" s="210"/>
      <c r="AN48" s="208"/>
      <c r="AO48" s="209"/>
      <c r="AP48" s="210"/>
      <c r="AQ48" s="208"/>
      <c r="AR48" s="209"/>
      <c r="AS48" s="210"/>
      <c r="AT48" s="208"/>
      <c r="AU48" s="209"/>
      <c r="AV48" s="210"/>
      <c r="AW48" s="211"/>
      <c r="AX48" s="201"/>
      <c r="AY48" s="211"/>
      <c r="AZ48" s="201"/>
      <c r="BA48" s="885"/>
      <c r="BB48" s="884">
        <f>K48*M48+N48*P48+Q48*S48+T48*V48</f>
        <v>0</v>
      </c>
      <c r="BC48" s="884">
        <f>BJ30</f>
        <v>0</v>
      </c>
      <c r="BD48" s="886"/>
      <c r="BE48" s="886"/>
      <c r="BF48" s="886"/>
      <c r="BG48" s="885"/>
      <c r="BH48" s="885"/>
      <c r="BI48" s="885"/>
      <c r="BJ48" s="885"/>
      <c r="BK48" s="885"/>
      <c r="BL48" s="885"/>
      <c r="BM48" s="885"/>
      <c r="BN48" s="885"/>
      <c r="BO48" s="885"/>
      <c r="BP48" s="885"/>
      <c r="BQ48" s="885"/>
      <c r="BR48" s="887"/>
      <c r="BS48" s="887"/>
      <c r="BT48" s="887"/>
      <c r="BU48" s="800"/>
      <c r="BV48" s="800"/>
      <c r="BW48" s="800"/>
      <c r="BX48" s="800"/>
      <c r="BY48" s="800"/>
      <c r="BZ48" s="800"/>
      <c r="CA48" s="800"/>
      <c r="CB48" s="813"/>
      <c r="CC48" s="813"/>
    </row>
    <row r="49" spans="1:81" ht="20.100000000000001" customHeight="1">
      <c r="A49" s="204"/>
      <c r="B49" s="205"/>
      <c r="C49" s="204"/>
      <c r="D49" s="204"/>
      <c r="E49" s="204"/>
      <c r="F49" s="204"/>
      <c r="G49" s="204"/>
      <c r="H49" s="204"/>
      <c r="I49" s="204"/>
      <c r="J49" s="204"/>
      <c r="K49" s="206"/>
      <c r="L49" s="205"/>
      <c r="M49" s="206"/>
      <c r="N49" s="206"/>
      <c r="O49" s="205"/>
      <c r="P49" s="206"/>
      <c r="Q49" s="206"/>
      <c r="R49" s="205"/>
      <c r="S49" s="206"/>
      <c r="T49" s="206"/>
      <c r="U49" s="205"/>
      <c r="V49" s="206"/>
      <c r="W49" s="207"/>
      <c r="X49" s="205"/>
      <c r="Y49" s="207"/>
      <c r="Z49" s="205"/>
      <c r="AA49" s="208"/>
      <c r="AB49" s="201"/>
      <c r="AC49" s="214"/>
      <c r="AD49" s="214"/>
      <c r="AE49" s="214"/>
      <c r="AF49" s="213"/>
      <c r="AG49" s="213"/>
      <c r="AH49" s="213"/>
      <c r="AI49" s="213"/>
      <c r="AJ49" s="213"/>
      <c r="AK49" s="208"/>
      <c r="AL49" s="209"/>
      <c r="AM49" s="210"/>
      <c r="AN49" s="208"/>
      <c r="AO49" s="209"/>
      <c r="AP49" s="210"/>
      <c r="AQ49" s="208"/>
      <c r="AR49" s="209"/>
      <c r="AS49" s="210"/>
      <c r="AT49" s="208"/>
      <c r="AU49" s="209"/>
      <c r="AV49" s="210"/>
      <c r="AW49" s="211"/>
      <c r="AX49" s="201"/>
      <c r="AY49" s="211"/>
      <c r="AZ49" s="201"/>
      <c r="BA49" s="885"/>
      <c r="BB49" s="884">
        <f>K49*M49+N49*P49+Q49*S49+T49*V49</f>
        <v>0</v>
      </c>
      <c r="BC49" s="884">
        <f>BJ31</f>
        <v>0</v>
      </c>
      <c r="BD49" s="886"/>
      <c r="BE49" s="886"/>
      <c r="BF49" s="886"/>
      <c r="BG49" s="885"/>
      <c r="BH49" s="885"/>
      <c r="BI49" s="885"/>
      <c r="BJ49" s="885"/>
      <c r="BK49" s="885"/>
      <c r="BL49" s="885"/>
      <c r="BM49" s="885"/>
      <c r="BN49" s="885"/>
      <c r="BO49" s="885"/>
      <c r="BP49" s="885"/>
      <c r="BQ49" s="885"/>
      <c r="BR49" s="887"/>
      <c r="BS49" s="887"/>
      <c r="BT49" s="887"/>
      <c r="BU49" s="800"/>
      <c r="BV49" s="800"/>
      <c r="BW49" s="800"/>
      <c r="BX49" s="800"/>
      <c r="BY49" s="800"/>
      <c r="BZ49" s="800"/>
      <c r="CA49" s="800"/>
      <c r="CB49" s="813"/>
      <c r="CC49" s="813"/>
    </row>
    <row r="50" spans="1:81" ht="20.100000000000001" customHeight="1">
      <c r="A50" s="204"/>
      <c r="B50" s="205"/>
      <c r="C50" s="204"/>
      <c r="D50" s="204"/>
      <c r="E50" s="204"/>
      <c r="F50" s="204"/>
      <c r="G50" s="204"/>
      <c r="H50" s="204"/>
      <c r="I50" s="204"/>
      <c r="J50" s="204"/>
      <c r="K50" s="206"/>
      <c r="L50" s="205"/>
      <c r="M50" s="206"/>
      <c r="N50" s="206"/>
      <c r="O50" s="205"/>
      <c r="P50" s="206"/>
      <c r="Q50" s="206"/>
      <c r="R50" s="205"/>
      <c r="S50" s="206"/>
      <c r="T50" s="206"/>
      <c r="U50" s="205"/>
      <c r="V50" s="206"/>
      <c r="W50" s="207"/>
      <c r="X50" s="205"/>
      <c r="Y50" s="207"/>
      <c r="Z50" s="205"/>
      <c r="AA50" s="208"/>
      <c r="AB50" s="201"/>
      <c r="AC50" s="214"/>
      <c r="AD50" s="214"/>
      <c r="AE50" s="214"/>
      <c r="AF50" s="213"/>
      <c r="AG50" s="213"/>
      <c r="AH50" s="213"/>
      <c r="AI50" s="213"/>
      <c r="AJ50" s="213"/>
      <c r="AK50" s="208"/>
      <c r="AL50" s="209"/>
      <c r="AM50" s="210"/>
      <c r="AN50" s="208"/>
      <c r="AO50" s="209"/>
      <c r="AP50" s="210"/>
      <c r="AQ50" s="208"/>
      <c r="AR50" s="209"/>
      <c r="AS50" s="210"/>
      <c r="AT50" s="208"/>
      <c r="AU50" s="209"/>
      <c r="AV50" s="210"/>
      <c r="AW50" s="211"/>
      <c r="AX50" s="201"/>
      <c r="AY50" s="211"/>
      <c r="AZ50" s="201"/>
      <c r="BA50" s="885"/>
      <c r="BB50" s="884">
        <f>K50*M50+N50*P50+Q50*S50+T50*V50</f>
        <v>0</v>
      </c>
      <c r="BC50" s="884">
        <f>BJ32</f>
        <v>0</v>
      </c>
      <c r="BD50" s="886"/>
      <c r="BE50" s="886"/>
      <c r="BF50" s="886"/>
      <c r="BG50" s="885"/>
      <c r="BH50" s="885"/>
      <c r="BI50" s="885"/>
      <c r="BJ50" s="885"/>
      <c r="BK50" s="885"/>
      <c r="BL50" s="885"/>
      <c r="BM50" s="885"/>
      <c r="BN50" s="885"/>
      <c r="BO50" s="885"/>
      <c r="BP50" s="885"/>
      <c r="BQ50" s="885"/>
      <c r="BR50" s="887"/>
      <c r="BS50" s="887"/>
      <c r="BT50" s="887"/>
      <c r="BU50" s="800"/>
      <c r="BV50" s="800"/>
      <c r="BW50" s="800"/>
      <c r="BX50" s="800"/>
      <c r="BY50" s="800"/>
      <c r="BZ50" s="800"/>
      <c r="CA50" s="800"/>
      <c r="CB50" s="813"/>
      <c r="CC50" s="813"/>
    </row>
    <row r="51" spans="1:81" ht="20.100000000000001" customHeight="1">
      <c r="A51" s="1054"/>
      <c r="B51" s="1055"/>
      <c r="C51" s="1054"/>
      <c r="D51" s="1054"/>
      <c r="E51" s="1054"/>
      <c r="F51" s="1054"/>
      <c r="G51" s="1054"/>
      <c r="H51" s="1054"/>
      <c r="I51" s="1054"/>
      <c r="J51" s="1054"/>
      <c r="K51" s="1044"/>
      <c r="L51" s="1043"/>
      <c r="M51" s="206"/>
      <c r="N51" s="206"/>
      <c r="O51" s="205"/>
      <c r="P51" s="206"/>
      <c r="Q51" s="206"/>
      <c r="R51" s="205"/>
      <c r="S51" s="206"/>
      <c r="T51" s="206"/>
      <c r="U51" s="205"/>
      <c r="V51" s="206"/>
      <c r="W51" s="207"/>
      <c r="X51" s="205"/>
      <c r="Y51" s="207"/>
      <c r="Z51" s="205"/>
      <c r="AA51" s="208"/>
      <c r="AB51" s="201"/>
      <c r="AC51" s="214"/>
      <c r="AD51" s="214"/>
      <c r="AE51" s="214"/>
      <c r="AF51" s="213"/>
      <c r="AG51" s="213"/>
      <c r="AH51" s="213"/>
      <c r="AI51" s="213"/>
      <c r="AJ51" s="213"/>
      <c r="AK51" s="208"/>
      <c r="AL51" s="209"/>
      <c r="AM51" s="210"/>
      <c r="AN51" s="208"/>
      <c r="AO51" s="209"/>
      <c r="AP51" s="210"/>
      <c r="AQ51" s="208"/>
      <c r="AR51" s="209"/>
      <c r="AS51" s="210"/>
      <c r="AT51" s="208"/>
      <c r="AU51" s="209"/>
      <c r="AV51" s="210"/>
      <c r="AW51" s="211"/>
      <c r="AX51" s="201"/>
      <c r="AY51" s="211"/>
      <c r="AZ51" s="201"/>
      <c r="BA51" s="885"/>
      <c r="BB51" s="884">
        <f>K51*M51+N51*P51+Q51*S51+T51*V51</f>
        <v>0</v>
      </c>
      <c r="BC51" s="884">
        <f>BJ33</f>
        <v>0</v>
      </c>
      <c r="BD51" s="886"/>
      <c r="BE51" s="886"/>
      <c r="BF51" s="886"/>
      <c r="BG51" s="885"/>
      <c r="BH51" s="885"/>
      <c r="BI51" s="885"/>
      <c r="BJ51" s="885"/>
      <c r="BK51" s="885"/>
      <c r="BL51" s="885"/>
      <c r="BM51" s="885"/>
      <c r="BN51" s="885"/>
      <c r="BO51" s="885"/>
      <c r="BP51" s="885"/>
      <c r="BQ51" s="885"/>
      <c r="BR51" s="887"/>
      <c r="BS51" s="887"/>
      <c r="BT51" s="887"/>
      <c r="BU51" s="800"/>
      <c r="BV51" s="800"/>
      <c r="BW51" s="800"/>
      <c r="BX51" s="800"/>
      <c r="BY51" s="800"/>
      <c r="BZ51" s="800"/>
      <c r="CA51" s="800"/>
      <c r="CB51" s="813"/>
      <c r="CC51" s="813"/>
    </row>
    <row r="52" spans="1:81" ht="15" customHeight="1">
      <c r="A52" s="72" t="b">
        <v>0</v>
      </c>
      <c r="B52" s="72" t="b">
        <v>0</v>
      </c>
      <c r="C52" s="51" t="s">
        <v>3081</v>
      </c>
      <c r="D52" s="51"/>
      <c r="E52" s="51"/>
      <c r="F52" s="51"/>
      <c r="G52" s="51"/>
      <c r="H52" s="51"/>
      <c r="I52" s="51"/>
      <c r="J52" s="51"/>
      <c r="K52" s="1045"/>
      <c r="L52" s="1046"/>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885"/>
      <c r="BB52" s="884"/>
      <c r="BC52" s="886"/>
      <c r="BD52" s="886"/>
      <c r="BE52" s="886"/>
      <c r="BF52" s="886"/>
      <c r="BG52" s="885"/>
      <c r="BH52" s="885"/>
      <c r="BI52" s="885"/>
      <c r="BJ52" s="885"/>
      <c r="BK52" s="885"/>
      <c r="BL52" s="885"/>
      <c r="BM52" s="885"/>
      <c r="BN52" s="885"/>
      <c r="BO52" s="885"/>
      <c r="BP52" s="885"/>
      <c r="BQ52" s="885"/>
      <c r="BR52" s="887"/>
      <c r="BS52" s="887"/>
      <c r="BT52" s="887"/>
      <c r="BU52" s="800"/>
      <c r="BV52" s="800"/>
      <c r="BW52" s="800"/>
      <c r="BX52" s="800"/>
      <c r="BY52" s="800"/>
      <c r="BZ52" s="800"/>
      <c r="CA52" s="800"/>
      <c r="CB52" s="813"/>
      <c r="CC52" s="813"/>
    </row>
    <row r="53" spans="1:81" ht="13.5" customHeight="1">
      <c r="A53" s="73" t="b">
        <v>0</v>
      </c>
      <c r="B53" s="73" t="b">
        <v>0</v>
      </c>
      <c r="C53" s="47" t="s">
        <v>3082</v>
      </c>
      <c r="D53" s="47"/>
      <c r="E53" s="47"/>
      <c r="F53" s="47"/>
      <c r="G53" s="47"/>
      <c r="H53" s="47"/>
      <c r="I53" s="47"/>
      <c r="J53" s="47"/>
      <c r="K53" s="1047"/>
      <c r="L53" s="1048"/>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885"/>
      <c r="BB53" s="893" t="s">
        <v>332</v>
      </c>
      <c r="BC53" s="886"/>
      <c r="BD53" s="886"/>
      <c r="BE53" s="886"/>
      <c r="BF53" s="886"/>
      <c r="BG53" s="894" t="s">
        <v>333</v>
      </c>
      <c r="BH53" s="885"/>
      <c r="BI53" s="885"/>
      <c r="BJ53" s="885"/>
      <c r="BK53" s="886" t="s">
        <v>334</v>
      </c>
      <c r="BL53" s="886"/>
      <c r="BM53" s="885"/>
      <c r="BN53" s="885"/>
      <c r="BO53" s="885"/>
      <c r="BP53" s="885"/>
      <c r="BQ53" s="885"/>
      <c r="BR53" s="887"/>
      <c r="BS53" s="887"/>
      <c r="BT53" s="887"/>
      <c r="BU53" s="800"/>
      <c r="BV53" s="800"/>
      <c r="BW53" s="800"/>
      <c r="BX53" s="800"/>
      <c r="BY53" s="800"/>
      <c r="BZ53" s="800"/>
      <c r="CA53" s="800"/>
      <c r="CB53" s="813"/>
      <c r="CC53" s="813"/>
    </row>
    <row r="54" spans="1:81" ht="13.5" customHeight="1">
      <c r="A54" s="1703"/>
      <c r="B54" s="1704"/>
      <c r="C54" s="1704"/>
      <c r="D54" s="1704"/>
      <c r="E54" s="1704"/>
      <c r="F54" s="1704"/>
      <c r="G54" s="1704"/>
      <c r="H54" s="1704"/>
      <c r="I54" s="1704"/>
      <c r="J54" s="1704"/>
      <c r="K54" s="1049"/>
      <c r="L54" s="1050"/>
      <c r="M54" s="54"/>
      <c r="N54" s="54"/>
      <c r="O54" s="54"/>
      <c r="P54" s="54"/>
      <c r="Q54" s="54"/>
      <c r="R54" s="54"/>
      <c r="S54" s="54"/>
      <c r="T54" s="54"/>
      <c r="U54" s="54"/>
      <c r="V54" s="54"/>
      <c r="W54" s="54"/>
      <c r="X54" s="54"/>
      <c r="Y54" s="54"/>
      <c r="Z54" s="54"/>
      <c r="AA54" s="55"/>
      <c r="AB54" s="55"/>
      <c r="AC54" s="55"/>
      <c r="AD54" s="55"/>
      <c r="AE54" s="55"/>
      <c r="AF54" s="10"/>
      <c r="AG54" s="10"/>
      <c r="AH54" s="10"/>
      <c r="AI54" s="10"/>
      <c r="AJ54" s="10"/>
      <c r="BA54" s="885"/>
      <c r="BB54" s="884" t="s">
        <v>335</v>
      </c>
      <c r="BC54" s="886"/>
      <c r="BD54" s="886"/>
      <c r="BE54" s="886"/>
      <c r="BF54" s="886"/>
      <c r="BG54" s="895" t="s">
        <v>335</v>
      </c>
      <c r="BH54" s="885"/>
      <c r="BI54" s="885"/>
      <c r="BJ54" s="885"/>
      <c r="BK54" s="887"/>
      <c r="BL54" s="886">
        <v>1</v>
      </c>
      <c r="BM54" s="896">
        <v>0</v>
      </c>
      <c r="BN54" s="885"/>
      <c r="BO54" s="885"/>
      <c r="BP54" s="885"/>
      <c r="BQ54" s="885"/>
      <c r="BR54" s="887"/>
      <c r="BS54" s="887"/>
      <c r="BT54" s="887"/>
      <c r="BU54" s="800"/>
      <c r="BV54" s="800"/>
      <c r="BW54" s="800"/>
      <c r="BX54" s="800"/>
      <c r="BY54" s="800"/>
      <c r="BZ54" s="800"/>
      <c r="CA54" s="800"/>
      <c r="CB54" s="813"/>
      <c r="CC54" s="813"/>
    </row>
    <row r="55" spans="1:81" ht="13.5" customHeight="1">
      <c r="A55" s="1051"/>
      <c r="B55" s="1049"/>
      <c r="C55" s="1049"/>
      <c r="D55" s="1049"/>
      <c r="E55" s="1049"/>
      <c r="F55" s="1049"/>
      <c r="G55" s="1049"/>
      <c r="H55" s="1049"/>
      <c r="I55" s="1049"/>
      <c r="J55" s="1049"/>
      <c r="K55" s="1049"/>
      <c r="L55" s="1050"/>
      <c r="M55" s="54"/>
      <c r="N55" s="54"/>
      <c r="O55" s="54"/>
      <c r="P55" s="54"/>
      <c r="Q55" s="54"/>
      <c r="R55" s="54"/>
      <c r="S55" s="54"/>
      <c r="T55" s="54"/>
      <c r="U55" s="54"/>
      <c r="V55" s="54"/>
      <c r="W55" s="54"/>
      <c r="X55" s="54"/>
      <c r="Y55" s="54"/>
      <c r="Z55" s="54"/>
      <c r="AA55" s="56"/>
      <c r="AB55" s="54"/>
      <c r="AC55" s="54"/>
      <c r="AD55" s="54"/>
      <c r="AE55" s="54"/>
      <c r="AF55" s="10"/>
      <c r="AG55" s="10"/>
      <c r="AH55" s="10"/>
      <c r="AI55" s="10"/>
      <c r="AJ55" s="10"/>
      <c r="BA55" s="885"/>
      <c r="BB55" s="884" t="s">
        <v>336</v>
      </c>
      <c r="BC55" s="886"/>
      <c r="BD55" s="886"/>
      <c r="BE55" s="886"/>
      <c r="BF55" s="886"/>
      <c r="BG55" s="897" t="s">
        <v>2889</v>
      </c>
      <c r="BH55" s="885"/>
      <c r="BI55" s="885"/>
      <c r="BJ55" s="885"/>
      <c r="BK55" s="898" t="s">
        <v>385</v>
      </c>
      <c r="BL55" s="886">
        <f>BL54+1</f>
        <v>2</v>
      </c>
      <c r="BM55" s="885">
        <v>15</v>
      </c>
      <c r="BN55" s="885"/>
      <c r="BO55" s="885"/>
      <c r="BP55" s="885"/>
      <c r="BQ55" s="885"/>
      <c r="BR55" s="887"/>
      <c r="BS55" s="887"/>
      <c r="BT55" s="887"/>
      <c r="BU55" s="800"/>
      <c r="BV55" s="800"/>
      <c r="BW55" s="800"/>
      <c r="BX55" s="800"/>
      <c r="BY55" s="800"/>
      <c r="BZ55" s="800"/>
      <c r="CA55" s="800"/>
      <c r="CB55" s="813"/>
      <c r="CC55" s="813"/>
    </row>
    <row r="56" spans="1:81" ht="13.5" customHeight="1">
      <c r="A56" s="1052"/>
      <c r="B56" s="1049"/>
      <c r="C56" s="1049"/>
      <c r="D56" s="1049"/>
      <c r="E56" s="1053"/>
      <c r="F56" s="1049"/>
      <c r="G56" s="1049"/>
      <c r="H56" s="1049"/>
      <c r="I56" s="1049"/>
      <c r="J56" s="1049"/>
      <c r="K56" s="1049"/>
      <c r="L56" s="1050"/>
      <c r="M56" s="54"/>
      <c r="N56" s="54"/>
      <c r="O56" s="54"/>
      <c r="P56" s="54"/>
      <c r="Q56" s="54"/>
      <c r="R56" s="54"/>
      <c r="S56" s="54"/>
      <c r="T56" s="54"/>
      <c r="U56" s="54"/>
      <c r="V56" s="54"/>
      <c r="W56" s="54"/>
      <c r="X56" s="54"/>
      <c r="Y56" s="54"/>
      <c r="Z56" s="54"/>
      <c r="AA56" s="57"/>
      <c r="AB56" s="54"/>
      <c r="AC56" s="54"/>
      <c r="AD56" s="54"/>
      <c r="AE56" s="58"/>
      <c r="AF56" s="10"/>
      <c r="AG56" s="10"/>
      <c r="AH56" s="10"/>
      <c r="AI56" s="10"/>
      <c r="AJ56" s="10"/>
      <c r="BA56" s="885"/>
      <c r="BB56" s="884" t="s">
        <v>337</v>
      </c>
      <c r="BC56" s="886"/>
      <c r="BD56" s="886"/>
      <c r="BE56" s="886"/>
      <c r="BF56" s="886"/>
      <c r="BG56" s="897" t="s">
        <v>2890</v>
      </c>
      <c r="BH56" s="84"/>
      <c r="BI56" s="885"/>
      <c r="BJ56" s="885"/>
      <c r="BK56" s="898" t="s">
        <v>386</v>
      </c>
      <c r="BL56" s="886">
        <f t="shared" ref="BL56:BL84" si="15">BL55+1</f>
        <v>3</v>
      </c>
      <c r="BM56" s="885">
        <v>30</v>
      </c>
      <c r="BN56" s="885"/>
      <c r="BO56" s="885"/>
      <c r="BP56" s="885"/>
      <c r="BQ56" s="885"/>
      <c r="BR56" s="887"/>
      <c r="BS56" s="887"/>
      <c r="BT56" s="887"/>
      <c r="BU56" s="800"/>
      <c r="BV56" s="800"/>
      <c r="BW56" s="800"/>
      <c r="BX56" s="800"/>
      <c r="BY56" s="800"/>
      <c r="BZ56" s="800"/>
      <c r="CA56" s="800"/>
      <c r="CB56" s="813"/>
      <c r="CC56" s="813"/>
    </row>
    <row r="57" spans="1:81" ht="13.5" customHeight="1">
      <c r="A57" s="1052"/>
      <c r="B57" s="1049"/>
      <c r="C57" s="1049"/>
      <c r="D57" s="1049"/>
      <c r="E57" s="1049"/>
      <c r="F57" s="1049"/>
      <c r="G57" s="1049"/>
      <c r="H57" s="1049"/>
      <c r="I57" s="48" t="str">
        <f>$K$11</f>
        <v>!再度確認!</v>
      </c>
      <c r="J57" s="1049"/>
      <c r="K57" s="1049"/>
      <c r="L57" s="1050"/>
      <c r="M57" s="54"/>
      <c r="N57" s="54"/>
      <c r="O57" s="54"/>
      <c r="P57" s="54"/>
      <c r="Q57" s="54"/>
      <c r="R57" s="54"/>
      <c r="S57" s="54"/>
      <c r="T57" s="54"/>
      <c r="U57" s="54"/>
      <c r="V57" s="54"/>
      <c r="W57" s="54"/>
      <c r="X57" s="54"/>
      <c r="Y57" s="54"/>
      <c r="Z57" s="54"/>
      <c r="AA57" s="57"/>
      <c r="AB57" s="54"/>
      <c r="AC57" s="54"/>
      <c r="AD57" s="54"/>
      <c r="AE57" s="54"/>
      <c r="AF57" s="10"/>
      <c r="AG57" s="10"/>
      <c r="AH57" s="10"/>
      <c r="AI57" s="10"/>
      <c r="AJ57" s="10"/>
      <c r="BA57" s="885"/>
      <c r="BB57" s="884"/>
      <c r="BC57" s="886"/>
      <c r="BD57" s="886"/>
      <c r="BE57" s="886"/>
      <c r="BF57" s="886"/>
      <c r="BG57" s="897" t="s">
        <v>2891</v>
      </c>
      <c r="BH57" s="84"/>
      <c r="BI57" s="885"/>
      <c r="BJ57" s="885"/>
      <c r="BK57" s="898" t="s">
        <v>387</v>
      </c>
      <c r="BL57" s="886">
        <f t="shared" si="15"/>
        <v>4</v>
      </c>
      <c r="BM57" s="885">
        <v>45</v>
      </c>
      <c r="BN57" s="885"/>
      <c r="BO57" s="885"/>
      <c r="BP57" s="885"/>
      <c r="BQ57" s="885"/>
      <c r="BR57" s="887"/>
      <c r="BS57" s="887"/>
      <c r="BT57" s="887"/>
      <c r="BU57" s="800"/>
      <c r="BV57" s="800"/>
      <c r="BW57" s="800"/>
      <c r="BX57" s="800"/>
      <c r="BY57" s="800"/>
      <c r="BZ57" s="800"/>
      <c r="CA57" s="800"/>
      <c r="CB57" s="813"/>
      <c r="CC57" s="813"/>
    </row>
    <row r="58" spans="1:81" ht="13.5" customHeight="1">
      <c r="A58" s="49"/>
      <c r="B58" s="48"/>
      <c r="C58" s="48"/>
      <c r="D58" s="48"/>
      <c r="E58" s="48"/>
      <c r="F58" s="48"/>
      <c r="G58" s="48"/>
      <c r="H58" s="48"/>
      <c r="I58" s="48"/>
      <c r="J58" s="48"/>
      <c r="K58" s="48"/>
      <c r="L58" s="54"/>
      <c r="M58" s="54"/>
      <c r="N58" s="54"/>
      <c r="O58" s="54"/>
      <c r="P58" s="54"/>
      <c r="Q58" s="54"/>
      <c r="R58" s="54"/>
      <c r="S58" s="54"/>
      <c r="T58" s="54"/>
      <c r="U58" s="54"/>
      <c r="V58" s="54"/>
      <c r="W58" s="54"/>
      <c r="X58" s="54"/>
      <c r="Y58" s="54"/>
      <c r="Z58" s="54"/>
      <c r="AA58" s="57"/>
      <c r="AB58" s="54"/>
      <c r="AC58" s="54"/>
      <c r="AD58" s="54"/>
      <c r="AE58" s="54"/>
      <c r="AF58" s="10"/>
      <c r="AG58" s="10"/>
      <c r="AH58" s="10"/>
      <c r="AI58" s="10"/>
      <c r="AJ58" s="10"/>
      <c r="BA58" s="885"/>
      <c r="BB58" s="893" t="s">
        <v>338</v>
      </c>
      <c r="BC58" s="886"/>
      <c r="BD58" s="886"/>
      <c r="BE58" s="886"/>
      <c r="BF58" s="886"/>
      <c r="BG58" s="897" t="s">
        <v>2886</v>
      </c>
      <c r="BH58" s="84"/>
      <c r="BI58" s="885"/>
      <c r="BJ58" s="885"/>
      <c r="BK58" s="886"/>
      <c r="BL58" s="886">
        <f t="shared" si="15"/>
        <v>5</v>
      </c>
      <c r="BM58" s="885"/>
      <c r="BN58" s="885"/>
      <c r="BO58" s="885"/>
      <c r="BP58" s="885"/>
      <c r="BQ58" s="885"/>
      <c r="BR58" s="887"/>
      <c r="BS58" s="887"/>
      <c r="BT58" s="887"/>
      <c r="BU58" s="800"/>
      <c r="BV58" s="800"/>
      <c r="BW58" s="800"/>
      <c r="BX58" s="800"/>
      <c r="BY58" s="800"/>
      <c r="BZ58" s="800"/>
      <c r="CA58" s="800"/>
      <c r="CB58" s="813"/>
      <c r="CC58" s="813"/>
    </row>
    <row r="59" spans="1:81" ht="13.5" customHeight="1">
      <c r="A59" s="57"/>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7"/>
      <c r="AB59" s="54"/>
      <c r="AC59" s="54"/>
      <c r="AD59" s="54"/>
      <c r="AE59" s="54"/>
      <c r="AF59" s="10"/>
      <c r="AG59" s="10"/>
      <c r="AH59" s="10"/>
      <c r="AI59" s="10"/>
      <c r="AJ59" s="10"/>
      <c r="BA59" s="885"/>
      <c r="BB59" s="884" t="s">
        <v>486</v>
      </c>
      <c r="BC59" s="886"/>
      <c r="BD59" s="886"/>
      <c r="BE59" s="886"/>
      <c r="BF59" s="886"/>
      <c r="BG59" s="897" t="s">
        <v>2887</v>
      </c>
      <c r="BH59" s="84"/>
      <c r="BI59" s="885"/>
      <c r="BJ59" s="885"/>
      <c r="BK59" s="886"/>
      <c r="BL59" s="886">
        <f t="shared" si="15"/>
        <v>6</v>
      </c>
      <c r="BM59" s="885"/>
      <c r="BN59" s="885"/>
      <c r="BO59" s="885"/>
      <c r="BP59" s="885"/>
      <c r="BQ59" s="885"/>
      <c r="BR59" s="887"/>
      <c r="BS59" s="887"/>
      <c r="BT59" s="887"/>
      <c r="BU59" s="800"/>
      <c r="BV59" s="800"/>
      <c r="BW59" s="800"/>
      <c r="BX59" s="800"/>
      <c r="BY59" s="800"/>
      <c r="BZ59" s="800"/>
      <c r="CA59" s="800"/>
      <c r="CB59" s="813"/>
      <c r="CC59" s="813"/>
    </row>
    <row r="60" spans="1:81" ht="13.5" customHeight="1">
      <c r="A60" s="57"/>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7"/>
      <c r="AB60" s="54"/>
      <c r="AC60" s="54"/>
      <c r="AD60" s="54"/>
      <c r="AE60" s="54"/>
      <c r="AF60" s="10"/>
      <c r="AG60" s="10"/>
      <c r="AH60" s="10"/>
      <c r="AI60" s="10"/>
      <c r="AJ60" s="10"/>
      <c r="BA60" s="885"/>
      <c r="BB60" s="884" t="s">
        <v>487</v>
      </c>
      <c r="BC60" s="886"/>
      <c r="BD60" s="886"/>
      <c r="BE60" s="886"/>
      <c r="BF60" s="886"/>
      <c r="BG60" s="897" t="s">
        <v>2888</v>
      </c>
      <c r="BH60" s="84"/>
      <c r="BI60" s="885"/>
      <c r="BJ60" s="885"/>
      <c r="BK60" s="886"/>
      <c r="BL60" s="886">
        <f t="shared" si="15"/>
        <v>7</v>
      </c>
      <c r="BM60" s="885"/>
      <c r="BN60" s="885"/>
      <c r="BO60" s="885"/>
      <c r="BP60" s="885"/>
      <c r="BQ60" s="885"/>
      <c r="BR60" s="887"/>
      <c r="BS60" s="887"/>
      <c r="BT60" s="887"/>
      <c r="BU60" s="800"/>
      <c r="BV60" s="800"/>
      <c r="BW60" s="800"/>
      <c r="BX60" s="800"/>
      <c r="BY60" s="800"/>
      <c r="BZ60" s="800"/>
      <c r="CA60" s="800"/>
      <c r="CB60" s="813"/>
      <c r="CC60" s="813"/>
    </row>
    <row r="61" spans="1:81" ht="13.5" customHeight="1">
      <c r="A61" s="57"/>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7"/>
      <c r="AB61" s="54"/>
      <c r="AC61" s="54"/>
      <c r="AD61" s="54"/>
      <c r="AE61" s="54"/>
      <c r="AF61" s="10"/>
      <c r="AG61" s="10"/>
      <c r="AH61" s="10"/>
      <c r="AI61" s="10"/>
      <c r="AJ61" s="10"/>
      <c r="BA61" s="885"/>
      <c r="BB61" s="884" t="s">
        <v>488</v>
      </c>
      <c r="BC61" s="886"/>
      <c r="BD61" s="886"/>
      <c r="BE61" s="886"/>
      <c r="BF61" s="886"/>
      <c r="BG61" s="84"/>
      <c r="BH61" s="84"/>
      <c r="BI61" s="885"/>
      <c r="BJ61" s="885"/>
      <c r="BK61" s="886"/>
      <c r="BL61" s="886">
        <f t="shared" si="15"/>
        <v>8</v>
      </c>
      <c r="BM61" s="885"/>
      <c r="BN61" s="885"/>
      <c r="BO61" s="885"/>
      <c r="BP61" s="885"/>
      <c r="BQ61" s="885"/>
      <c r="BR61" s="887"/>
      <c r="BS61" s="887"/>
      <c r="BT61" s="887"/>
      <c r="BU61" s="800"/>
      <c r="BV61" s="800"/>
      <c r="BW61" s="800"/>
      <c r="BX61" s="800"/>
      <c r="BY61" s="800"/>
      <c r="BZ61" s="800"/>
      <c r="CA61" s="800"/>
      <c r="CB61" s="813"/>
      <c r="CC61" s="813"/>
    </row>
    <row r="62" spans="1:81" ht="13.5" customHeight="1">
      <c r="A62" s="57"/>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7"/>
      <c r="AB62" s="54"/>
      <c r="AC62" s="54"/>
      <c r="AD62" s="54"/>
      <c r="AE62" s="54"/>
      <c r="AF62" s="10"/>
      <c r="AG62" s="10"/>
      <c r="AH62" s="10"/>
      <c r="AI62" s="10"/>
      <c r="AJ62" s="10"/>
      <c r="BA62" s="885"/>
      <c r="BB62" s="884" t="s">
        <v>489</v>
      </c>
      <c r="BC62" s="886"/>
      <c r="BD62" s="886"/>
      <c r="BE62" s="886"/>
      <c r="BF62" s="886"/>
      <c r="BG62" s="899"/>
      <c r="BH62" s="885"/>
      <c r="BI62" s="885"/>
      <c r="BJ62" s="885"/>
      <c r="BK62" s="886"/>
      <c r="BL62" s="886">
        <f t="shared" si="15"/>
        <v>9</v>
      </c>
      <c r="BM62" s="885"/>
      <c r="BN62" s="885"/>
      <c r="BO62" s="885"/>
      <c r="BP62" s="885"/>
      <c r="BQ62" s="885"/>
      <c r="BR62" s="887"/>
      <c r="BS62" s="887"/>
      <c r="BT62" s="887"/>
      <c r="BU62" s="800"/>
      <c r="BV62" s="800"/>
      <c r="BW62" s="800"/>
      <c r="BX62" s="800"/>
      <c r="BY62" s="800"/>
      <c r="BZ62" s="800"/>
      <c r="CA62" s="800"/>
      <c r="CB62" s="813"/>
      <c r="CC62" s="813"/>
    </row>
    <row r="63" spans="1:81" ht="13.5" customHeight="1">
      <c r="A63" s="57"/>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7"/>
      <c r="AB63" s="54"/>
      <c r="AC63" s="54"/>
      <c r="AD63" s="54"/>
      <c r="AE63" s="54"/>
      <c r="AF63" s="10"/>
      <c r="AG63" s="10"/>
      <c r="AH63" s="10"/>
      <c r="AI63" s="10"/>
      <c r="AJ63" s="10"/>
      <c r="BA63" s="885"/>
      <c r="BB63" s="885"/>
      <c r="BC63" s="886"/>
      <c r="BD63" s="886"/>
      <c r="BE63" s="886"/>
      <c r="BF63" s="886"/>
      <c r="BG63" s="900"/>
      <c r="BH63" s="885"/>
      <c r="BI63" s="885"/>
      <c r="BJ63" s="885"/>
      <c r="BK63" s="886"/>
      <c r="BL63" s="886">
        <f t="shared" si="15"/>
        <v>10</v>
      </c>
      <c r="BM63" s="885"/>
      <c r="BN63" s="885"/>
      <c r="BO63" s="885"/>
      <c r="BP63" s="885"/>
      <c r="BQ63" s="885"/>
      <c r="BR63" s="887"/>
      <c r="BS63" s="887"/>
      <c r="BT63" s="887"/>
      <c r="BU63" s="800"/>
      <c r="BV63" s="800"/>
      <c r="BW63" s="800"/>
      <c r="BX63" s="800"/>
      <c r="BY63" s="800"/>
      <c r="BZ63" s="800"/>
      <c r="CA63" s="800"/>
      <c r="CB63" s="813"/>
      <c r="CC63" s="813"/>
    </row>
    <row r="64" spans="1:81" ht="13.5" customHeight="1">
      <c r="A64" s="57"/>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7"/>
      <c r="AB64" s="54"/>
      <c r="AC64" s="54"/>
      <c r="AD64" s="54"/>
      <c r="AE64" s="54"/>
      <c r="AF64" s="10"/>
      <c r="AG64" s="10"/>
      <c r="AH64" s="10"/>
      <c r="AI64" s="10"/>
      <c r="AJ64" s="10"/>
      <c r="BA64" s="885"/>
      <c r="BB64" s="893" t="s">
        <v>339</v>
      </c>
      <c r="BC64" s="886"/>
      <c r="BD64" s="886"/>
      <c r="BE64" s="886"/>
      <c r="BF64" s="886"/>
      <c r="BG64" s="894" t="s">
        <v>477</v>
      </c>
      <c r="BH64" s="885"/>
      <c r="BI64" s="885"/>
      <c r="BJ64" s="885"/>
      <c r="BK64" s="886"/>
      <c r="BL64" s="886">
        <f t="shared" si="15"/>
        <v>11</v>
      </c>
      <c r="BM64" s="885"/>
      <c r="BN64" s="885"/>
      <c r="BO64" s="885"/>
      <c r="BP64" s="885"/>
      <c r="BQ64" s="885"/>
      <c r="BR64" s="887"/>
      <c r="BS64" s="887"/>
      <c r="BT64" s="887"/>
      <c r="BU64" s="800"/>
      <c r="BV64" s="800"/>
      <c r="BW64" s="800"/>
      <c r="BX64" s="800"/>
      <c r="BY64" s="800"/>
      <c r="BZ64" s="800"/>
      <c r="CA64" s="800"/>
      <c r="CB64" s="813"/>
      <c r="CC64" s="813"/>
    </row>
    <row r="65" spans="1:81" ht="13.5" customHeight="1">
      <c r="A65" s="57"/>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7"/>
      <c r="AB65" s="54"/>
      <c r="AC65" s="54"/>
      <c r="AD65" s="54"/>
      <c r="AE65" s="54"/>
      <c r="AF65" s="10"/>
      <c r="AG65" s="10"/>
      <c r="AH65" s="10"/>
      <c r="AI65" s="10"/>
      <c r="AJ65" s="10"/>
      <c r="BA65" s="885"/>
      <c r="BB65" s="884" t="s">
        <v>340</v>
      </c>
      <c r="BC65" s="885"/>
      <c r="BD65" s="885"/>
      <c r="BE65" s="885"/>
      <c r="BF65" s="885"/>
      <c r="BG65" s="895" t="s">
        <v>2885</v>
      </c>
      <c r="BH65" s="885"/>
      <c r="BI65" s="885"/>
      <c r="BJ65" s="885"/>
      <c r="BK65" s="886"/>
      <c r="BL65" s="886">
        <f t="shared" si="15"/>
        <v>12</v>
      </c>
      <c r="BM65" s="885"/>
      <c r="BN65" s="885"/>
      <c r="BO65" s="885"/>
      <c r="BP65" s="885"/>
      <c r="BQ65" s="885"/>
      <c r="BR65" s="887"/>
      <c r="BS65" s="887"/>
      <c r="BT65" s="887"/>
      <c r="BU65" s="800"/>
      <c r="BV65" s="800"/>
      <c r="BW65" s="800"/>
      <c r="BX65" s="800"/>
      <c r="BY65" s="800"/>
      <c r="BZ65" s="800"/>
      <c r="CA65" s="800"/>
      <c r="CB65" s="813"/>
      <c r="CC65" s="813"/>
    </row>
    <row r="66" spans="1:81" ht="13.5" customHeight="1">
      <c r="A66" s="57"/>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7"/>
      <c r="AB66" s="54"/>
      <c r="AC66" s="54"/>
      <c r="AD66" s="54"/>
      <c r="AE66" s="54"/>
      <c r="AF66" s="10"/>
      <c r="AG66" s="10"/>
      <c r="AH66" s="10"/>
      <c r="AI66" s="10"/>
      <c r="AJ66" s="10"/>
      <c r="BA66" s="885"/>
      <c r="BB66" s="884" t="s">
        <v>342</v>
      </c>
      <c r="BC66" s="885"/>
      <c r="BD66" s="885"/>
      <c r="BE66" s="885"/>
      <c r="BF66" s="885"/>
      <c r="BG66" s="897" t="s">
        <v>2889</v>
      </c>
      <c r="BH66" s="885"/>
      <c r="BI66" s="885"/>
      <c r="BJ66" s="885"/>
      <c r="BK66" s="886"/>
      <c r="BL66" s="886">
        <f t="shared" si="15"/>
        <v>13</v>
      </c>
      <c r="BM66" s="885"/>
      <c r="BN66" s="885"/>
      <c r="BO66" s="885"/>
      <c r="BP66" s="885"/>
      <c r="BQ66" s="885"/>
      <c r="BR66" s="887"/>
      <c r="BS66" s="887"/>
      <c r="BT66" s="887"/>
      <c r="BU66" s="800"/>
      <c r="BV66" s="800"/>
      <c r="BW66" s="800"/>
      <c r="BX66" s="800"/>
      <c r="BY66" s="800"/>
      <c r="BZ66" s="800"/>
      <c r="CA66" s="800"/>
      <c r="CB66" s="813"/>
      <c r="CC66" s="813"/>
    </row>
    <row r="67" spans="1:81" ht="13.5" customHeight="1">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10"/>
      <c r="AG67" s="10"/>
      <c r="AH67" s="10"/>
      <c r="AI67" s="10"/>
      <c r="AJ67" s="10"/>
      <c r="BA67" s="885"/>
      <c r="BB67" s="884" t="s">
        <v>344</v>
      </c>
      <c r="BC67" s="885"/>
      <c r="BD67" s="885"/>
      <c r="BE67" s="885"/>
      <c r="BF67" s="885"/>
      <c r="BG67" s="897" t="s">
        <v>2890</v>
      </c>
      <c r="BH67" s="885"/>
      <c r="BI67" s="885"/>
      <c r="BJ67" s="885"/>
      <c r="BK67" s="886"/>
      <c r="BL67" s="886">
        <f t="shared" si="15"/>
        <v>14</v>
      </c>
      <c r="BM67" s="885"/>
      <c r="BN67" s="885"/>
      <c r="BO67" s="885"/>
      <c r="BP67" s="885"/>
      <c r="BQ67" s="885"/>
      <c r="BR67" s="887"/>
      <c r="BS67" s="887"/>
      <c r="BT67" s="887"/>
      <c r="BU67" s="800"/>
      <c r="BV67" s="800"/>
      <c r="BW67" s="800"/>
      <c r="BX67" s="800"/>
      <c r="BY67" s="800"/>
      <c r="BZ67" s="800"/>
      <c r="CA67" s="800"/>
      <c r="CB67" s="813"/>
      <c r="CC67" s="813"/>
    </row>
    <row r="68" spans="1:81" ht="13.5" customHeight="1">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10"/>
      <c r="AG68" s="10"/>
      <c r="AH68" s="10"/>
      <c r="AI68" s="10"/>
      <c r="AJ68" s="10"/>
      <c r="BA68" s="885"/>
      <c r="BB68" s="884" t="s">
        <v>346</v>
      </c>
      <c r="BC68" s="885"/>
      <c r="BD68" s="885"/>
      <c r="BE68" s="885"/>
      <c r="BF68" s="885"/>
      <c r="BG68" s="897" t="s">
        <v>2891</v>
      </c>
      <c r="BH68" s="885"/>
      <c r="BI68" s="885"/>
      <c r="BJ68" s="885"/>
      <c r="BK68" s="886"/>
      <c r="BL68" s="886">
        <f t="shared" si="15"/>
        <v>15</v>
      </c>
      <c r="BM68" s="885"/>
      <c r="BN68" s="885"/>
      <c r="BO68" s="885"/>
      <c r="BP68" s="885"/>
      <c r="BQ68" s="885"/>
      <c r="BR68" s="887"/>
      <c r="BS68" s="887"/>
      <c r="BT68" s="887"/>
      <c r="BU68" s="800"/>
      <c r="BV68" s="800"/>
      <c r="BW68" s="800"/>
      <c r="BX68" s="800"/>
      <c r="BY68" s="800"/>
      <c r="BZ68" s="800"/>
      <c r="CA68" s="800"/>
      <c r="CB68" s="813"/>
      <c r="CC68" s="813"/>
    </row>
    <row r="69" spans="1:81" ht="13.5" customHeight="1">
      <c r="AF69" s="10"/>
      <c r="AG69" s="10"/>
      <c r="AH69" s="10"/>
      <c r="AI69" s="10"/>
      <c r="AJ69" s="10"/>
      <c r="BA69" s="885"/>
      <c r="BB69" s="884" t="s">
        <v>348</v>
      </c>
      <c r="BC69" s="885"/>
      <c r="BD69" s="885"/>
      <c r="BE69" s="885"/>
      <c r="BF69" s="885"/>
      <c r="BG69" s="897" t="s">
        <v>2886</v>
      </c>
      <c r="BH69" s="885"/>
      <c r="BI69" s="885"/>
      <c r="BJ69" s="885"/>
      <c r="BK69" s="886"/>
      <c r="BL69" s="886">
        <f t="shared" si="15"/>
        <v>16</v>
      </c>
      <c r="BM69" s="885"/>
      <c r="BN69" s="885"/>
      <c r="BO69" s="885"/>
      <c r="BP69" s="885"/>
      <c r="BQ69" s="885"/>
      <c r="BR69" s="887"/>
      <c r="BS69" s="887"/>
      <c r="BT69" s="887"/>
      <c r="BU69" s="800"/>
      <c r="BV69" s="800"/>
      <c r="BW69" s="800"/>
      <c r="BX69" s="800"/>
      <c r="BY69" s="800"/>
      <c r="BZ69" s="800"/>
      <c r="CA69" s="800"/>
      <c r="CB69" s="813"/>
      <c r="CC69" s="813"/>
    </row>
    <row r="70" spans="1:81" ht="13.5" customHeight="1">
      <c r="AF70" s="10"/>
      <c r="AG70" s="10"/>
      <c r="AH70" s="10"/>
      <c r="AI70" s="10"/>
      <c r="AJ70" s="10"/>
      <c r="BA70" s="885"/>
      <c r="BB70" s="884" t="s">
        <v>350</v>
      </c>
      <c r="BC70" s="885"/>
      <c r="BD70" s="885"/>
      <c r="BE70" s="885"/>
      <c r="BF70" s="885"/>
      <c r="BG70" s="897" t="s">
        <v>2887</v>
      </c>
      <c r="BH70" s="885"/>
      <c r="BI70" s="885"/>
      <c r="BJ70" s="885"/>
      <c r="BK70" s="886"/>
      <c r="BL70" s="886">
        <f t="shared" si="15"/>
        <v>17</v>
      </c>
      <c r="BM70" s="885"/>
      <c r="BN70" s="885"/>
      <c r="BO70" s="885"/>
      <c r="BP70" s="885"/>
      <c r="BQ70" s="885"/>
      <c r="BR70" s="887"/>
      <c r="BS70" s="887"/>
      <c r="BT70" s="887"/>
      <c r="BU70" s="800"/>
      <c r="BV70" s="800"/>
      <c r="BW70" s="800"/>
      <c r="BX70" s="800"/>
      <c r="BY70" s="800"/>
      <c r="BZ70" s="800"/>
      <c r="CA70" s="800"/>
      <c r="CB70" s="813"/>
      <c r="CC70" s="813"/>
    </row>
    <row r="71" spans="1:81" ht="13.5" customHeight="1">
      <c r="AF71" s="10"/>
      <c r="AG71" s="10"/>
      <c r="AH71" s="10"/>
      <c r="AI71" s="10"/>
      <c r="AJ71" s="10"/>
      <c r="BA71" s="885"/>
      <c r="BB71" s="884" t="s">
        <v>351</v>
      </c>
      <c r="BC71" s="885"/>
      <c r="BD71" s="885"/>
      <c r="BE71" s="885"/>
      <c r="BF71" s="885"/>
      <c r="BG71" s="897" t="s">
        <v>2888</v>
      </c>
      <c r="BH71" s="885"/>
      <c r="BI71" s="885"/>
      <c r="BJ71" s="885"/>
      <c r="BK71" s="886"/>
      <c r="BL71" s="886">
        <f t="shared" si="15"/>
        <v>18</v>
      </c>
      <c r="BM71" s="885"/>
      <c r="BN71" s="885"/>
      <c r="BO71" s="885"/>
      <c r="BP71" s="885"/>
      <c r="BQ71" s="885"/>
      <c r="BR71" s="887"/>
      <c r="BS71" s="887"/>
      <c r="BT71" s="887"/>
      <c r="BU71" s="800"/>
      <c r="BV71" s="800"/>
      <c r="BW71" s="800"/>
      <c r="BX71" s="800"/>
      <c r="BY71" s="800"/>
      <c r="BZ71" s="800"/>
      <c r="CA71" s="800"/>
      <c r="CB71" s="813"/>
      <c r="CC71" s="813"/>
    </row>
    <row r="72" spans="1:81" ht="13.5" customHeight="1">
      <c r="AF72" s="10"/>
      <c r="AG72" s="10"/>
      <c r="AH72" s="10"/>
      <c r="AI72" s="10"/>
      <c r="AJ72" s="10"/>
      <c r="BA72" s="885"/>
      <c r="BB72" s="884" t="s">
        <v>353</v>
      </c>
      <c r="BC72" s="885"/>
      <c r="BD72" s="885"/>
      <c r="BE72" s="885"/>
      <c r="BF72" s="885"/>
      <c r="BG72" s="895" t="s">
        <v>3078</v>
      </c>
      <c r="BH72" s="885"/>
      <c r="BI72" s="885"/>
      <c r="BJ72" s="885"/>
      <c r="BK72" s="886"/>
      <c r="BL72" s="886">
        <f t="shared" si="15"/>
        <v>19</v>
      </c>
      <c r="BM72" s="885"/>
      <c r="BN72" s="885"/>
      <c r="BO72" s="885"/>
      <c r="BP72" s="885"/>
      <c r="BQ72" s="885"/>
      <c r="BR72" s="887"/>
      <c r="BS72" s="887"/>
      <c r="BT72" s="887"/>
      <c r="BU72" s="800"/>
      <c r="BV72" s="800"/>
      <c r="BW72" s="800"/>
      <c r="BX72" s="800"/>
      <c r="BY72" s="800"/>
      <c r="BZ72" s="800"/>
      <c r="CA72" s="800"/>
      <c r="CB72" s="813"/>
      <c r="CC72" s="813"/>
    </row>
    <row r="73" spans="1:81" ht="13.5" customHeight="1">
      <c r="AF73" s="10"/>
      <c r="AG73" s="10"/>
      <c r="AH73" s="10"/>
      <c r="AI73" s="10"/>
      <c r="AJ73" s="10"/>
      <c r="BA73" s="885"/>
      <c r="BB73" s="884" t="s">
        <v>355</v>
      </c>
      <c r="BC73" s="885"/>
      <c r="BD73" s="885"/>
      <c r="BE73" s="885"/>
      <c r="BF73" s="885"/>
      <c r="BG73" s="899" t="s">
        <v>3081</v>
      </c>
      <c r="BH73" s="885"/>
      <c r="BI73" s="885"/>
      <c r="BJ73" s="885"/>
      <c r="BK73" s="886"/>
      <c r="BL73" s="886">
        <f t="shared" si="15"/>
        <v>20</v>
      </c>
      <c r="BM73" s="885"/>
      <c r="BN73" s="885"/>
      <c r="BO73" s="885"/>
      <c r="BP73" s="885"/>
      <c r="BQ73" s="885"/>
      <c r="BR73" s="887"/>
      <c r="BS73" s="887"/>
      <c r="BT73" s="887"/>
      <c r="BU73" s="800"/>
      <c r="BV73" s="800"/>
      <c r="BW73" s="800"/>
      <c r="BX73" s="800"/>
      <c r="BY73" s="800"/>
      <c r="BZ73" s="800"/>
      <c r="CA73" s="800"/>
      <c r="CB73" s="813"/>
      <c r="CC73" s="813"/>
    </row>
    <row r="74" spans="1:81" ht="13.5" customHeight="1">
      <c r="AF74" s="10"/>
      <c r="AG74" s="10"/>
      <c r="AH74" s="10"/>
      <c r="AI74" s="10"/>
      <c r="AJ74" s="10"/>
      <c r="BA74" s="885"/>
      <c r="BB74" s="884" t="s">
        <v>357</v>
      </c>
      <c r="BC74" s="885"/>
      <c r="BD74" s="885"/>
      <c r="BE74" s="885"/>
      <c r="BF74" s="885"/>
      <c r="BG74" s="84" t="s">
        <v>3082</v>
      </c>
      <c r="BH74" s="885"/>
      <c r="BI74" s="885"/>
      <c r="BJ74" s="885"/>
      <c r="BK74" s="886"/>
      <c r="BL74" s="886">
        <f t="shared" si="15"/>
        <v>21</v>
      </c>
      <c r="BM74" s="885"/>
      <c r="BN74" s="885"/>
      <c r="BO74" s="885"/>
      <c r="BP74" s="885"/>
      <c r="BQ74" s="885"/>
      <c r="BR74" s="887"/>
      <c r="BS74" s="887"/>
      <c r="BT74" s="887"/>
      <c r="BU74" s="800"/>
      <c r="BV74" s="800"/>
      <c r="BW74" s="800"/>
      <c r="BX74" s="800"/>
      <c r="BY74" s="800"/>
      <c r="BZ74" s="800"/>
      <c r="CA74" s="800"/>
      <c r="CB74" s="813"/>
      <c r="CC74" s="813"/>
    </row>
    <row r="75" spans="1:81" ht="13.5" customHeight="1">
      <c r="AF75" s="10"/>
      <c r="AG75" s="10"/>
      <c r="AH75" s="10"/>
      <c r="AI75" s="10"/>
      <c r="AJ75" s="10"/>
      <c r="BA75" s="885"/>
      <c r="BB75" s="884" t="s">
        <v>358</v>
      </c>
      <c r="BC75" s="885"/>
      <c r="BD75" s="885"/>
      <c r="BE75" s="885"/>
      <c r="BF75" s="885"/>
      <c r="BG75" s="84" t="s">
        <v>3102</v>
      </c>
      <c r="BH75" s="885"/>
      <c r="BI75" s="885"/>
      <c r="BJ75" s="885"/>
      <c r="BK75" s="886"/>
      <c r="BL75" s="886">
        <f t="shared" si="15"/>
        <v>22</v>
      </c>
      <c r="BM75" s="885"/>
      <c r="BN75" s="885"/>
      <c r="BO75" s="885"/>
      <c r="BP75" s="885"/>
      <c r="BQ75" s="885"/>
      <c r="BR75" s="887"/>
      <c r="BS75" s="887"/>
      <c r="BT75" s="887"/>
      <c r="BU75" s="800"/>
      <c r="BV75" s="800"/>
      <c r="BW75" s="800"/>
      <c r="BX75" s="800"/>
      <c r="BY75" s="800"/>
      <c r="BZ75" s="800"/>
      <c r="CA75" s="800"/>
      <c r="CB75" s="813"/>
      <c r="CC75" s="813"/>
    </row>
    <row r="76" spans="1:81" ht="13.5" customHeight="1">
      <c r="AF76" s="10"/>
      <c r="AG76" s="10"/>
      <c r="AH76" s="10"/>
      <c r="AI76" s="10"/>
      <c r="AJ76" s="10"/>
      <c r="BA76" s="885"/>
      <c r="BB76" s="884" t="s">
        <v>359</v>
      </c>
      <c r="BC76" s="885"/>
      <c r="BD76" s="885"/>
      <c r="BE76" s="885"/>
      <c r="BF76" s="885"/>
      <c r="BG76" s="84"/>
      <c r="BH76" s="885"/>
      <c r="BI76" s="885"/>
      <c r="BJ76" s="885"/>
      <c r="BK76" s="886"/>
      <c r="BL76" s="886">
        <f t="shared" si="15"/>
        <v>23</v>
      </c>
      <c r="BM76" s="885"/>
      <c r="BN76" s="885"/>
      <c r="BO76" s="885"/>
      <c r="BP76" s="885"/>
      <c r="BQ76" s="885"/>
      <c r="BR76" s="887"/>
      <c r="BS76" s="887"/>
      <c r="BT76" s="887"/>
      <c r="BU76" s="800"/>
      <c r="BV76" s="800"/>
      <c r="BW76" s="800"/>
      <c r="BX76" s="800"/>
      <c r="BY76" s="800"/>
      <c r="BZ76" s="800"/>
      <c r="CA76" s="800"/>
      <c r="CB76" s="813"/>
      <c r="CC76" s="813"/>
    </row>
    <row r="77" spans="1:81" ht="13.5" customHeight="1">
      <c r="AF77" s="10"/>
      <c r="AG77" s="10"/>
      <c r="AH77" s="10"/>
      <c r="AI77" s="10"/>
      <c r="AJ77" s="10"/>
      <c r="BA77" s="885"/>
      <c r="BB77" s="884" t="s">
        <v>360</v>
      </c>
      <c r="BC77" s="885"/>
      <c r="BD77" s="885"/>
      <c r="BE77" s="885"/>
      <c r="BF77" s="885"/>
      <c r="BG77" s="84"/>
      <c r="BH77" s="885"/>
      <c r="BI77" s="885"/>
      <c r="BJ77" s="885"/>
      <c r="BK77" s="886"/>
      <c r="BL77" s="886">
        <f>BL76+1</f>
        <v>24</v>
      </c>
      <c r="BM77" s="885"/>
      <c r="BN77" s="885"/>
      <c r="BO77" s="885"/>
      <c r="BP77" s="885"/>
      <c r="BQ77" s="885"/>
      <c r="BR77" s="887"/>
      <c r="BS77" s="887"/>
      <c r="BT77" s="887"/>
      <c r="BU77" s="800"/>
      <c r="BV77" s="800"/>
      <c r="BW77" s="800"/>
      <c r="BX77" s="800"/>
      <c r="BY77" s="800"/>
      <c r="BZ77" s="800"/>
      <c r="CA77" s="800"/>
      <c r="CB77" s="813"/>
      <c r="CC77" s="813"/>
    </row>
    <row r="78" spans="1:81" ht="13.5" customHeight="1">
      <c r="AF78" s="10"/>
      <c r="AG78" s="10"/>
      <c r="AH78" s="10"/>
      <c r="AI78" s="10"/>
      <c r="AJ78" s="10"/>
      <c r="BA78" s="885"/>
      <c r="BB78" s="893" t="s">
        <v>361</v>
      </c>
      <c r="BC78" s="885"/>
      <c r="BD78" s="885"/>
      <c r="BE78" s="885"/>
      <c r="BF78" s="885"/>
      <c r="BG78" s="84"/>
      <c r="BH78" s="885"/>
      <c r="BI78" s="885"/>
      <c r="BJ78" s="885"/>
      <c r="BK78" s="886"/>
      <c r="BL78" s="886">
        <f t="shared" si="15"/>
        <v>25</v>
      </c>
      <c r="BM78" s="885"/>
      <c r="BN78" s="885"/>
      <c r="BO78" s="885"/>
      <c r="BP78" s="885"/>
      <c r="BQ78" s="885"/>
      <c r="BR78" s="887"/>
      <c r="BS78" s="887"/>
      <c r="BT78" s="887"/>
      <c r="BU78" s="800"/>
      <c r="BV78" s="800"/>
      <c r="BW78" s="800"/>
      <c r="BX78" s="800"/>
      <c r="BY78" s="800"/>
      <c r="BZ78" s="800"/>
      <c r="CA78" s="800"/>
      <c r="CB78" s="813"/>
      <c r="CC78" s="813"/>
    </row>
    <row r="79" spans="1:81" ht="13.5" customHeight="1">
      <c r="AF79" s="10"/>
      <c r="AG79" s="10"/>
      <c r="AH79" s="10"/>
      <c r="AI79" s="10"/>
      <c r="AJ79" s="10"/>
      <c r="BA79" s="885"/>
      <c r="BB79" s="884" t="s">
        <v>362</v>
      </c>
      <c r="BC79" s="885"/>
      <c r="BD79" s="885"/>
      <c r="BE79" s="885"/>
      <c r="BF79" s="885"/>
      <c r="BG79" s="884"/>
      <c r="BH79" s="885"/>
      <c r="BI79" s="885"/>
      <c r="BJ79" s="885"/>
      <c r="BK79" s="886"/>
      <c r="BL79" s="886">
        <f t="shared" si="15"/>
        <v>26</v>
      </c>
      <c r="BM79" s="885"/>
      <c r="BN79" s="885"/>
      <c r="BO79" s="885"/>
      <c r="BP79" s="885"/>
      <c r="BQ79" s="885"/>
      <c r="BR79" s="887"/>
      <c r="BS79" s="887"/>
      <c r="BT79" s="887"/>
      <c r="BU79" s="800"/>
      <c r="BV79" s="800"/>
      <c r="BW79" s="800"/>
      <c r="BX79" s="800"/>
      <c r="BY79" s="800"/>
      <c r="BZ79" s="800"/>
      <c r="CA79" s="800"/>
      <c r="CB79" s="813"/>
      <c r="CC79" s="813"/>
    </row>
    <row r="80" spans="1:81" ht="13.5" customHeight="1">
      <c r="AF80" s="10"/>
      <c r="AG80" s="10"/>
      <c r="AH80" s="10"/>
      <c r="AI80" s="10"/>
      <c r="AJ80" s="10"/>
      <c r="BA80" s="885"/>
      <c r="BB80" s="884" t="s">
        <v>363</v>
      </c>
      <c r="BC80" s="885"/>
      <c r="BD80" s="885"/>
      <c r="BE80" s="885"/>
      <c r="BF80" s="885"/>
      <c r="BG80" s="884"/>
      <c r="BH80" s="885"/>
      <c r="BI80" s="885"/>
      <c r="BJ80" s="885"/>
      <c r="BK80" s="886"/>
      <c r="BL80" s="886">
        <f t="shared" si="15"/>
        <v>27</v>
      </c>
      <c r="BM80" s="885"/>
      <c r="BN80" s="885"/>
      <c r="BO80" s="885"/>
      <c r="BP80" s="885"/>
      <c r="BQ80" s="885"/>
      <c r="BR80" s="887"/>
      <c r="BS80" s="887"/>
      <c r="BT80" s="887"/>
      <c r="BU80" s="800"/>
      <c r="BV80" s="800"/>
      <c r="BW80" s="800"/>
      <c r="BX80" s="800"/>
      <c r="BY80" s="800"/>
      <c r="BZ80" s="800"/>
      <c r="CA80" s="800"/>
      <c r="CB80" s="813"/>
      <c r="CC80" s="813"/>
    </row>
    <row r="81" spans="32:81" ht="13.5" customHeight="1">
      <c r="AF81" s="10"/>
      <c r="AG81" s="10"/>
      <c r="AH81" s="10"/>
      <c r="AI81" s="10"/>
      <c r="AJ81" s="10"/>
      <c r="BA81" s="885"/>
      <c r="BB81" s="885"/>
      <c r="BC81" s="885"/>
      <c r="BD81" s="885"/>
      <c r="BE81" s="885"/>
      <c r="BF81" s="885"/>
      <c r="BG81" s="884"/>
      <c r="BH81" s="885"/>
      <c r="BI81" s="885"/>
      <c r="BJ81" s="885"/>
      <c r="BK81" s="886"/>
      <c r="BL81" s="886">
        <f t="shared" si="15"/>
        <v>28</v>
      </c>
      <c r="BM81" s="885"/>
      <c r="BN81" s="885"/>
      <c r="BO81" s="885"/>
      <c r="BP81" s="885"/>
      <c r="BQ81" s="885"/>
      <c r="BR81" s="887"/>
      <c r="BS81" s="887"/>
      <c r="BT81" s="887"/>
      <c r="BU81" s="800"/>
      <c r="BV81" s="800"/>
      <c r="BW81" s="800"/>
      <c r="BX81" s="800"/>
      <c r="BY81" s="800"/>
      <c r="BZ81" s="800"/>
      <c r="CA81" s="800"/>
      <c r="CB81" s="813"/>
      <c r="CC81" s="813"/>
    </row>
    <row r="82" spans="32:81" ht="13.5" customHeight="1">
      <c r="AF82" s="10"/>
      <c r="AG82" s="10"/>
      <c r="AH82" s="10"/>
      <c r="AI82" s="10"/>
      <c r="AJ82" s="10"/>
      <c r="BA82" s="885"/>
      <c r="BB82" s="893" t="s">
        <v>366</v>
      </c>
      <c r="BC82" s="885"/>
      <c r="BD82" s="885"/>
      <c r="BE82" s="885"/>
      <c r="BF82" s="885"/>
      <c r="BG82" s="884"/>
      <c r="BH82" s="885"/>
      <c r="BI82" s="885"/>
      <c r="BJ82" s="885"/>
      <c r="BK82" s="886"/>
      <c r="BL82" s="886">
        <f t="shared" si="15"/>
        <v>29</v>
      </c>
      <c r="BM82" s="885"/>
      <c r="BN82" s="885"/>
      <c r="BO82" s="885"/>
      <c r="BP82" s="885"/>
      <c r="BQ82" s="885"/>
      <c r="BR82" s="887"/>
      <c r="BS82" s="887"/>
      <c r="BT82" s="887"/>
      <c r="BU82" s="800"/>
      <c r="BV82" s="800"/>
      <c r="BW82" s="800"/>
      <c r="BX82" s="800"/>
      <c r="BY82" s="800"/>
      <c r="BZ82" s="800"/>
      <c r="CA82" s="800"/>
      <c r="CB82" s="813"/>
      <c r="CC82" s="813"/>
    </row>
    <row r="83" spans="32:81" ht="13.5" customHeight="1">
      <c r="AF83" s="10"/>
      <c r="AG83" s="10"/>
      <c r="AH83" s="10"/>
      <c r="AI83" s="10"/>
      <c r="AJ83" s="10"/>
      <c r="BA83" s="885"/>
      <c r="BB83" s="884" t="s">
        <v>368</v>
      </c>
      <c r="BC83" s="885"/>
      <c r="BD83" s="885"/>
      <c r="BE83" s="885"/>
      <c r="BF83" s="885"/>
      <c r="BG83" s="884"/>
      <c r="BH83" s="885"/>
      <c r="BI83" s="885"/>
      <c r="BJ83" s="885"/>
      <c r="BK83" s="886"/>
      <c r="BL83" s="886">
        <f t="shared" si="15"/>
        <v>30</v>
      </c>
      <c r="BM83" s="885"/>
      <c r="BN83" s="885"/>
      <c r="BO83" s="885"/>
      <c r="BP83" s="885"/>
      <c r="BQ83" s="885"/>
      <c r="BR83" s="887"/>
      <c r="BS83" s="887"/>
      <c r="BT83" s="887"/>
      <c r="BU83" s="800"/>
      <c r="BV83" s="800"/>
      <c r="BW83" s="800"/>
      <c r="BX83" s="800"/>
      <c r="BY83" s="800"/>
      <c r="BZ83" s="800"/>
      <c r="CA83" s="800"/>
      <c r="CB83" s="813"/>
      <c r="CC83" s="813"/>
    </row>
    <row r="84" spans="32:81" ht="13.5" customHeight="1">
      <c r="AF84" s="10"/>
      <c r="AG84" s="10"/>
      <c r="AH84" s="10"/>
      <c r="AI84" s="10"/>
      <c r="AJ84" s="10"/>
      <c r="BA84" s="885"/>
      <c r="BB84" s="884" t="s">
        <v>370</v>
      </c>
      <c r="BC84" s="885"/>
      <c r="BD84" s="885"/>
      <c r="BE84" s="885"/>
      <c r="BF84" s="885"/>
      <c r="BG84" s="893"/>
      <c r="BH84" s="885"/>
      <c r="BI84" s="885"/>
      <c r="BJ84" s="885"/>
      <c r="BK84" s="886"/>
      <c r="BL84" s="886">
        <f t="shared" si="15"/>
        <v>31</v>
      </c>
      <c r="BM84" s="885"/>
      <c r="BN84" s="885"/>
      <c r="BO84" s="885"/>
      <c r="BP84" s="885"/>
      <c r="BQ84" s="885"/>
      <c r="BR84" s="887"/>
      <c r="BS84" s="887"/>
      <c r="BT84" s="887"/>
      <c r="BU84" s="800"/>
      <c r="BV84" s="800"/>
      <c r="BW84" s="800"/>
      <c r="BX84" s="800"/>
      <c r="BY84" s="800"/>
      <c r="BZ84" s="800"/>
      <c r="CA84" s="800"/>
      <c r="CB84" s="813"/>
      <c r="CC84" s="813"/>
    </row>
    <row r="85" spans="32:81" ht="13.5" customHeight="1">
      <c r="AF85" s="10"/>
      <c r="AG85" s="10"/>
      <c r="AH85" s="10"/>
      <c r="AI85" s="10"/>
      <c r="AJ85" s="10"/>
      <c r="BA85" s="885"/>
      <c r="BB85" s="884" t="s">
        <v>372</v>
      </c>
      <c r="BC85" s="885"/>
      <c r="BD85" s="885"/>
      <c r="BE85" s="885"/>
      <c r="BF85" s="885"/>
      <c r="BG85" s="84"/>
      <c r="BH85" s="885"/>
      <c r="BI85" s="885"/>
      <c r="BJ85" s="885"/>
      <c r="BK85" s="885"/>
      <c r="BL85" s="885"/>
      <c r="BM85" s="885"/>
      <c r="BN85" s="885"/>
      <c r="BO85" s="885"/>
      <c r="BP85" s="885"/>
      <c r="BQ85" s="885"/>
      <c r="BR85" s="887"/>
      <c r="BS85" s="887"/>
      <c r="BT85" s="887"/>
      <c r="BU85" s="800"/>
      <c r="BV85" s="800"/>
      <c r="BW85" s="800"/>
      <c r="BX85" s="800"/>
      <c r="BY85" s="800"/>
      <c r="BZ85" s="800"/>
      <c r="CA85" s="800"/>
      <c r="CB85" s="813"/>
      <c r="CC85" s="813"/>
    </row>
    <row r="86" spans="32:81" ht="13.5" customHeight="1">
      <c r="AF86" s="10"/>
      <c r="AG86" s="10"/>
      <c r="AH86" s="10"/>
      <c r="AI86" s="10"/>
      <c r="AJ86" s="10"/>
      <c r="BA86" s="885"/>
      <c r="BB86" s="884" t="s">
        <v>374</v>
      </c>
      <c r="BC86" s="885"/>
      <c r="BD86" s="885"/>
      <c r="BE86" s="885"/>
      <c r="BF86" s="885"/>
      <c r="BG86" s="893" t="s">
        <v>377</v>
      </c>
      <c r="BH86" s="885"/>
      <c r="BI86" s="885"/>
      <c r="BJ86" s="885"/>
      <c r="BK86" s="885"/>
      <c r="BL86" s="885"/>
      <c r="BM86" s="885"/>
      <c r="BN86" s="885"/>
      <c r="BO86" s="885"/>
      <c r="BP86" s="885"/>
      <c r="BQ86" s="885"/>
      <c r="BR86" s="887"/>
      <c r="BS86" s="887"/>
      <c r="BT86" s="887"/>
      <c r="BU86" s="800"/>
      <c r="BV86" s="800"/>
      <c r="BW86" s="800"/>
      <c r="BX86" s="800"/>
      <c r="BY86" s="800"/>
      <c r="BZ86" s="800"/>
      <c r="CA86" s="800"/>
      <c r="CB86" s="813"/>
      <c r="CC86" s="813"/>
    </row>
    <row r="87" spans="32:81" ht="13.5" customHeight="1">
      <c r="AF87" s="10"/>
      <c r="AG87" s="10"/>
      <c r="AH87" s="10"/>
      <c r="AI87" s="10"/>
      <c r="AJ87" s="10"/>
      <c r="BA87" s="885"/>
      <c r="BB87" s="884" t="s">
        <v>404</v>
      </c>
      <c r="BC87" s="885"/>
      <c r="BD87" s="885"/>
      <c r="BE87" s="885"/>
      <c r="BF87" s="885"/>
      <c r="BG87" s="895" t="s">
        <v>3195</v>
      </c>
      <c r="BH87" s="885"/>
      <c r="BI87" s="885"/>
      <c r="BJ87" s="885"/>
      <c r="BK87" s="885"/>
      <c r="BL87" s="885"/>
      <c r="BM87" s="885"/>
      <c r="BN87" s="885"/>
      <c r="BO87" s="885"/>
      <c r="BP87" s="885"/>
      <c r="BQ87" s="885"/>
      <c r="BR87" s="887"/>
      <c r="BS87" s="887"/>
      <c r="BT87" s="887"/>
      <c r="BU87" s="800"/>
      <c r="BV87" s="800"/>
      <c r="BW87" s="800"/>
      <c r="BX87" s="800"/>
      <c r="BY87" s="800"/>
      <c r="BZ87" s="800"/>
      <c r="CA87" s="800"/>
      <c r="CB87" s="813"/>
      <c r="CC87" s="813"/>
    </row>
    <row r="88" spans="32:81" ht="13.5" customHeight="1">
      <c r="AF88" s="10"/>
      <c r="AG88" s="10"/>
      <c r="AH88" s="10"/>
      <c r="AI88" s="10"/>
      <c r="AJ88" s="10"/>
      <c r="BA88" s="885"/>
      <c r="BB88" s="884" t="s">
        <v>376</v>
      </c>
      <c r="BC88" s="885"/>
      <c r="BD88" s="885"/>
      <c r="BE88" s="885"/>
      <c r="BF88" s="885"/>
      <c r="BG88" s="895" t="s">
        <v>2998</v>
      </c>
      <c r="BH88" s="885"/>
      <c r="BI88" s="885"/>
      <c r="BJ88" s="885"/>
      <c r="BK88" s="885"/>
      <c r="BL88" s="885"/>
      <c r="BM88" s="885"/>
      <c r="BN88" s="885"/>
      <c r="BO88" s="885"/>
      <c r="BP88" s="885"/>
      <c r="BQ88" s="885"/>
      <c r="BR88" s="887"/>
      <c r="BS88" s="887"/>
      <c r="BT88" s="887"/>
      <c r="BU88" s="800"/>
      <c r="BV88" s="800"/>
      <c r="BW88" s="800"/>
      <c r="BX88" s="800"/>
      <c r="BY88" s="800"/>
      <c r="BZ88" s="800"/>
      <c r="CA88" s="800"/>
      <c r="CB88" s="813"/>
      <c r="CC88" s="813"/>
    </row>
    <row r="89" spans="32:81" ht="13.5" customHeight="1">
      <c r="AF89" s="10"/>
      <c r="AG89" s="10"/>
      <c r="AH89" s="10"/>
      <c r="AI89" s="10"/>
      <c r="AJ89" s="10"/>
      <c r="BA89" s="885"/>
      <c r="BB89" s="885"/>
      <c r="BC89" s="885"/>
      <c r="BD89" s="885"/>
      <c r="BE89" s="885"/>
      <c r="BF89" s="885"/>
      <c r="BG89" s="895" t="s">
        <v>2999</v>
      </c>
      <c r="BH89" s="885"/>
      <c r="BI89" s="885"/>
      <c r="BJ89" s="885"/>
      <c r="BK89" s="885"/>
      <c r="BL89" s="885"/>
      <c r="BM89" s="885"/>
      <c r="BN89" s="885"/>
      <c r="BO89" s="885"/>
      <c r="BP89" s="885"/>
      <c r="BQ89" s="885"/>
      <c r="BR89" s="887"/>
      <c r="BS89" s="887"/>
      <c r="BT89" s="887"/>
      <c r="BU89" s="800"/>
      <c r="BV89" s="800"/>
      <c r="BW89" s="800"/>
      <c r="BX89" s="800"/>
      <c r="BY89" s="800"/>
      <c r="BZ89" s="800"/>
      <c r="CA89" s="800"/>
      <c r="CB89" s="813"/>
      <c r="CC89" s="813"/>
    </row>
    <row r="90" spans="32:81" ht="13.5" customHeight="1">
      <c r="AF90" s="10"/>
      <c r="AG90" s="10"/>
      <c r="AH90" s="10"/>
      <c r="AI90" s="10"/>
      <c r="AJ90" s="10"/>
      <c r="BA90" s="885"/>
      <c r="BB90" s="885"/>
      <c r="BC90" s="885"/>
      <c r="BD90" s="885"/>
      <c r="BE90" s="885"/>
      <c r="BF90" s="885"/>
      <c r="BG90" s="895" t="s">
        <v>3196</v>
      </c>
      <c r="BH90" s="885"/>
      <c r="BI90" s="885"/>
      <c r="BJ90" s="885"/>
      <c r="BK90" s="885"/>
      <c r="BL90" s="885"/>
      <c r="BM90" s="885"/>
      <c r="BN90" s="885"/>
      <c r="BO90" s="885"/>
      <c r="BP90" s="885"/>
      <c r="BQ90" s="885"/>
      <c r="BR90" s="887"/>
      <c r="BS90" s="887"/>
      <c r="BT90" s="887"/>
      <c r="BU90" s="800"/>
      <c r="BV90" s="800"/>
      <c r="BW90" s="800"/>
      <c r="BX90" s="800"/>
      <c r="BY90" s="800"/>
      <c r="BZ90" s="800"/>
      <c r="CA90" s="800"/>
      <c r="CB90" s="813"/>
      <c r="CC90" s="813"/>
    </row>
    <row r="91" spans="32:81" ht="13.5" customHeight="1">
      <c r="AF91" s="10"/>
      <c r="AG91" s="10"/>
      <c r="AH91" s="10"/>
      <c r="AI91" s="10"/>
      <c r="AJ91" s="10"/>
      <c r="BA91" s="885"/>
      <c r="BB91" s="885"/>
      <c r="BC91" s="885"/>
      <c r="BD91" s="885"/>
      <c r="BE91" s="885"/>
      <c r="BF91" s="885"/>
      <c r="BG91" s="895" t="s">
        <v>3000</v>
      </c>
      <c r="BH91" s="885"/>
      <c r="BI91" s="885"/>
      <c r="BJ91" s="885"/>
      <c r="BK91" s="885"/>
      <c r="BL91" s="885"/>
      <c r="BM91" s="885"/>
      <c r="BN91" s="885"/>
      <c r="BO91" s="885"/>
      <c r="BP91" s="885"/>
      <c r="BQ91" s="885"/>
      <c r="BR91" s="887"/>
      <c r="BS91" s="887"/>
      <c r="BT91" s="887"/>
      <c r="BU91" s="800"/>
      <c r="BV91" s="800"/>
      <c r="BW91" s="800"/>
      <c r="BX91" s="800"/>
      <c r="BY91" s="800"/>
      <c r="BZ91" s="800"/>
      <c r="CA91" s="800"/>
      <c r="CB91" s="813"/>
      <c r="CC91" s="813"/>
    </row>
    <row r="92" spans="32:81" ht="13.5" customHeight="1">
      <c r="AF92" s="10"/>
      <c r="AG92" s="10"/>
      <c r="AH92" s="10"/>
      <c r="AI92" s="10"/>
      <c r="AJ92" s="10"/>
      <c r="BA92" s="885"/>
      <c r="BB92" s="885"/>
      <c r="BC92" s="885"/>
      <c r="BD92" s="885"/>
      <c r="BE92" s="885"/>
      <c r="BF92" s="885"/>
      <c r="BG92" s="895" t="s">
        <v>3001</v>
      </c>
      <c r="BH92" s="885"/>
      <c r="BI92" s="885"/>
      <c r="BJ92" s="885"/>
      <c r="BK92" s="885"/>
      <c r="BL92" s="885"/>
      <c r="BM92" s="885"/>
      <c r="BN92" s="885"/>
      <c r="BO92" s="885"/>
      <c r="BP92" s="885"/>
      <c r="BQ92" s="885"/>
      <c r="BR92" s="887"/>
      <c r="BS92" s="887"/>
      <c r="BT92" s="887"/>
      <c r="BU92" s="800"/>
      <c r="BV92" s="800"/>
      <c r="BW92" s="800"/>
      <c r="BX92" s="800"/>
      <c r="BY92" s="800"/>
      <c r="BZ92" s="800"/>
      <c r="CA92" s="800"/>
      <c r="CB92" s="813"/>
      <c r="CC92" s="813"/>
    </row>
    <row r="93" spans="32:81" ht="13.5" customHeight="1">
      <c r="AF93" s="10"/>
      <c r="AG93" s="10"/>
      <c r="AH93" s="10"/>
      <c r="AI93" s="10"/>
      <c r="AJ93" s="10"/>
      <c r="BA93" s="885"/>
      <c r="BB93" s="885"/>
      <c r="BC93" s="885"/>
      <c r="BD93" s="885"/>
      <c r="BE93" s="885"/>
      <c r="BF93" s="885"/>
      <c r="BG93" s="897" t="s">
        <v>2889</v>
      </c>
      <c r="BH93" s="885"/>
      <c r="BI93" s="885"/>
      <c r="BJ93" s="885"/>
      <c r="BK93" s="885"/>
      <c r="BL93" s="885"/>
      <c r="BM93" s="885"/>
      <c r="BN93" s="885"/>
      <c r="BO93" s="885"/>
      <c r="BP93" s="885"/>
      <c r="BQ93" s="885"/>
      <c r="BR93" s="887"/>
      <c r="BS93" s="887"/>
      <c r="BT93" s="887"/>
      <c r="BU93" s="800"/>
      <c r="BV93" s="800"/>
      <c r="BW93" s="800"/>
      <c r="BX93" s="800"/>
      <c r="BY93" s="800"/>
      <c r="BZ93" s="800"/>
      <c r="CA93" s="800"/>
      <c r="CB93" s="813"/>
      <c r="CC93" s="813"/>
    </row>
    <row r="94" spans="32:81" ht="13.5" customHeight="1">
      <c r="AF94" s="10"/>
      <c r="AG94" s="10"/>
      <c r="AH94" s="10"/>
      <c r="AI94" s="10"/>
      <c r="AJ94" s="10"/>
      <c r="BA94" s="885"/>
      <c r="BB94" s="885"/>
      <c r="BC94" s="885"/>
      <c r="BD94" s="885"/>
      <c r="BE94" s="885"/>
      <c r="BF94" s="885"/>
      <c r="BG94" s="897" t="s">
        <v>2890</v>
      </c>
      <c r="BH94" s="885"/>
      <c r="BI94" s="885"/>
      <c r="BJ94" s="885"/>
      <c r="BK94" s="885"/>
      <c r="BL94" s="885"/>
      <c r="BM94" s="885"/>
      <c r="BN94" s="885"/>
      <c r="BO94" s="885"/>
      <c r="BP94" s="885"/>
      <c r="BQ94" s="885"/>
      <c r="BR94" s="887"/>
      <c r="BS94" s="887"/>
      <c r="BT94" s="887"/>
      <c r="BU94" s="800"/>
      <c r="BV94" s="800"/>
      <c r="BW94" s="800"/>
      <c r="BX94" s="800"/>
      <c r="BY94" s="800"/>
      <c r="BZ94" s="800"/>
      <c r="CA94" s="800"/>
      <c r="CB94" s="813"/>
      <c r="CC94" s="813"/>
    </row>
    <row r="95" spans="32:81" ht="13.5" customHeight="1">
      <c r="AF95" s="10"/>
      <c r="AG95" s="10"/>
      <c r="AH95" s="10"/>
      <c r="AI95" s="10"/>
      <c r="AJ95" s="10"/>
      <c r="BA95" s="885"/>
      <c r="BB95" s="885"/>
      <c r="BC95" s="885"/>
      <c r="BD95" s="885"/>
      <c r="BE95" s="885"/>
      <c r="BF95" s="885"/>
      <c r="BG95" s="897" t="s">
        <v>2891</v>
      </c>
      <c r="BH95" s="885"/>
      <c r="BI95" s="885"/>
      <c r="BJ95" s="885"/>
      <c r="BK95" s="885"/>
      <c r="BL95" s="885"/>
      <c r="BM95" s="885"/>
      <c r="BN95" s="885"/>
      <c r="BO95" s="885"/>
      <c r="BP95" s="885"/>
      <c r="BQ95" s="885"/>
      <c r="BR95" s="887"/>
      <c r="BS95" s="887"/>
      <c r="BT95" s="887"/>
      <c r="BU95" s="800"/>
      <c r="BV95" s="800"/>
      <c r="BW95" s="800"/>
      <c r="BX95" s="800"/>
      <c r="BY95" s="800"/>
      <c r="BZ95" s="800"/>
      <c r="CA95" s="800"/>
      <c r="CB95" s="813"/>
      <c r="CC95" s="813"/>
    </row>
    <row r="96" spans="32:81" ht="13.5" customHeight="1">
      <c r="AF96" s="10"/>
      <c r="AG96" s="10"/>
      <c r="AH96" s="10"/>
      <c r="AI96" s="10"/>
      <c r="AJ96" s="10"/>
      <c r="BA96" s="885"/>
      <c r="BB96" s="885"/>
      <c r="BC96" s="885"/>
      <c r="BD96" s="885"/>
      <c r="BE96" s="885"/>
      <c r="BF96" s="885"/>
      <c r="BG96" s="897" t="s">
        <v>2886</v>
      </c>
      <c r="BH96" s="885"/>
      <c r="BI96" s="885"/>
      <c r="BJ96" s="885"/>
      <c r="BK96" s="885"/>
      <c r="BL96" s="885"/>
      <c r="BM96" s="885"/>
      <c r="BN96" s="885"/>
      <c r="BO96" s="885"/>
      <c r="BP96" s="885"/>
      <c r="BQ96" s="885"/>
      <c r="BR96" s="887"/>
      <c r="BS96" s="887"/>
      <c r="BT96" s="887"/>
      <c r="BU96" s="800"/>
      <c r="BV96" s="800"/>
      <c r="BW96" s="800"/>
      <c r="BX96" s="800"/>
      <c r="BY96" s="800"/>
      <c r="BZ96" s="800"/>
      <c r="CA96" s="800"/>
      <c r="CB96" s="813"/>
      <c r="CC96" s="813"/>
    </row>
    <row r="97" spans="32:81" ht="13.5" customHeight="1">
      <c r="AF97" s="10"/>
      <c r="AG97" s="10"/>
      <c r="AH97" s="10"/>
      <c r="AI97" s="10"/>
      <c r="AJ97" s="10"/>
      <c r="BA97" s="885"/>
      <c r="BB97" s="885"/>
      <c r="BC97" s="885"/>
      <c r="BD97" s="885"/>
      <c r="BE97" s="885"/>
      <c r="BF97" s="885"/>
      <c r="BG97" s="897" t="s">
        <v>2887</v>
      </c>
      <c r="BH97" s="885"/>
      <c r="BI97" s="885"/>
      <c r="BJ97" s="885"/>
      <c r="BK97" s="885"/>
      <c r="BL97" s="885"/>
      <c r="BM97" s="885"/>
      <c r="BN97" s="885"/>
      <c r="BO97" s="885"/>
      <c r="BP97" s="885"/>
      <c r="BQ97" s="885"/>
      <c r="BR97" s="887"/>
      <c r="BS97" s="887"/>
      <c r="BT97" s="887"/>
      <c r="BU97" s="800"/>
      <c r="BV97" s="800"/>
      <c r="BW97" s="800"/>
      <c r="BX97" s="800"/>
      <c r="BY97" s="800"/>
      <c r="BZ97" s="800"/>
      <c r="CA97" s="800"/>
      <c r="CB97" s="813"/>
      <c r="CC97" s="813"/>
    </row>
    <row r="98" spans="32:81" ht="13.5" customHeight="1">
      <c r="AF98" s="10"/>
      <c r="AG98" s="10"/>
      <c r="AH98" s="10"/>
      <c r="AI98" s="10"/>
      <c r="AJ98" s="10"/>
      <c r="BA98" s="885"/>
      <c r="BB98" s="885"/>
      <c r="BC98" s="885"/>
      <c r="BD98" s="885"/>
      <c r="BE98" s="885"/>
      <c r="BF98" s="885"/>
      <c r="BG98" s="897" t="s">
        <v>2888</v>
      </c>
      <c r="BH98" s="885"/>
      <c r="BI98" s="885"/>
      <c r="BJ98" s="885"/>
      <c r="BK98" s="885"/>
      <c r="BL98" s="885"/>
      <c r="BM98" s="885"/>
      <c r="BN98" s="885"/>
      <c r="BO98" s="885"/>
      <c r="BP98" s="885"/>
      <c r="BQ98" s="885"/>
      <c r="BR98" s="887"/>
      <c r="BS98" s="887"/>
      <c r="BT98" s="887"/>
      <c r="BU98" s="800"/>
      <c r="BV98" s="800"/>
      <c r="BW98" s="800"/>
      <c r="BX98" s="800"/>
      <c r="BY98" s="800"/>
      <c r="BZ98" s="800"/>
      <c r="CA98" s="800"/>
      <c r="CB98" s="813"/>
      <c r="CC98" s="813"/>
    </row>
    <row r="99" spans="32:81" ht="13.5" customHeight="1">
      <c r="AF99" s="10"/>
      <c r="AG99" s="10"/>
      <c r="AH99" s="10"/>
      <c r="AI99" s="10"/>
      <c r="AJ99" s="10"/>
      <c r="BA99" s="885"/>
      <c r="BB99" s="885"/>
      <c r="BC99" s="885"/>
      <c r="BD99" s="885"/>
      <c r="BE99" s="885"/>
      <c r="BF99" s="885"/>
      <c r="BG99" s="885"/>
      <c r="BH99" s="885"/>
      <c r="BI99" s="885"/>
      <c r="BJ99" s="885"/>
      <c r="BK99" s="885"/>
      <c r="BL99" s="885"/>
      <c r="BM99" s="885"/>
      <c r="BN99" s="885"/>
      <c r="BO99" s="885"/>
      <c r="BP99" s="885"/>
      <c r="BQ99" s="885"/>
      <c r="BR99" s="887"/>
      <c r="BS99" s="887"/>
      <c r="BT99" s="887"/>
      <c r="BU99" s="800"/>
      <c r="BV99" s="800"/>
      <c r="BW99" s="800"/>
      <c r="BX99" s="800"/>
      <c r="BY99" s="800"/>
      <c r="BZ99" s="800"/>
      <c r="CA99" s="800"/>
      <c r="CB99" s="813"/>
      <c r="CC99" s="813"/>
    </row>
    <row r="100" spans="32:81" ht="13.5" customHeight="1">
      <c r="AF100" s="10"/>
      <c r="AG100" s="10"/>
      <c r="AH100" s="10"/>
      <c r="AI100" s="10"/>
      <c r="AJ100" s="10"/>
      <c r="BA100" s="887"/>
      <c r="BB100" s="887"/>
      <c r="BC100" s="887"/>
      <c r="BD100" s="887"/>
      <c r="BE100" s="887"/>
      <c r="BF100" s="887"/>
      <c r="BG100" s="887"/>
      <c r="BH100" s="887"/>
      <c r="BI100" s="887"/>
      <c r="BJ100" s="887"/>
      <c r="BK100" s="887"/>
      <c r="BL100" s="887"/>
      <c r="BM100" s="887"/>
      <c r="BN100" s="887"/>
      <c r="BO100" s="887"/>
      <c r="BP100" s="887"/>
      <c r="BQ100" s="887"/>
      <c r="BR100" s="887"/>
      <c r="BS100" s="887"/>
      <c r="BT100" s="887"/>
      <c r="BU100" s="800"/>
      <c r="BV100" s="800"/>
      <c r="BW100" s="800"/>
      <c r="BX100" s="800"/>
      <c r="BY100" s="800"/>
      <c r="BZ100" s="800"/>
      <c r="CA100" s="800"/>
      <c r="CB100" s="813"/>
      <c r="CC100" s="813"/>
    </row>
    <row r="101" spans="32:81" ht="13.5" customHeight="1">
      <c r="AF101" s="10"/>
      <c r="AG101" s="10"/>
      <c r="AH101" s="10"/>
      <c r="AI101" s="10"/>
      <c r="AJ101" s="10"/>
      <c r="BA101" s="887"/>
      <c r="BB101" s="887"/>
      <c r="BC101" s="887"/>
      <c r="BD101" s="887"/>
      <c r="BE101" s="887"/>
      <c r="BF101" s="887"/>
      <c r="BG101" s="887"/>
      <c r="BH101" s="887"/>
      <c r="BI101" s="887"/>
      <c r="BJ101" s="887"/>
      <c r="BK101" s="887"/>
      <c r="BL101" s="887"/>
      <c r="BM101" s="887"/>
      <c r="BN101" s="887"/>
      <c r="BO101" s="887"/>
      <c r="BP101" s="887"/>
      <c r="BQ101" s="887"/>
      <c r="BR101" s="887"/>
      <c r="BS101" s="887"/>
      <c r="BT101" s="887"/>
      <c r="BU101" s="800"/>
      <c r="BV101" s="800"/>
      <c r="BW101" s="800"/>
      <c r="BX101" s="800"/>
      <c r="BY101" s="800"/>
      <c r="BZ101" s="800"/>
      <c r="CA101" s="800"/>
      <c r="CB101" s="813"/>
      <c r="CC101" s="813"/>
    </row>
    <row r="102" spans="32:81" ht="13.5" customHeight="1">
      <c r="AF102" s="10"/>
      <c r="AG102" s="10"/>
      <c r="AH102" s="10"/>
      <c r="AI102" s="10"/>
      <c r="AJ102" s="10"/>
      <c r="BA102" s="887"/>
      <c r="BB102" s="887" t="s">
        <v>394</v>
      </c>
      <c r="BC102" s="887"/>
      <c r="BD102" s="887"/>
      <c r="BE102" s="887"/>
      <c r="BF102" s="887"/>
      <c r="BG102" s="887"/>
      <c r="BH102" s="887"/>
      <c r="BI102" s="887"/>
      <c r="BJ102" s="887"/>
      <c r="BK102" s="887"/>
      <c r="BL102" s="887"/>
      <c r="BM102" s="887"/>
      <c r="BN102" s="887"/>
      <c r="BO102" s="887"/>
      <c r="BP102" s="887"/>
      <c r="BQ102" s="887"/>
      <c r="BR102" s="887"/>
      <c r="BS102" s="887"/>
      <c r="BT102" s="887"/>
      <c r="BU102" s="800"/>
      <c r="BV102" s="800"/>
      <c r="BW102" s="800"/>
      <c r="BX102" s="800"/>
      <c r="BY102" s="800"/>
      <c r="BZ102" s="800"/>
      <c r="CA102" s="800"/>
      <c r="CB102" s="813"/>
      <c r="CC102" s="813"/>
    </row>
    <row r="103" spans="32:81" ht="13.5" customHeight="1">
      <c r="AF103" s="10"/>
      <c r="AG103" s="10"/>
      <c r="AH103" s="10"/>
      <c r="AI103" s="10"/>
      <c r="AJ103" s="10"/>
      <c r="BA103" s="887"/>
      <c r="BB103" s="887" t="s">
        <v>395</v>
      </c>
      <c r="BC103" s="887" t="s">
        <v>396</v>
      </c>
      <c r="BD103" s="887" t="s">
        <v>391</v>
      </c>
      <c r="BE103" s="887" t="s">
        <v>403</v>
      </c>
      <c r="BF103" s="887" t="s">
        <v>402</v>
      </c>
      <c r="BG103" s="887" t="s">
        <v>397</v>
      </c>
      <c r="BH103" s="887" t="s">
        <v>406</v>
      </c>
      <c r="BI103" s="887" t="s">
        <v>405</v>
      </c>
      <c r="BJ103" s="887"/>
      <c r="BK103" s="887"/>
      <c r="BL103" s="887" t="s">
        <v>395</v>
      </c>
      <c r="BM103" s="887" t="s">
        <v>396</v>
      </c>
      <c r="BN103" s="887" t="s">
        <v>391</v>
      </c>
      <c r="BO103" s="887" t="s">
        <v>416</v>
      </c>
      <c r="BP103" s="887" t="s">
        <v>417</v>
      </c>
      <c r="BQ103" s="887" t="s">
        <v>418</v>
      </c>
      <c r="BR103" s="887" t="s">
        <v>419</v>
      </c>
      <c r="BS103" s="887"/>
      <c r="BT103" s="887" t="s">
        <v>395</v>
      </c>
      <c r="BU103" s="800" t="s">
        <v>396</v>
      </c>
      <c r="BV103" s="800" t="s">
        <v>420</v>
      </c>
      <c r="BW103" s="800" t="s">
        <v>391</v>
      </c>
      <c r="BX103" s="800" t="s">
        <v>416</v>
      </c>
      <c r="BY103" s="800" t="s">
        <v>417</v>
      </c>
      <c r="BZ103" s="800" t="s">
        <v>418</v>
      </c>
      <c r="CA103" s="800"/>
      <c r="CB103" s="813"/>
      <c r="CC103" s="813"/>
    </row>
    <row r="104" spans="32:81" ht="13.5" customHeight="1">
      <c r="AF104" s="10"/>
      <c r="AG104" s="10"/>
      <c r="AH104" s="10"/>
      <c r="AI104" s="10"/>
      <c r="AJ104" s="10"/>
      <c r="BA104" s="887" t="s">
        <v>400</v>
      </c>
      <c r="BB104" s="887">
        <f>A29</f>
        <v>0</v>
      </c>
      <c r="BC104" s="887">
        <f>C29</f>
        <v>0</v>
      </c>
      <c r="BD104" s="887">
        <f>IF(AND(NOT($H$29="通常食"),NOT($H$29="キッズ")),$H$29,"")</f>
        <v>0</v>
      </c>
      <c r="BE104" s="887" t="e">
        <f>IF(NOT($BD104=""),VLOOKUP($BD104,$BD$186:$BF$218,2,0),"")</f>
        <v>#N/A</v>
      </c>
      <c r="BF104" s="887" t="e">
        <f>IF(NOT($BD104=""),VLOOKUP($BD104,$BD$186:$BF$218,3,0),"")</f>
        <v>#N/A</v>
      </c>
      <c r="BG104" s="887">
        <f>IF(AND(NOT($H$29="通常食"),NOT($H$29="キッズ")),$R$29,"")</f>
        <v>0</v>
      </c>
      <c r="BH104" s="887"/>
      <c r="BI104" s="887">
        <f>IF(OR(BG104="",BG104=0),0,48)</f>
        <v>0</v>
      </c>
      <c r="BJ104" s="887"/>
      <c r="BK104" s="887"/>
      <c r="BL104" s="888">
        <f>INDEX($BB$104:$BB$151,MATCH($BR104,$BI$104:$BI$151,0))</f>
        <v>0</v>
      </c>
      <c r="BM104" s="888">
        <f>INDEX($BC$104:$BC$151,MATCH($BR104,$BI$104:$BI$151,0))</f>
        <v>0</v>
      </c>
      <c r="BN104" s="888" t="e">
        <f>INDEX($BE$104:$BE$151,MATCH($BR104,$BI$104:$BI$151,0))</f>
        <v>#N/A</v>
      </c>
      <c r="BO104" s="888" t="e">
        <f>INDEX($BF$104:$BF$151,MATCH($BR104,$BI$104:$BI$151,0))</f>
        <v>#N/A</v>
      </c>
      <c r="BP104" s="888">
        <f>INDEX($BG$104:$BG$151,MATCH($BR104,$BI$104:$BI$151,0))</f>
        <v>0</v>
      </c>
      <c r="BQ104" s="887" t="e">
        <f>BO104*BP104</f>
        <v>#N/A</v>
      </c>
      <c r="BR104" s="887">
        <f t="shared" ref="BR104:BR121" si="16">LARGE($BI$104:$BI$151,ROW(A1))</f>
        <v>0</v>
      </c>
      <c r="BS104" s="887"/>
      <c r="BT104" s="888">
        <f>IF(NOT($BR104=0),BL104,0)</f>
        <v>0</v>
      </c>
      <c r="BU104" s="799">
        <f t="shared" ref="BU104:BU119" si="17">IF(NOT($BR104=0),BM104,0)</f>
        <v>0</v>
      </c>
      <c r="BV104" s="799">
        <f>IF(BU104="朝　食","朝",(IF(BU104="昼　食","昼",(IF(BU104="夕　食","夕",0)))))</f>
        <v>0</v>
      </c>
      <c r="BW104" s="799">
        <f t="shared" ref="BW104:BW121" si="18">IF(NOT($BR104=0),BN104,0)</f>
        <v>0</v>
      </c>
      <c r="BX104" s="799">
        <f t="shared" ref="BX104:BX121" si="19">IF(NOT($BR104=0),BO104,0)</f>
        <v>0</v>
      </c>
      <c r="BY104" s="799">
        <f t="shared" ref="BY104:BY121" si="20">IF(NOT($BR104=0),BP104,0)</f>
        <v>0</v>
      </c>
      <c r="BZ104" s="799">
        <f>IF(NOT($BR104=0),BQ104,0)</f>
        <v>0</v>
      </c>
      <c r="CA104" s="800"/>
      <c r="CB104" s="813"/>
      <c r="CC104" s="813"/>
    </row>
    <row r="105" spans="32:81" ht="13.5" customHeight="1">
      <c r="AF105" s="10"/>
      <c r="AG105" s="10"/>
      <c r="AH105" s="10"/>
      <c r="AI105" s="10"/>
      <c r="AJ105" s="10"/>
      <c r="BA105" s="887" t="s">
        <v>398</v>
      </c>
      <c r="BB105" s="887">
        <f>A29</f>
        <v>0</v>
      </c>
      <c r="BC105" s="887">
        <f>C29</f>
        <v>0</v>
      </c>
      <c r="BD105" s="887" t="str">
        <f>IF(AND(OR(($H$29="通常食"),($H$29="キッズ")),NOT(OR($L$29=0,$L$29=""))),$H$29,"")</f>
        <v/>
      </c>
      <c r="BE105" s="887" t="str">
        <f>IF($BG105="","",VLOOKUP($BH105,$BD$158:$BF$186,2,0))</f>
        <v/>
      </c>
      <c r="BF105" s="887" t="str">
        <f>IF($BG105="","",VLOOKUP($BH105,$BD$158:$BF$186,3,0))</f>
        <v/>
      </c>
      <c r="BG105" s="887" t="str">
        <f>IF(AND(OR(($H$29="通常食"),($H$29="キッズ")),NOT(OR($L$29=0,$L$29=""))),$L$29,"")</f>
        <v/>
      </c>
      <c r="BH105" s="887" t="str">
        <f>BC105&amp;BD105&amp;BA105</f>
        <v>0幼児</v>
      </c>
      <c r="BI105" s="887">
        <f>IF(OR(BG105="",BG105=0),0,47)</f>
        <v>0</v>
      </c>
      <c r="BJ105" s="887"/>
      <c r="BK105" s="887"/>
      <c r="BL105" s="888">
        <f t="shared" ref="BL105:BL121" si="21">INDEX($BB$104:$BB$151,MATCH($BR105,$BI$104:$BI$151,0))</f>
        <v>0</v>
      </c>
      <c r="BM105" s="888">
        <f t="shared" ref="BM105:BM121" si="22">INDEX($BC$104:$BC$151,MATCH($BR105,$BI$104:$BI$151,0))</f>
        <v>0</v>
      </c>
      <c r="BN105" s="888" t="e">
        <f>INDEX($BE$104:$BE$151,MATCH($BR105,$BI$104:$BI$151,0))</f>
        <v>#N/A</v>
      </c>
      <c r="BO105" s="888" t="e">
        <f t="shared" ref="BO105:BO121" si="23">INDEX($BF$104:$BF$151,MATCH($BR105,$BI$104:$BI$151,0))</f>
        <v>#N/A</v>
      </c>
      <c r="BP105" s="888">
        <f t="shared" ref="BP105:BP121" si="24">INDEX($BG$104:$BG$151,MATCH($BR105,$BI$104:$BI$151,0))</f>
        <v>0</v>
      </c>
      <c r="BQ105" s="887" t="e">
        <f t="shared" ref="BQ105:BQ121" si="25">BO105*BP105</f>
        <v>#N/A</v>
      </c>
      <c r="BR105" s="887">
        <f t="shared" si="16"/>
        <v>0</v>
      </c>
      <c r="BS105" s="887"/>
      <c r="BT105" s="888">
        <f t="shared" ref="BT105:BU121" si="26">IF(NOT($BR105=0),BL105,0)</f>
        <v>0</v>
      </c>
      <c r="BU105" s="799">
        <f t="shared" si="17"/>
        <v>0</v>
      </c>
      <c r="BV105" s="799">
        <f t="shared" ref="BV105:BV121" si="27">IF(BU105="朝　食","朝",(IF(BU105="昼　食","昼",(IF(BU105="夕　食","夕",0)))))</f>
        <v>0</v>
      </c>
      <c r="BW105" s="799">
        <f t="shared" si="18"/>
        <v>0</v>
      </c>
      <c r="BX105" s="799">
        <f t="shared" si="19"/>
        <v>0</v>
      </c>
      <c r="BY105" s="799">
        <f t="shared" si="20"/>
        <v>0</v>
      </c>
      <c r="BZ105" s="799">
        <f t="shared" ref="BZ105:BZ121" si="28">IF(NOT($BR105=0),BQ105,0)</f>
        <v>0</v>
      </c>
      <c r="CA105" s="800"/>
      <c r="CB105" s="813"/>
      <c r="CC105" s="813"/>
    </row>
    <row r="106" spans="32:81" ht="13.5" customHeight="1">
      <c r="AF106" s="10"/>
      <c r="AG106" s="10"/>
      <c r="AH106" s="10"/>
      <c r="AI106" s="10"/>
      <c r="AJ106" s="10"/>
      <c r="BA106" s="887" t="s">
        <v>399</v>
      </c>
      <c r="BB106" s="887">
        <f>A29</f>
        <v>0</v>
      </c>
      <c r="BC106" s="887">
        <f>C29</f>
        <v>0</v>
      </c>
      <c r="BD106" s="887" t="str">
        <f>IF(AND(OR(($H$29="通常食"),($H$29="キッズ")),NOT(OR($N$29=0,$N$29=""))),$H$29,"")</f>
        <v/>
      </c>
      <c r="BE106" s="887" t="str">
        <f>IF($BG106="","",VLOOKUP($BH106,$BD$158:$BF$186,2,0))</f>
        <v/>
      </c>
      <c r="BF106" s="887" t="str">
        <f>IF($BG106="","",VLOOKUP($BH106,$BD$158:$BF$186,3,0))</f>
        <v/>
      </c>
      <c r="BG106" s="887" t="str">
        <f>IF(AND(OR(($H$29="通常食"),($H$29="キッズ")),NOT(OR($N$29=0,$N$29=""))),$N$29,"")</f>
        <v/>
      </c>
      <c r="BH106" s="887" t="str">
        <f t="shared" ref="BH106:BH151" si="29">BC106&amp;BD106&amp;BA106</f>
        <v>0小学生</v>
      </c>
      <c r="BI106" s="887">
        <f>IF(OR(BG106="",BG106=0),0,46)</f>
        <v>0</v>
      </c>
      <c r="BJ106" s="887"/>
      <c r="BK106" s="887"/>
      <c r="BL106" s="888">
        <f t="shared" si="21"/>
        <v>0</v>
      </c>
      <c r="BM106" s="888">
        <f t="shared" si="22"/>
        <v>0</v>
      </c>
      <c r="BN106" s="888" t="e">
        <f t="shared" ref="BN106:BN121" si="30">INDEX($BE$104:$BE$151,MATCH($BR106,$BI$104:$BI$151,0))</f>
        <v>#N/A</v>
      </c>
      <c r="BO106" s="888" t="e">
        <f t="shared" si="23"/>
        <v>#N/A</v>
      </c>
      <c r="BP106" s="888">
        <f t="shared" si="24"/>
        <v>0</v>
      </c>
      <c r="BQ106" s="887" t="e">
        <f t="shared" si="25"/>
        <v>#N/A</v>
      </c>
      <c r="BR106" s="887">
        <f t="shared" si="16"/>
        <v>0</v>
      </c>
      <c r="BS106" s="887"/>
      <c r="BT106" s="888">
        <f t="shared" si="26"/>
        <v>0</v>
      </c>
      <c r="BU106" s="799">
        <f t="shared" si="17"/>
        <v>0</v>
      </c>
      <c r="BV106" s="799">
        <f t="shared" si="27"/>
        <v>0</v>
      </c>
      <c r="BW106" s="799">
        <f t="shared" si="18"/>
        <v>0</v>
      </c>
      <c r="BX106" s="799">
        <f t="shared" si="19"/>
        <v>0</v>
      </c>
      <c r="BY106" s="799">
        <f t="shared" si="20"/>
        <v>0</v>
      </c>
      <c r="BZ106" s="799">
        <f t="shared" si="28"/>
        <v>0</v>
      </c>
      <c r="CA106" s="800"/>
      <c r="CB106" s="813"/>
      <c r="CC106" s="813"/>
    </row>
    <row r="107" spans="32:81" ht="13.5" customHeight="1">
      <c r="AF107" s="10"/>
      <c r="AG107" s="10"/>
      <c r="AH107" s="10"/>
      <c r="AI107" s="10"/>
      <c r="AJ107" s="10"/>
      <c r="BA107" s="901" t="s">
        <v>401</v>
      </c>
      <c r="BB107" s="887">
        <f>A29</f>
        <v>0</v>
      </c>
      <c r="BC107" s="887">
        <f>C29</f>
        <v>0</v>
      </c>
      <c r="BD107" s="887" t="str">
        <f>IF(AND(OR(($H$29="通常食"),($H$29="キッズ")),NOT(OR($P$29=0,$P$29=""))),$H$29,"")</f>
        <v/>
      </c>
      <c r="BE107" s="887" t="str">
        <f>IF($BG107="","",VLOOKUP($BH107,$BD$158:$BF$186,2,0))</f>
        <v/>
      </c>
      <c r="BF107" s="887" t="str">
        <f>IF($BG107="","",VLOOKUP($BH107,$BD$158:$BF$186,3,0))</f>
        <v/>
      </c>
      <c r="BG107" s="887" t="str">
        <f>IF(AND(OR(($H$29="通常食"),($H$29="キッズ")),NOT(OR($P$29=0,$P$29=""))),$P$29,"")</f>
        <v/>
      </c>
      <c r="BH107" s="887" t="str">
        <f t="shared" si="29"/>
        <v>0中学生以上</v>
      </c>
      <c r="BI107" s="887">
        <f>IF(OR(BG107="",BG107=0),0,45)</f>
        <v>0</v>
      </c>
      <c r="BJ107" s="887"/>
      <c r="BK107" s="887"/>
      <c r="BL107" s="888">
        <f t="shared" si="21"/>
        <v>0</v>
      </c>
      <c r="BM107" s="888">
        <f t="shared" si="22"/>
        <v>0</v>
      </c>
      <c r="BN107" s="888" t="e">
        <f t="shared" si="30"/>
        <v>#N/A</v>
      </c>
      <c r="BO107" s="888" t="e">
        <f t="shared" si="23"/>
        <v>#N/A</v>
      </c>
      <c r="BP107" s="888">
        <f t="shared" si="24"/>
        <v>0</v>
      </c>
      <c r="BQ107" s="887" t="e">
        <f t="shared" si="25"/>
        <v>#N/A</v>
      </c>
      <c r="BR107" s="887">
        <f t="shared" si="16"/>
        <v>0</v>
      </c>
      <c r="BS107" s="887"/>
      <c r="BT107" s="888">
        <f t="shared" si="26"/>
        <v>0</v>
      </c>
      <c r="BU107" s="799">
        <f t="shared" si="17"/>
        <v>0</v>
      </c>
      <c r="BV107" s="799">
        <f t="shared" si="27"/>
        <v>0</v>
      </c>
      <c r="BW107" s="799">
        <f t="shared" si="18"/>
        <v>0</v>
      </c>
      <c r="BX107" s="799">
        <f t="shared" si="19"/>
        <v>0</v>
      </c>
      <c r="BY107" s="799">
        <f t="shared" si="20"/>
        <v>0</v>
      </c>
      <c r="BZ107" s="799">
        <f t="shared" si="28"/>
        <v>0</v>
      </c>
      <c r="CA107" s="800"/>
      <c r="CB107" s="813"/>
      <c r="CC107" s="813"/>
    </row>
    <row r="108" spans="32:81" ht="13.5" customHeight="1">
      <c r="AF108" s="10"/>
      <c r="AG108" s="10"/>
      <c r="AH108" s="10"/>
      <c r="AI108" s="10"/>
      <c r="AJ108" s="10"/>
      <c r="BA108" s="887" t="s">
        <v>400</v>
      </c>
      <c r="BB108" s="887">
        <f>A30</f>
        <v>0</v>
      </c>
      <c r="BC108" s="887">
        <f>C30</f>
        <v>0</v>
      </c>
      <c r="BD108" s="887">
        <f>IF(AND(NOT($H$30="通常食"),NOT($H$30="キッズ")),$H$30,"")</f>
        <v>0</v>
      </c>
      <c r="BE108" s="887" t="e">
        <f>IF(NOT($BD108=""),VLOOKUP($BD108,$BD$186:$BF$218,2,0),"")</f>
        <v>#N/A</v>
      </c>
      <c r="BF108" s="887" t="e">
        <f>IF(NOT($BD108=""),VLOOKUP($BD108,$BD$186:$BF$218,3,0),"")</f>
        <v>#N/A</v>
      </c>
      <c r="BG108" s="887">
        <f>IF(AND(NOT($H$30="通常食"),NOT($H$30="キッズ")),$R$30,"")</f>
        <v>0</v>
      </c>
      <c r="BH108" s="887"/>
      <c r="BI108" s="887">
        <f>IF(OR(BG108="",BG108=0),0,44)</f>
        <v>0</v>
      </c>
      <c r="BJ108" s="887"/>
      <c r="BK108" s="887"/>
      <c r="BL108" s="888">
        <f t="shared" si="21"/>
        <v>0</v>
      </c>
      <c r="BM108" s="888">
        <f t="shared" si="22"/>
        <v>0</v>
      </c>
      <c r="BN108" s="888" t="e">
        <f t="shared" si="30"/>
        <v>#N/A</v>
      </c>
      <c r="BO108" s="888" t="e">
        <f t="shared" si="23"/>
        <v>#N/A</v>
      </c>
      <c r="BP108" s="888">
        <f t="shared" si="24"/>
        <v>0</v>
      </c>
      <c r="BQ108" s="887" t="e">
        <f t="shared" si="25"/>
        <v>#N/A</v>
      </c>
      <c r="BR108" s="887">
        <f t="shared" si="16"/>
        <v>0</v>
      </c>
      <c r="BS108" s="887"/>
      <c r="BT108" s="888">
        <f t="shared" si="26"/>
        <v>0</v>
      </c>
      <c r="BU108" s="799">
        <f t="shared" si="17"/>
        <v>0</v>
      </c>
      <c r="BV108" s="799">
        <f t="shared" si="27"/>
        <v>0</v>
      </c>
      <c r="BW108" s="799">
        <f t="shared" si="18"/>
        <v>0</v>
      </c>
      <c r="BX108" s="799">
        <f t="shared" si="19"/>
        <v>0</v>
      </c>
      <c r="BY108" s="799">
        <f t="shared" si="20"/>
        <v>0</v>
      </c>
      <c r="BZ108" s="799">
        <f t="shared" si="28"/>
        <v>0</v>
      </c>
      <c r="CA108" s="800"/>
      <c r="CB108" s="813"/>
      <c r="CC108" s="813"/>
    </row>
    <row r="109" spans="32:81" ht="13.5" customHeight="1">
      <c r="AF109" s="10"/>
      <c r="AG109" s="10"/>
      <c r="AH109" s="10"/>
      <c r="AI109" s="10"/>
      <c r="AJ109" s="10"/>
      <c r="BA109" s="887" t="s">
        <v>398</v>
      </c>
      <c r="BB109" s="887">
        <f>A30</f>
        <v>0</v>
      </c>
      <c r="BC109" s="887">
        <f>C30</f>
        <v>0</v>
      </c>
      <c r="BD109" s="887" t="str">
        <f>IF(AND(OR(($H$30="通常食"),($H$30="キッズ")),NOT(OR($L$30=0,$L$30=""))),$H$30,"")</f>
        <v/>
      </c>
      <c r="BE109" s="887" t="str">
        <f>IF($BG109="","",VLOOKUP($BH109,$BD$158:$BF$186,2,0))</f>
        <v/>
      </c>
      <c r="BF109" s="887" t="str">
        <f>IF($BG109="","",VLOOKUP($BH109,$BD$158:$BF$186,3,0))</f>
        <v/>
      </c>
      <c r="BG109" s="887" t="str">
        <f>IF(AND(OR(($H$30="通常食"),($H$30="キッズ")),NOT(OR($L$30=0,$L$30=""))),$L$30,"")</f>
        <v/>
      </c>
      <c r="BH109" s="887" t="str">
        <f t="shared" si="29"/>
        <v>0幼児</v>
      </c>
      <c r="BI109" s="887">
        <f>IF(OR(BG109="",BG109=0),0,43)</f>
        <v>0</v>
      </c>
      <c r="BJ109" s="887"/>
      <c r="BK109" s="887"/>
      <c r="BL109" s="888">
        <f t="shared" si="21"/>
        <v>0</v>
      </c>
      <c r="BM109" s="888">
        <f t="shared" si="22"/>
        <v>0</v>
      </c>
      <c r="BN109" s="888" t="e">
        <f t="shared" si="30"/>
        <v>#N/A</v>
      </c>
      <c r="BO109" s="888" t="e">
        <f t="shared" si="23"/>
        <v>#N/A</v>
      </c>
      <c r="BP109" s="888">
        <f t="shared" si="24"/>
        <v>0</v>
      </c>
      <c r="BQ109" s="887" t="e">
        <f t="shared" si="25"/>
        <v>#N/A</v>
      </c>
      <c r="BR109" s="887">
        <f t="shared" si="16"/>
        <v>0</v>
      </c>
      <c r="BS109" s="887"/>
      <c r="BT109" s="888">
        <f t="shared" si="26"/>
        <v>0</v>
      </c>
      <c r="BU109" s="799">
        <f t="shared" si="17"/>
        <v>0</v>
      </c>
      <c r="BV109" s="799">
        <f t="shared" si="27"/>
        <v>0</v>
      </c>
      <c r="BW109" s="799">
        <f t="shared" si="18"/>
        <v>0</v>
      </c>
      <c r="BX109" s="799">
        <f t="shared" si="19"/>
        <v>0</v>
      </c>
      <c r="BY109" s="799">
        <f t="shared" si="20"/>
        <v>0</v>
      </c>
      <c r="BZ109" s="799">
        <f t="shared" si="28"/>
        <v>0</v>
      </c>
      <c r="CA109" s="800"/>
      <c r="CB109" s="813"/>
      <c r="CC109" s="813"/>
    </row>
    <row r="110" spans="32:81" ht="13.5" customHeight="1">
      <c r="AF110" s="10"/>
      <c r="AG110" s="10"/>
      <c r="AH110" s="10"/>
      <c r="AI110" s="10"/>
      <c r="AJ110" s="10"/>
      <c r="BA110" s="887" t="s">
        <v>399</v>
      </c>
      <c r="BB110" s="887">
        <f>A30</f>
        <v>0</v>
      </c>
      <c r="BC110" s="887">
        <f>C30</f>
        <v>0</v>
      </c>
      <c r="BD110" s="887" t="str">
        <f>IF(AND(OR(($H$30="通常食"),($H$30="キッズ")),NOT(OR($N$30=0,$N$30=""))),$H$30,"")</f>
        <v/>
      </c>
      <c r="BE110" s="887" t="str">
        <f>IF($BG110="","",VLOOKUP($BH110,$BD$158:$BF$186,2,0))</f>
        <v/>
      </c>
      <c r="BF110" s="887" t="str">
        <f>IF($BG110="","",VLOOKUP($BH110,$BD$158:$BF$186,3,0))</f>
        <v/>
      </c>
      <c r="BG110" s="887" t="str">
        <f>IF(AND(OR(($H$30="通常食"),($H$30="キッズ")),NOT(OR($N$30=0,$N$30=""))),$N$30,"")</f>
        <v/>
      </c>
      <c r="BH110" s="887" t="str">
        <f t="shared" si="29"/>
        <v>0小学生</v>
      </c>
      <c r="BI110" s="887">
        <f>IF(OR(BG110="",BG110=0),0,42)</f>
        <v>0</v>
      </c>
      <c r="BJ110" s="887"/>
      <c r="BK110" s="887"/>
      <c r="BL110" s="888">
        <f t="shared" si="21"/>
        <v>0</v>
      </c>
      <c r="BM110" s="888">
        <f t="shared" si="22"/>
        <v>0</v>
      </c>
      <c r="BN110" s="888" t="e">
        <f t="shared" si="30"/>
        <v>#N/A</v>
      </c>
      <c r="BO110" s="888" t="e">
        <f t="shared" si="23"/>
        <v>#N/A</v>
      </c>
      <c r="BP110" s="888">
        <f t="shared" si="24"/>
        <v>0</v>
      </c>
      <c r="BQ110" s="887" t="e">
        <f t="shared" si="25"/>
        <v>#N/A</v>
      </c>
      <c r="BR110" s="887">
        <f t="shared" si="16"/>
        <v>0</v>
      </c>
      <c r="BS110" s="887"/>
      <c r="BT110" s="888">
        <f t="shared" si="26"/>
        <v>0</v>
      </c>
      <c r="BU110" s="799">
        <f t="shared" si="17"/>
        <v>0</v>
      </c>
      <c r="BV110" s="799">
        <f>IF(BU110="朝　食","朝",(IF(BU110="昼　食","昼",(IF(BU110="夕　食","夕",0)))))</f>
        <v>0</v>
      </c>
      <c r="BW110" s="799">
        <f t="shared" si="18"/>
        <v>0</v>
      </c>
      <c r="BX110" s="799">
        <f t="shared" si="19"/>
        <v>0</v>
      </c>
      <c r="BY110" s="799">
        <f t="shared" si="20"/>
        <v>0</v>
      </c>
      <c r="BZ110" s="799">
        <f t="shared" si="28"/>
        <v>0</v>
      </c>
      <c r="CA110" s="800"/>
      <c r="CB110" s="813"/>
      <c r="CC110" s="813"/>
    </row>
    <row r="111" spans="32:81" ht="13.5" customHeight="1">
      <c r="AF111" s="10"/>
      <c r="AG111" s="10"/>
      <c r="AH111" s="10"/>
      <c r="AI111" s="10"/>
      <c r="AJ111" s="10"/>
      <c r="BA111" s="901" t="s">
        <v>401</v>
      </c>
      <c r="BB111" s="887">
        <f>A30</f>
        <v>0</v>
      </c>
      <c r="BC111" s="887">
        <f>C30</f>
        <v>0</v>
      </c>
      <c r="BD111" s="887" t="str">
        <f>IF(AND(OR(($H$30="通常食"),($H$30="キッズ")),NOT(OR($P$30=0,$P$30=""))),$H$30,"")</f>
        <v/>
      </c>
      <c r="BE111" s="887" t="str">
        <f>IF($BG111="","",VLOOKUP($BH111,$BD$158:$BF$186,2,0))</f>
        <v/>
      </c>
      <c r="BF111" s="887" t="str">
        <f>IF($BG111="","",VLOOKUP($BH111,$BD$158:$BF$186,3,0))</f>
        <v/>
      </c>
      <c r="BG111" s="887" t="str">
        <f>IF(AND(OR(($H$30="通常食"),($H$30="キッズ")),NOT(OR($P$30=0,$P$30=""))),$P$30,"")</f>
        <v/>
      </c>
      <c r="BH111" s="887" t="str">
        <f t="shared" si="29"/>
        <v>0中学生以上</v>
      </c>
      <c r="BI111" s="887">
        <f>IF(OR(BG111="",BG111=0),0,41)</f>
        <v>0</v>
      </c>
      <c r="BJ111" s="887"/>
      <c r="BK111" s="887"/>
      <c r="BL111" s="888">
        <f t="shared" si="21"/>
        <v>0</v>
      </c>
      <c r="BM111" s="888">
        <f t="shared" si="22"/>
        <v>0</v>
      </c>
      <c r="BN111" s="888" t="e">
        <f t="shared" si="30"/>
        <v>#N/A</v>
      </c>
      <c r="BO111" s="888" t="e">
        <f t="shared" si="23"/>
        <v>#N/A</v>
      </c>
      <c r="BP111" s="888">
        <f t="shared" si="24"/>
        <v>0</v>
      </c>
      <c r="BQ111" s="887" t="e">
        <f t="shared" si="25"/>
        <v>#N/A</v>
      </c>
      <c r="BR111" s="887">
        <f t="shared" si="16"/>
        <v>0</v>
      </c>
      <c r="BS111" s="887"/>
      <c r="BT111" s="888">
        <f t="shared" si="26"/>
        <v>0</v>
      </c>
      <c r="BU111" s="799">
        <f t="shared" si="17"/>
        <v>0</v>
      </c>
      <c r="BV111" s="799">
        <f t="shared" si="27"/>
        <v>0</v>
      </c>
      <c r="BW111" s="799">
        <f t="shared" si="18"/>
        <v>0</v>
      </c>
      <c r="BX111" s="799">
        <f t="shared" si="19"/>
        <v>0</v>
      </c>
      <c r="BY111" s="799">
        <f t="shared" si="20"/>
        <v>0</v>
      </c>
      <c r="BZ111" s="799">
        <f t="shared" si="28"/>
        <v>0</v>
      </c>
      <c r="CA111" s="800"/>
      <c r="CB111" s="813"/>
      <c r="CC111" s="813"/>
    </row>
    <row r="112" spans="32:81" ht="13.5" customHeight="1">
      <c r="AF112" s="10"/>
      <c r="AG112" s="10"/>
      <c r="AH112" s="10"/>
      <c r="AI112" s="10"/>
      <c r="AJ112" s="10"/>
      <c r="BA112" s="887" t="s">
        <v>400</v>
      </c>
      <c r="BB112" s="887">
        <f>A31</f>
        <v>0</v>
      </c>
      <c r="BC112" s="887">
        <f>C31</f>
        <v>0</v>
      </c>
      <c r="BD112" s="887">
        <f>IF(AND(NOT($H$31="通常食"),NOT($H$31="キッズ")),$H$31,"")</f>
        <v>0</v>
      </c>
      <c r="BE112" s="887" t="e">
        <f>IF(NOT($BD112=""),VLOOKUP($BD112,$BD$186:$BF$218,2,0),"")</f>
        <v>#N/A</v>
      </c>
      <c r="BF112" s="887" t="e">
        <f>IF(NOT($BD112=""),VLOOKUP($BD112,$BD$186:$BF$218,3,0),"")</f>
        <v>#N/A</v>
      </c>
      <c r="BG112" s="887">
        <f>IF(AND(NOT($H$31="通常食"),NOT($H$31="キッズ")),$R$31,"")</f>
        <v>0</v>
      </c>
      <c r="BH112" s="887"/>
      <c r="BI112" s="887">
        <f>IF(OR(BG112="",BG112=0),0,40)</f>
        <v>0</v>
      </c>
      <c r="BJ112" s="887"/>
      <c r="BK112" s="887"/>
      <c r="BL112" s="888">
        <f t="shared" si="21"/>
        <v>0</v>
      </c>
      <c r="BM112" s="888">
        <f t="shared" si="22"/>
        <v>0</v>
      </c>
      <c r="BN112" s="888" t="e">
        <f t="shared" si="30"/>
        <v>#N/A</v>
      </c>
      <c r="BO112" s="888" t="e">
        <f t="shared" si="23"/>
        <v>#N/A</v>
      </c>
      <c r="BP112" s="888">
        <f t="shared" si="24"/>
        <v>0</v>
      </c>
      <c r="BQ112" s="887" t="e">
        <f t="shared" si="25"/>
        <v>#N/A</v>
      </c>
      <c r="BR112" s="887">
        <f t="shared" si="16"/>
        <v>0</v>
      </c>
      <c r="BS112" s="887"/>
      <c r="BT112" s="888">
        <f t="shared" si="26"/>
        <v>0</v>
      </c>
      <c r="BU112" s="799">
        <f t="shared" si="17"/>
        <v>0</v>
      </c>
      <c r="BV112" s="799">
        <f t="shared" si="27"/>
        <v>0</v>
      </c>
      <c r="BW112" s="799">
        <f t="shared" si="18"/>
        <v>0</v>
      </c>
      <c r="BX112" s="799">
        <f t="shared" si="19"/>
        <v>0</v>
      </c>
      <c r="BY112" s="799">
        <f t="shared" si="20"/>
        <v>0</v>
      </c>
      <c r="BZ112" s="799">
        <f t="shared" si="28"/>
        <v>0</v>
      </c>
      <c r="CA112" s="800"/>
      <c r="CB112" s="813"/>
      <c r="CC112" s="813"/>
    </row>
    <row r="113" spans="32:81" ht="13.5" customHeight="1">
      <c r="AF113" s="10"/>
      <c r="AG113" s="10"/>
      <c r="AH113" s="10"/>
      <c r="AI113" s="10"/>
      <c r="AJ113" s="10"/>
      <c r="BA113" s="887" t="s">
        <v>398</v>
      </c>
      <c r="BB113" s="887">
        <f>A31</f>
        <v>0</v>
      </c>
      <c r="BC113" s="887">
        <f>C31</f>
        <v>0</v>
      </c>
      <c r="BD113" s="887" t="str">
        <f>IF(AND(OR(($H$31="通常食"),($H$31="キッズ")),NOT(OR($L$31=0,$L$31=""))),$H$31,"")</f>
        <v/>
      </c>
      <c r="BE113" s="887" t="str">
        <f>IF($BG113="","",VLOOKUP($BH113,$BD$158:$BF$186,2,0))</f>
        <v/>
      </c>
      <c r="BF113" s="887" t="str">
        <f>IF($BG113="","",VLOOKUP($BH113,$BD$158:$BF$186,3,0))</f>
        <v/>
      </c>
      <c r="BG113" s="887" t="str">
        <f>IF(AND(OR(($H$31="通常食"),($H$31="キッズ")),NOT(OR($L$31=0,$L$31=""))),$L$31,"")</f>
        <v/>
      </c>
      <c r="BH113" s="887" t="str">
        <f t="shared" si="29"/>
        <v>0幼児</v>
      </c>
      <c r="BI113" s="887">
        <f>IF(OR(BG113="",BG113=0),0,39)</f>
        <v>0</v>
      </c>
      <c r="BJ113" s="887"/>
      <c r="BK113" s="887"/>
      <c r="BL113" s="888">
        <f t="shared" si="21"/>
        <v>0</v>
      </c>
      <c r="BM113" s="888">
        <f t="shared" si="22"/>
        <v>0</v>
      </c>
      <c r="BN113" s="888" t="e">
        <f t="shared" si="30"/>
        <v>#N/A</v>
      </c>
      <c r="BO113" s="888" t="e">
        <f t="shared" si="23"/>
        <v>#N/A</v>
      </c>
      <c r="BP113" s="888">
        <f t="shared" si="24"/>
        <v>0</v>
      </c>
      <c r="BQ113" s="887" t="e">
        <f t="shared" si="25"/>
        <v>#N/A</v>
      </c>
      <c r="BR113" s="887">
        <f t="shared" si="16"/>
        <v>0</v>
      </c>
      <c r="BS113" s="887"/>
      <c r="BT113" s="888">
        <f t="shared" si="26"/>
        <v>0</v>
      </c>
      <c r="BU113" s="799">
        <f t="shared" si="17"/>
        <v>0</v>
      </c>
      <c r="BV113" s="799">
        <f t="shared" si="27"/>
        <v>0</v>
      </c>
      <c r="BW113" s="799">
        <f t="shared" si="18"/>
        <v>0</v>
      </c>
      <c r="BX113" s="799">
        <f t="shared" si="19"/>
        <v>0</v>
      </c>
      <c r="BY113" s="799">
        <f t="shared" si="20"/>
        <v>0</v>
      </c>
      <c r="BZ113" s="799">
        <f t="shared" si="28"/>
        <v>0</v>
      </c>
      <c r="CA113" s="800"/>
      <c r="CB113" s="813"/>
      <c r="CC113" s="813"/>
    </row>
    <row r="114" spans="32:81" ht="13.5" customHeight="1">
      <c r="AF114" s="10"/>
      <c r="AG114" s="10"/>
      <c r="AH114" s="10"/>
      <c r="AI114" s="10"/>
      <c r="AJ114" s="10"/>
      <c r="BA114" s="887" t="s">
        <v>399</v>
      </c>
      <c r="BB114" s="887">
        <f>A31</f>
        <v>0</v>
      </c>
      <c r="BC114" s="887">
        <f>C31</f>
        <v>0</v>
      </c>
      <c r="BD114" s="887" t="str">
        <f>IF(AND(OR(($H$31="通常食"),($H$31="キッズ")),NOT(OR($N$31=0,$N$31=""))),$H$31,"")</f>
        <v/>
      </c>
      <c r="BE114" s="887" t="str">
        <f>IF($BG114="","",VLOOKUP($BH114,$BD$158:$BF$186,2,0))</f>
        <v/>
      </c>
      <c r="BF114" s="887" t="str">
        <f>IF($BG114="","",VLOOKUP($BH114,$BD$158:$BF$186,3,0))</f>
        <v/>
      </c>
      <c r="BG114" s="887" t="str">
        <f>IF(AND(OR(($H$31="通常食"),($H$31="キッズ")),NOT(OR($N$31=0,$N$31=""))),$N$31,"")</f>
        <v/>
      </c>
      <c r="BH114" s="887" t="str">
        <f t="shared" si="29"/>
        <v>0小学生</v>
      </c>
      <c r="BI114" s="887">
        <f>IF(OR(BG114="",BG114=0),0,38)</f>
        <v>0</v>
      </c>
      <c r="BJ114" s="887"/>
      <c r="BK114" s="887"/>
      <c r="BL114" s="888">
        <f t="shared" si="21"/>
        <v>0</v>
      </c>
      <c r="BM114" s="888">
        <f t="shared" si="22"/>
        <v>0</v>
      </c>
      <c r="BN114" s="888" t="e">
        <f t="shared" si="30"/>
        <v>#N/A</v>
      </c>
      <c r="BO114" s="888" t="e">
        <f t="shared" si="23"/>
        <v>#N/A</v>
      </c>
      <c r="BP114" s="888">
        <f t="shared" si="24"/>
        <v>0</v>
      </c>
      <c r="BQ114" s="887" t="e">
        <f t="shared" si="25"/>
        <v>#N/A</v>
      </c>
      <c r="BR114" s="887">
        <f t="shared" si="16"/>
        <v>0</v>
      </c>
      <c r="BS114" s="887"/>
      <c r="BT114" s="888">
        <f t="shared" si="26"/>
        <v>0</v>
      </c>
      <c r="BU114" s="799">
        <f t="shared" si="17"/>
        <v>0</v>
      </c>
      <c r="BV114" s="799">
        <f t="shared" si="27"/>
        <v>0</v>
      </c>
      <c r="BW114" s="799">
        <f t="shared" si="18"/>
        <v>0</v>
      </c>
      <c r="BX114" s="799">
        <f t="shared" si="19"/>
        <v>0</v>
      </c>
      <c r="BY114" s="799">
        <f t="shared" si="20"/>
        <v>0</v>
      </c>
      <c r="BZ114" s="799">
        <f t="shared" si="28"/>
        <v>0</v>
      </c>
      <c r="CA114" s="800"/>
      <c r="CB114" s="813"/>
      <c r="CC114" s="813"/>
    </row>
    <row r="115" spans="32:81" ht="13.5" customHeight="1">
      <c r="AF115" s="10"/>
      <c r="AG115" s="10"/>
      <c r="AH115" s="10"/>
      <c r="AI115" s="10"/>
      <c r="AJ115" s="10"/>
      <c r="BA115" s="901" t="s">
        <v>401</v>
      </c>
      <c r="BB115" s="887">
        <f>A31</f>
        <v>0</v>
      </c>
      <c r="BC115" s="887">
        <f>C31</f>
        <v>0</v>
      </c>
      <c r="BD115" s="887" t="str">
        <f>IF(AND(OR(($H$31="通常食"),($H$31="キッズ")),NOT(OR($P$31=0,$P$31=""))),$H$31,"")</f>
        <v/>
      </c>
      <c r="BE115" s="887" t="str">
        <f>IF($BG115="","",VLOOKUP($BH115,$BD$158:$BF$186,2,0))</f>
        <v/>
      </c>
      <c r="BF115" s="887" t="str">
        <f>IF($BG115="","",VLOOKUP($BH115,$BD$158:$BF$186,3,0))</f>
        <v/>
      </c>
      <c r="BG115" s="887" t="str">
        <f>IF(AND(OR(($H$31="通常食"),($H$31="キッズ")),NOT(OR($P$31=0,$P$31=""))),$P$31,"")</f>
        <v/>
      </c>
      <c r="BH115" s="887" t="str">
        <f t="shared" si="29"/>
        <v>0中学生以上</v>
      </c>
      <c r="BI115" s="887">
        <f>IF(OR(BG115="",BG115=0),0,37)</f>
        <v>0</v>
      </c>
      <c r="BJ115" s="887"/>
      <c r="BK115" s="887"/>
      <c r="BL115" s="888">
        <f t="shared" si="21"/>
        <v>0</v>
      </c>
      <c r="BM115" s="888">
        <f t="shared" si="22"/>
        <v>0</v>
      </c>
      <c r="BN115" s="888" t="e">
        <f t="shared" si="30"/>
        <v>#N/A</v>
      </c>
      <c r="BO115" s="888" t="e">
        <f t="shared" si="23"/>
        <v>#N/A</v>
      </c>
      <c r="BP115" s="888">
        <f t="shared" si="24"/>
        <v>0</v>
      </c>
      <c r="BQ115" s="887" t="e">
        <f t="shared" si="25"/>
        <v>#N/A</v>
      </c>
      <c r="BR115" s="887">
        <f t="shared" si="16"/>
        <v>0</v>
      </c>
      <c r="BS115" s="887"/>
      <c r="BT115" s="888">
        <f t="shared" si="26"/>
        <v>0</v>
      </c>
      <c r="BU115" s="799">
        <f t="shared" si="17"/>
        <v>0</v>
      </c>
      <c r="BV115" s="799">
        <f t="shared" si="27"/>
        <v>0</v>
      </c>
      <c r="BW115" s="799">
        <f t="shared" si="18"/>
        <v>0</v>
      </c>
      <c r="BX115" s="799">
        <f t="shared" si="19"/>
        <v>0</v>
      </c>
      <c r="BY115" s="799">
        <f t="shared" si="20"/>
        <v>0</v>
      </c>
      <c r="BZ115" s="799">
        <f t="shared" si="28"/>
        <v>0</v>
      </c>
      <c r="CA115" s="800"/>
      <c r="CB115" s="813"/>
      <c r="CC115" s="813"/>
    </row>
    <row r="116" spans="32:81" ht="13.5" customHeight="1">
      <c r="AF116" s="10"/>
      <c r="AG116" s="10"/>
      <c r="AH116" s="10"/>
      <c r="AI116" s="10"/>
      <c r="AJ116" s="10"/>
      <c r="BA116" s="887" t="s">
        <v>400</v>
      </c>
      <c r="BB116" s="887">
        <f>A32</f>
        <v>0</v>
      </c>
      <c r="BC116" s="887">
        <f>C32</f>
        <v>0</v>
      </c>
      <c r="BD116" s="887">
        <f>IF(AND(NOT($H$32="通常食"),NOT($H$32="キッズ")),$H$32,"")</f>
        <v>0</v>
      </c>
      <c r="BE116" s="887" t="e">
        <f>IF(NOT($BD116=""),VLOOKUP($BD116,$BD$186:$BF$218,2,0),"")</f>
        <v>#N/A</v>
      </c>
      <c r="BF116" s="887" t="e">
        <f>IF(NOT($BD116=""),VLOOKUP($BD116,$BD$186:$BF$218,3,0),"")</f>
        <v>#N/A</v>
      </c>
      <c r="BG116" s="887">
        <f>IF(AND(NOT($H$32="通常食"),NOT($H$32="キッズ")),$R$32,"")</f>
        <v>0</v>
      </c>
      <c r="BH116" s="887"/>
      <c r="BI116" s="887">
        <f>IF(OR(BG116="",BG116=0),0,36)</f>
        <v>0</v>
      </c>
      <c r="BJ116" s="887"/>
      <c r="BK116" s="887"/>
      <c r="BL116" s="888">
        <f t="shared" si="21"/>
        <v>0</v>
      </c>
      <c r="BM116" s="888">
        <f t="shared" si="22"/>
        <v>0</v>
      </c>
      <c r="BN116" s="888" t="e">
        <f t="shared" si="30"/>
        <v>#N/A</v>
      </c>
      <c r="BO116" s="888" t="e">
        <f t="shared" si="23"/>
        <v>#N/A</v>
      </c>
      <c r="BP116" s="888">
        <f t="shared" si="24"/>
        <v>0</v>
      </c>
      <c r="BQ116" s="887" t="e">
        <f t="shared" si="25"/>
        <v>#N/A</v>
      </c>
      <c r="BR116" s="887">
        <f t="shared" si="16"/>
        <v>0</v>
      </c>
      <c r="BS116" s="887"/>
      <c r="BT116" s="888">
        <f t="shared" si="26"/>
        <v>0</v>
      </c>
      <c r="BU116" s="799">
        <f t="shared" si="17"/>
        <v>0</v>
      </c>
      <c r="BV116" s="799">
        <f t="shared" si="27"/>
        <v>0</v>
      </c>
      <c r="BW116" s="799">
        <f t="shared" si="18"/>
        <v>0</v>
      </c>
      <c r="BX116" s="799">
        <f t="shared" si="19"/>
        <v>0</v>
      </c>
      <c r="BY116" s="799">
        <f t="shared" si="20"/>
        <v>0</v>
      </c>
      <c r="BZ116" s="799">
        <f t="shared" si="28"/>
        <v>0</v>
      </c>
      <c r="CA116" s="800"/>
      <c r="CB116" s="813"/>
      <c r="CC116" s="813"/>
    </row>
    <row r="117" spans="32:81" ht="13.5" customHeight="1">
      <c r="AF117" s="10"/>
      <c r="AG117" s="10"/>
      <c r="AH117" s="10"/>
      <c r="AI117" s="10"/>
      <c r="AJ117" s="10"/>
      <c r="BA117" s="887" t="s">
        <v>398</v>
      </c>
      <c r="BB117" s="887">
        <f>A32</f>
        <v>0</v>
      </c>
      <c r="BC117" s="887">
        <f>C32</f>
        <v>0</v>
      </c>
      <c r="BD117" s="887" t="str">
        <f>IF(AND(OR(($H$32="通常食"),($H$32="キッズ")),NOT(OR($L$32=0,$L$32=""))),$H$32,"")</f>
        <v/>
      </c>
      <c r="BE117" s="887" t="str">
        <f>IF($BG117="","",VLOOKUP($BH117,$BD$158:$BF$186,2,0))</f>
        <v/>
      </c>
      <c r="BF117" s="887" t="str">
        <f>IF($BG117="","",VLOOKUP($BH117,$BD$158:$BF$186,3,0))</f>
        <v/>
      </c>
      <c r="BG117" s="887" t="str">
        <f>IF(AND(OR(($H$32="通常食"),($H$32="キッズ")),NOT(OR($L$32=0,$L$32=""))),$L$32,"")</f>
        <v/>
      </c>
      <c r="BH117" s="887" t="str">
        <f t="shared" si="29"/>
        <v>0幼児</v>
      </c>
      <c r="BI117" s="887">
        <f>IF(OR(BG117="",BG117=0),0,35)</f>
        <v>0</v>
      </c>
      <c r="BJ117" s="887"/>
      <c r="BK117" s="887"/>
      <c r="BL117" s="888">
        <f t="shared" si="21"/>
        <v>0</v>
      </c>
      <c r="BM117" s="888">
        <f t="shared" si="22"/>
        <v>0</v>
      </c>
      <c r="BN117" s="888" t="e">
        <f t="shared" si="30"/>
        <v>#N/A</v>
      </c>
      <c r="BO117" s="888" t="e">
        <f t="shared" si="23"/>
        <v>#N/A</v>
      </c>
      <c r="BP117" s="888">
        <f t="shared" si="24"/>
        <v>0</v>
      </c>
      <c r="BQ117" s="887" t="e">
        <f t="shared" si="25"/>
        <v>#N/A</v>
      </c>
      <c r="BR117" s="887">
        <f t="shared" si="16"/>
        <v>0</v>
      </c>
      <c r="BS117" s="887"/>
      <c r="BT117" s="888">
        <f t="shared" si="26"/>
        <v>0</v>
      </c>
      <c r="BU117" s="799">
        <f t="shared" si="17"/>
        <v>0</v>
      </c>
      <c r="BV117" s="799">
        <f t="shared" si="27"/>
        <v>0</v>
      </c>
      <c r="BW117" s="799">
        <f t="shared" si="18"/>
        <v>0</v>
      </c>
      <c r="BX117" s="799">
        <f t="shared" si="19"/>
        <v>0</v>
      </c>
      <c r="BY117" s="799">
        <f t="shared" si="20"/>
        <v>0</v>
      </c>
      <c r="BZ117" s="799">
        <f t="shared" si="28"/>
        <v>0</v>
      </c>
      <c r="CA117" s="800"/>
      <c r="CB117" s="813"/>
      <c r="CC117" s="813"/>
    </row>
    <row r="118" spans="32:81" ht="13.5" customHeight="1">
      <c r="AF118" s="10"/>
      <c r="AG118" s="10"/>
      <c r="AH118" s="10"/>
      <c r="AI118" s="10"/>
      <c r="AJ118" s="10"/>
      <c r="BA118" s="887" t="s">
        <v>399</v>
      </c>
      <c r="BB118" s="887">
        <f>A32</f>
        <v>0</v>
      </c>
      <c r="BC118" s="887">
        <f>C32</f>
        <v>0</v>
      </c>
      <c r="BD118" s="887" t="str">
        <f>IF(AND(OR(($H$32="通常食"),($H$32="キッズ")),NOT(OR($N$32=0,$N$32=""))),$H$32,"")</f>
        <v/>
      </c>
      <c r="BE118" s="887" t="str">
        <f>IF($BG118="","",VLOOKUP($BH118,$BD$158:$BF$186,2,0))</f>
        <v/>
      </c>
      <c r="BF118" s="887" t="str">
        <f>IF($BG118="","",VLOOKUP($BH118,$BD$158:$BF$186,3,0))</f>
        <v/>
      </c>
      <c r="BG118" s="887" t="str">
        <f>IF(AND(OR(($H$32="通常食"),($H$32="キッズ")),NOT(OR($N$32=0,$N$32=""))),$N$32,"")</f>
        <v/>
      </c>
      <c r="BH118" s="887" t="str">
        <f t="shared" si="29"/>
        <v>0小学生</v>
      </c>
      <c r="BI118" s="887">
        <f>IF(OR(BG118="",BG118=0),0,34)</f>
        <v>0</v>
      </c>
      <c r="BJ118" s="887"/>
      <c r="BK118" s="887"/>
      <c r="BL118" s="888">
        <f t="shared" si="21"/>
        <v>0</v>
      </c>
      <c r="BM118" s="888">
        <f t="shared" si="22"/>
        <v>0</v>
      </c>
      <c r="BN118" s="888" t="e">
        <f t="shared" si="30"/>
        <v>#N/A</v>
      </c>
      <c r="BO118" s="888" t="e">
        <f t="shared" si="23"/>
        <v>#N/A</v>
      </c>
      <c r="BP118" s="888">
        <f t="shared" si="24"/>
        <v>0</v>
      </c>
      <c r="BQ118" s="887" t="e">
        <f t="shared" si="25"/>
        <v>#N/A</v>
      </c>
      <c r="BR118" s="887">
        <f t="shared" si="16"/>
        <v>0</v>
      </c>
      <c r="BS118" s="887"/>
      <c r="BT118" s="888">
        <f t="shared" si="26"/>
        <v>0</v>
      </c>
      <c r="BU118" s="799">
        <f t="shared" si="17"/>
        <v>0</v>
      </c>
      <c r="BV118" s="799">
        <f t="shared" si="27"/>
        <v>0</v>
      </c>
      <c r="BW118" s="799">
        <f t="shared" si="18"/>
        <v>0</v>
      </c>
      <c r="BX118" s="799">
        <f t="shared" si="19"/>
        <v>0</v>
      </c>
      <c r="BY118" s="799">
        <f t="shared" si="20"/>
        <v>0</v>
      </c>
      <c r="BZ118" s="799">
        <f t="shared" si="28"/>
        <v>0</v>
      </c>
      <c r="CA118" s="800"/>
      <c r="CB118" s="813"/>
      <c r="CC118" s="813"/>
    </row>
    <row r="119" spans="32:81" ht="13.5" customHeight="1">
      <c r="AF119" s="10"/>
      <c r="AG119" s="10"/>
      <c r="AH119" s="10"/>
      <c r="AI119" s="10"/>
      <c r="AJ119" s="10"/>
      <c r="BA119" s="901" t="s">
        <v>401</v>
      </c>
      <c r="BB119" s="887">
        <f>A32</f>
        <v>0</v>
      </c>
      <c r="BC119" s="887">
        <f>C32</f>
        <v>0</v>
      </c>
      <c r="BD119" s="887" t="str">
        <f>IF(AND(OR(($H$32="通常食"),($H$32="キッズ")),NOT(OR($P$32=0,$P$32=""))),$H$32,"")</f>
        <v/>
      </c>
      <c r="BE119" s="887" t="str">
        <f>IF($BG119="","",VLOOKUP($BH119,$BD$158:$BF$186,2,0))</f>
        <v/>
      </c>
      <c r="BF119" s="887" t="str">
        <f>IF($BG119="","",VLOOKUP($BH119,$BD$158:$BF$186,3,0))</f>
        <v/>
      </c>
      <c r="BG119" s="887" t="str">
        <f>IF(AND(OR(($H$32="通常食"),($H$32="キッズ")),NOT(OR($P$32=0,$P$32=""))),$P$32,"")</f>
        <v/>
      </c>
      <c r="BH119" s="887" t="str">
        <f t="shared" si="29"/>
        <v>0中学生以上</v>
      </c>
      <c r="BI119" s="887">
        <f>IF(OR(BG119="",BG119=0),0,33)</f>
        <v>0</v>
      </c>
      <c r="BJ119" s="887"/>
      <c r="BK119" s="887"/>
      <c r="BL119" s="888">
        <f t="shared" si="21"/>
        <v>0</v>
      </c>
      <c r="BM119" s="888">
        <f t="shared" si="22"/>
        <v>0</v>
      </c>
      <c r="BN119" s="888" t="e">
        <f t="shared" si="30"/>
        <v>#N/A</v>
      </c>
      <c r="BO119" s="888" t="e">
        <f t="shared" si="23"/>
        <v>#N/A</v>
      </c>
      <c r="BP119" s="888">
        <f t="shared" si="24"/>
        <v>0</v>
      </c>
      <c r="BQ119" s="887" t="e">
        <f t="shared" si="25"/>
        <v>#N/A</v>
      </c>
      <c r="BR119" s="887">
        <f t="shared" si="16"/>
        <v>0</v>
      </c>
      <c r="BS119" s="887"/>
      <c r="BT119" s="888">
        <f t="shared" si="26"/>
        <v>0</v>
      </c>
      <c r="BU119" s="799">
        <f t="shared" si="17"/>
        <v>0</v>
      </c>
      <c r="BV119" s="799">
        <f t="shared" si="27"/>
        <v>0</v>
      </c>
      <c r="BW119" s="799">
        <f t="shared" si="18"/>
        <v>0</v>
      </c>
      <c r="BX119" s="799">
        <f t="shared" si="19"/>
        <v>0</v>
      </c>
      <c r="BY119" s="799">
        <f t="shared" si="20"/>
        <v>0</v>
      </c>
      <c r="BZ119" s="799">
        <f t="shared" si="28"/>
        <v>0</v>
      </c>
      <c r="CA119" s="800"/>
      <c r="CB119" s="813"/>
      <c r="CC119" s="813"/>
    </row>
    <row r="120" spans="32:81" ht="13.5" customHeight="1">
      <c r="AF120" s="10"/>
      <c r="AG120" s="10"/>
      <c r="AH120" s="10"/>
      <c r="AI120" s="10"/>
      <c r="AJ120" s="10"/>
      <c r="BA120" s="887" t="s">
        <v>400</v>
      </c>
      <c r="BB120" s="887">
        <f>A33</f>
        <v>0</v>
      </c>
      <c r="BC120" s="887">
        <f>C33</f>
        <v>0</v>
      </c>
      <c r="BD120" s="887">
        <f>IF(AND(NOT($H$33="通常食"),NOT($H$33="キッズ")),$H$33,"")</f>
        <v>0</v>
      </c>
      <c r="BE120" s="887" t="e">
        <f>IF(NOT($BD120=""),VLOOKUP($BD120,$BD$186:$BF$218,2,0),"")</f>
        <v>#N/A</v>
      </c>
      <c r="BF120" s="887" t="e">
        <f>IF(NOT($BD120=""),VLOOKUP($BD120,$BD$186:$BF$218,3,0),"")</f>
        <v>#N/A</v>
      </c>
      <c r="BG120" s="887">
        <f>IF(AND(NOT($H$33="通常食"),NOT($H$33="キッズ")),$R$33,"")</f>
        <v>0</v>
      </c>
      <c r="BH120" s="887"/>
      <c r="BI120" s="887">
        <f>IF(OR(BG120="",BG120=0),0,32)</f>
        <v>0</v>
      </c>
      <c r="BJ120" s="887"/>
      <c r="BK120" s="887"/>
      <c r="BL120" s="888">
        <f t="shared" si="21"/>
        <v>0</v>
      </c>
      <c r="BM120" s="888">
        <f t="shared" si="22"/>
        <v>0</v>
      </c>
      <c r="BN120" s="888" t="e">
        <f t="shared" si="30"/>
        <v>#N/A</v>
      </c>
      <c r="BO120" s="888" t="e">
        <f t="shared" si="23"/>
        <v>#N/A</v>
      </c>
      <c r="BP120" s="888">
        <f t="shared" si="24"/>
        <v>0</v>
      </c>
      <c r="BQ120" s="887" t="e">
        <f t="shared" si="25"/>
        <v>#N/A</v>
      </c>
      <c r="BR120" s="887">
        <f t="shared" si="16"/>
        <v>0</v>
      </c>
      <c r="BS120" s="887"/>
      <c r="BT120" s="888">
        <f t="shared" si="26"/>
        <v>0</v>
      </c>
      <c r="BU120" s="799">
        <f t="shared" si="26"/>
        <v>0</v>
      </c>
      <c r="BV120" s="799">
        <f t="shared" si="27"/>
        <v>0</v>
      </c>
      <c r="BW120" s="799">
        <f t="shared" si="18"/>
        <v>0</v>
      </c>
      <c r="BX120" s="799">
        <f t="shared" si="19"/>
        <v>0</v>
      </c>
      <c r="BY120" s="799">
        <f t="shared" si="20"/>
        <v>0</v>
      </c>
      <c r="BZ120" s="799">
        <f t="shared" si="28"/>
        <v>0</v>
      </c>
      <c r="CA120" s="800"/>
      <c r="CB120" s="813"/>
      <c r="CC120" s="813"/>
    </row>
    <row r="121" spans="32:81" ht="13.5" customHeight="1">
      <c r="AF121" s="10"/>
      <c r="AG121" s="10"/>
      <c r="AH121" s="10"/>
      <c r="AI121" s="10"/>
      <c r="AJ121" s="10"/>
      <c r="BA121" s="887" t="s">
        <v>398</v>
      </c>
      <c r="BB121" s="887">
        <f>A33</f>
        <v>0</v>
      </c>
      <c r="BC121" s="887">
        <f>C33</f>
        <v>0</v>
      </c>
      <c r="BD121" s="887" t="str">
        <f>IF(AND(OR(($H$33="通常食"),($H$33="キッズ")),NOT(OR($L$33=0,$L$33=""))),$H$33,"")</f>
        <v/>
      </c>
      <c r="BE121" s="887" t="str">
        <f>IF($BG121="","",VLOOKUP($BH121,$BD$158:$BF$186,2,0))</f>
        <v/>
      </c>
      <c r="BF121" s="887" t="str">
        <f>IF($BG121="","",VLOOKUP($BH121,$BD$158:$BF$186,3,0))</f>
        <v/>
      </c>
      <c r="BG121" s="887" t="str">
        <f>IF(AND(OR(($H$33="通常食"),($H$33="キッズ")),NOT(OR($L$33=0,$L$33=""))),$L$33,"")</f>
        <v/>
      </c>
      <c r="BH121" s="887" t="str">
        <f t="shared" si="29"/>
        <v>0幼児</v>
      </c>
      <c r="BI121" s="887">
        <f>IF(OR(BG121="",BG121=0),0,31)</f>
        <v>0</v>
      </c>
      <c r="BJ121" s="887"/>
      <c r="BK121" s="887"/>
      <c r="BL121" s="888">
        <f t="shared" si="21"/>
        <v>0</v>
      </c>
      <c r="BM121" s="888">
        <f t="shared" si="22"/>
        <v>0</v>
      </c>
      <c r="BN121" s="888" t="e">
        <f t="shared" si="30"/>
        <v>#N/A</v>
      </c>
      <c r="BO121" s="888" t="e">
        <f t="shared" si="23"/>
        <v>#N/A</v>
      </c>
      <c r="BP121" s="888">
        <f t="shared" si="24"/>
        <v>0</v>
      </c>
      <c r="BQ121" s="887" t="e">
        <f t="shared" si="25"/>
        <v>#N/A</v>
      </c>
      <c r="BR121" s="887">
        <f t="shared" si="16"/>
        <v>0</v>
      </c>
      <c r="BS121" s="887"/>
      <c r="BT121" s="888">
        <f t="shared" si="26"/>
        <v>0</v>
      </c>
      <c r="BU121" s="799">
        <f t="shared" si="26"/>
        <v>0</v>
      </c>
      <c r="BV121" s="799">
        <f t="shared" si="27"/>
        <v>0</v>
      </c>
      <c r="BW121" s="799">
        <f t="shared" si="18"/>
        <v>0</v>
      </c>
      <c r="BX121" s="799">
        <f t="shared" si="19"/>
        <v>0</v>
      </c>
      <c r="BY121" s="799">
        <f t="shared" si="20"/>
        <v>0</v>
      </c>
      <c r="BZ121" s="799">
        <f t="shared" si="28"/>
        <v>0</v>
      </c>
      <c r="CA121" s="800">
        <f>LARGE($BI$104:$BI$151,ROW(I18))</f>
        <v>0</v>
      </c>
      <c r="CB121" s="813"/>
      <c r="CC121" s="813"/>
    </row>
    <row r="122" spans="32:81" ht="13.5" customHeight="1">
      <c r="AF122" s="1702"/>
      <c r="AG122" s="1702"/>
      <c r="AH122" s="1702"/>
      <c r="AI122" s="1702"/>
      <c r="AJ122" s="1702"/>
      <c r="BA122" s="887" t="s">
        <v>399</v>
      </c>
      <c r="BB122" s="887">
        <f>A33</f>
        <v>0</v>
      </c>
      <c r="BC122" s="887">
        <f>C33</f>
        <v>0</v>
      </c>
      <c r="BD122" s="887" t="str">
        <f>IF(AND(OR(($H$33="通常食"),($H$33="キッズ")),NOT(OR($N$33=0,$N$33=""))),$H$33,"")</f>
        <v/>
      </c>
      <c r="BE122" s="887" t="str">
        <f>IF($BG122="","",VLOOKUP($BH122,$BD$158:$BF$186,2,0))</f>
        <v/>
      </c>
      <c r="BF122" s="887" t="str">
        <f>IF($BG122="","",VLOOKUP($BH122,$BD$158:$BF$186,3,0))</f>
        <v/>
      </c>
      <c r="BG122" s="887" t="str">
        <f>IF(AND(OR(($H$33="通常食"),($H$33="キッズ")),NOT(OR($N$33=0,$N$33=""))),$N$33,"")</f>
        <v/>
      </c>
      <c r="BH122" s="887" t="str">
        <f t="shared" si="29"/>
        <v>0小学生</v>
      </c>
      <c r="BI122" s="887">
        <f>IF(OR(BG122="",BG122=0),0,30)</f>
        <v>0</v>
      </c>
      <c r="BJ122" s="887"/>
      <c r="BK122" s="887"/>
      <c r="BL122" s="887"/>
      <c r="BM122" s="887"/>
      <c r="BN122" s="887"/>
      <c r="BO122" s="887"/>
      <c r="BP122" s="887"/>
      <c r="BQ122" s="887"/>
      <c r="BR122" s="887"/>
      <c r="BS122" s="887"/>
      <c r="BT122" s="887"/>
      <c r="BU122" s="800"/>
      <c r="BV122" s="800"/>
      <c r="BW122" s="800"/>
      <c r="BX122" s="800"/>
      <c r="BY122" s="800"/>
      <c r="BZ122" s="800"/>
      <c r="CA122" s="800"/>
      <c r="CB122" s="813"/>
      <c r="CC122" s="813"/>
    </row>
    <row r="123" spans="32:81" ht="13.5" customHeight="1">
      <c r="AF123" s="1702"/>
      <c r="AG123" s="1702"/>
      <c r="AH123" s="1702"/>
      <c r="AI123" s="1702"/>
      <c r="AJ123" s="1702"/>
      <c r="BA123" s="901" t="s">
        <v>401</v>
      </c>
      <c r="BB123" s="887">
        <f>A33</f>
        <v>0</v>
      </c>
      <c r="BC123" s="887">
        <f>C33</f>
        <v>0</v>
      </c>
      <c r="BD123" s="887" t="str">
        <f>IF(AND(OR(($H$33="通常食"),($H$33="キッズ")),NOT(OR($P$33=0,$P$33=""))),$H$33,"")</f>
        <v/>
      </c>
      <c r="BE123" s="887" t="str">
        <f>IF($BG123="","",VLOOKUP($BH123,$BD$158:$BF$186,2,0))</f>
        <v/>
      </c>
      <c r="BF123" s="887" t="str">
        <f>IF($BG123="","",VLOOKUP($BH123,$BD$158:$BF$186,3,0))</f>
        <v/>
      </c>
      <c r="BG123" s="887" t="str">
        <f>IF(AND(OR(($H$33="通常食"),($H$33="キッズ")),NOT(OR($P$33=0,$P$33=""))),$P$33,"")</f>
        <v/>
      </c>
      <c r="BH123" s="887" t="str">
        <f t="shared" si="29"/>
        <v>0中学生以上</v>
      </c>
      <c r="BI123" s="887">
        <f>IF(OR(BG123="",BG123=0),0,29)</f>
        <v>0</v>
      </c>
      <c r="BJ123" s="887"/>
      <c r="BK123" s="887"/>
      <c r="BL123" s="887"/>
      <c r="BM123" s="887"/>
      <c r="BN123" s="887"/>
      <c r="BO123" s="887"/>
      <c r="BP123" s="887"/>
      <c r="BQ123" s="887"/>
      <c r="BR123" s="887"/>
      <c r="BS123" s="887"/>
      <c r="BT123" s="887"/>
      <c r="BU123" s="800"/>
      <c r="BV123" s="800"/>
      <c r="BW123" s="800"/>
      <c r="BX123" s="800"/>
      <c r="BY123" s="800"/>
      <c r="BZ123" s="800"/>
      <c r="CA123" s="800"/>
      <c r="CB123" s="813"/>
      <c r="CC123" s="813"/>
    </row>
    <row r="124" spans="32:81" ht="13.5" customHeight="1">
      <c r="AF124" s="1702"/>
      <c r="AG124" s="1702"/>
      <c r="AH124" s="1702"/>
      <c r="AI124" s="1702"/>
      <c r="AJ124" s="1702"/>
      <c r="BA124" s="887" t="s">
        <v>400</v>
      </c>
      <c r="BB124" s="887">
        <f>A34</f>
        <v>0</v>
      </c>
      <c r="BC124" s="887">
        <f>C34</f>
        <v>0</v>
      </c>
      <c r="BD124" s="887">
        <f>IF(AND(NOT($H$34="通常食"),NOT($H$34="キッズ")),$H$34,"")</f>
        <v>0</v>
      </c>
      <c r="BE124" s="887" t="e">
        <f>IF(NOT($BD124=""),VLOOKUP($BD124,$BD$186:$BF$218,2,0),"")</f>
        <v>#N/A</v>
      </c>
      <c r="BF124" s="887" t="e">
        <f>IF(NOT($BD124=""),VLOOKUP($BD124,$BD$186:$BF$218,3,0),"")</f>
        <v>#N/A</v>
      </c>
      <c r="BG124" s="887">
        <f>IF(AND(NOT($H$34="通常食"),NOT($H$34="キッズ")),$R$34,"")</f>
        <v>0</v>
      </c>
      <c r="BH124" s="887"/>
      <c r="BI124" s="887">
        <f>IF(OR(BG124="",BG124=0),0,28)</f>
        <v>0</v>
      </c>
      <c r="BJ124" s="887"/>
      <c r="BK124" s="887"/>
      <c r="BL124" s="887"/>
      <c r="BM124" s="887"/>
      <c r="BN124" s="887"/>
      <c r="BO124" s="887"/>
      <c r="BP124" s="887"/>
      <c r="BQ124" s="887"/>
      <c r="BR124" s="887"/>
      <c r="BS124" s="887"/>
      <c r="BT124" s="887"/>
      <c r="BU124" s="800"/>
      <c r="BV124" s="800"/>
      <c r="BW124" s="800"/>
      <c r="BX124" s="800"/>
      <c r="BY124" s="800"/>
      <c r="BZ124" s="800"/>
      <c r="CA124" s="800"/>
      <c r="CB124" s="813"/>
      <c r="CC124" s="813"/>
    </row>
    <row r="125" spans="32:81" ht="13.5" customHeight="1">
      <c r="AF125" s="1702"/>
      <c r="AG125" s="1702"/>
      <c r="AH125" s="1702"/>
      <c r="AI125" s="1702"/>
      <c r="AJ125" s="1702"/>
      <c r="BA125" s="887" t="s">
        <v>398</v>
      </c>
      <c r="BB125" s="887">
        <f>A34</f>
        <v>0</v>
      </c>
      <c r="BC125" s="887">
        <f>C34</f>
        <v>0</v>
      </c>
      <c r="BD125" s="887" t="str">
        <f>IF(AND(OR(($H$34="通常食"),($H$34="キッズ")),NOT(OR($L$34=0,$L$34=""))),$H$34,"")</f>
        <v/>
      </c>
      <c r="BE125" s="887" t="str">
        <f>IF($BG125="","",VLOOKUP($BH125,$BD$158:$BF$186,2,0))</f>
        <v/>
      </c>
      <c r="BF125" s="887" t="str">
        <f>IF($BG125="","",VLOOKUP($BH125,$BD$158:$BF$186,3,0))</f>
        <v/>
      </c>
      <c r="BG125" s="887" t="str">
        <f>IF(AND(OR(($H$34="通常食"),($H$34="キッズ")),NOT(OR($L$34=0,$L$34=""))),$L$34,"")</f>
        <v/>
      </c>
      <c r="BH125" s="887" t="str">
        <f t="shared" si="29"/>
        <v>0幼児</v>
      </c>
      <c r="BI125" s="887">
        <f>IF(OR(BG125="",BG125=0),0,27)</f>
        <v>0</v>
      </c>
      <c r="BJ125" s="887"/>
      <c r="BK125" s="887"/>
      <c r="BL125" s="887"/>
      <c r="BM125" s="887"/>
      <c r="BN125" s="887"/>
      <c r="BO125" s="887"/>
      <c r="BP125" s="887"/>
      <c r="BQ125" s="887"/>
      <c r="BR125" s="887"/>
      <c r="BS125" s="887"/>
      <c r="BT125" s="887"/>
      <c r="BU125" s="800"/>
      <c r="BV125" s="800"/>
      <c r="BW125" s="800"/>
      <c r="BX125" s="800"/>
      <c r="BY125" s="800"/>
      <c r="BZ125" s="800"/>
      <c r="CA125" s="800"/>
      <c r="CB125" s="813"/>
      <c r="CC125" s="813"/>
    </row>
    <row r="126" spans="32:81" ht="13.5" customHeight="1">
      <c r="AF126" s="1702"/>
      <c r="AG126" s="1702"/>
      <c r="AH126" s="1702"/>
      <c r="AI126" s="1702"/>
      <c r="AJ126" s="1702"/>
      <c r="BA126" s="887" t="s">
        <v>399</v>
      </c>
      <c r="BB126" s="887">
        <f>A34</f>
        <v>0</v>
      </c>
      <c r="BC126" s="887">
        <f>C34</f>
        <v>0</v>
      </c>
      <c r="BD126" s="887" t="str">
        <f>IF(AND(OR(($H$34="通常食"),($H$34="キッズ")),NOT(OR($N$34=0,$N$34=""))),$H$34,"")</f>
        <v/>
      </c>
      <c r="BE126" s="887" t="str">
        <f>IF($BG126="","",VLOOKUP($BH126,$BD$158:$BF$186,2,0))</f>
        <v/>
      </c>
      <c r="BF126" s="887" t="str">
        <f>IF($BG126="","",VLOOKUP($BH126,$BD$158:$BF$186,3,0))</f>
        <v/>
      </c>
      <c r="BG126" s="887" t="str">
        <f>IF(AND(OR(($H$34="通常食"),($H$34="キッズ")),NOT(OR($N$34=0,$N$34=""))),$N$34,"")</f>
        <v/>
      </c>
      <c r="BH126" s="887" t="str">
        <f t="shared" si="29"/>
        <v>0小学生</v>
      </c>
      <c r="BI126" s="887">
        <f>IF(OR(BG126="",BG126=0),0,26)</f>
        <v>0</v>
      </c>
      <c r="BJ126" s="887"/>
      <c r="BK126" s="887"/>
      <c r="BL126" s="887"/>
      <c r="BM126" s="887"/>
      <c r="BN126" s="887"/>
      <c r="BO126" s="887"/>
      <c r="BP126" s="887"/>
      <c r="BQ126" s="887"/>
      <c r="BR126" s="887"/>
      <c r="BS126" s="887"/>
      <c r="BT126" s="887"/>
      <c r="BU126" s="800"/>
      <c r="BV126" s="800"/>
      <c r="BW126" s="800"/>
      <c r="BX126" s="800"/>
      <c r="BY126" s="800"/>
      <c r="BZ126" s="800"/>
      <c r="CA126" s="800"/>
      <c r="CB126" s="813"/>
      <c r="CC126" s="813"/>
    </row>
    <row r="127" spans="32:81" ht="13.5" customHeight="1">
      <c r="AF127" s="1702"/>
      <c r="AG127" s="1702"/>
      <c r="AH127" s="1702"/>
      <c r="AI127" s="1702"/>
      <c r="AJ127" s="1702"/>
      <c r="BA127" s="901" t="s">
        <v>401</v>
      </c>
      <c r="BB127" s="887">
        <f>A34</f>
        <v>0</v>
      </c>
      <c r="BC127" s="887">
        <f>C34</f>
        <v>0</v>
      </c>
      <c r="BD127" s="887" t="str">
        <f>IF(AND(OR(($H$34="通常食"),($H$34="キッズ")),NOT(OR($P$34=0,$P$34=""))),$H$34,"")</f>
        <v/>
      </c>
      <c r="BE127" s="887" t="str">
        <f>IF($BG127="","",VLOOKUP($BH127,$BD$158:$BF$186,2,0))</f>
        <v/>
      </c>
      <c r="BF127" s="887" t="str">
        <f>IF($BG127="","",VLOOKUP($BH127,$BD$158:$BF$186,3,0))</f>
        <v/>
      </c>
      <c r="BG127" s="887" t="str">
        <f>IF(AND(OR(($H$34="通常食"),($H$34="キッズ")),NOT(OR($P$34=0,$P$34=""))),$P$34,"")</f>
        <v/>
      </c>
      <c r="BH127" s="887" t="str">
        <f t="shared" si="29"/>
        <v>0中学生以上</v>
      </c>
      <c r="BI127" s="887">
        <f>IF(OR(BG127="",BG127=0),0,25)</f>
        <v>0</v>
      </c>
      <c r="BJ127" s="887"/>
      <c r="BK127" s="887"/>
      <c r="BL127" s="887"/>
      <c r="BM127" s="887"/>
      <c r="BN127" s="887"/>
      <c r="BO127" s="887"/>
      <c r="BP127" s="887"/>
      <c r="BQ127" s="887"/>
      <c r="BR127" s="887"/>
      <c r="BS127" s="887"/>
      <c r="BT127" s="887"/>
      <c r="BU127" s="800"/>
      <c r="BV127" s="800"/>
      <c r="BW127" s="800"/>
      <c r="BX127" s="800"/>
      <c r="BY127" s="800"/>
      <c r="BZ127" s="800"/>
      <c r="CA127" s="800"/>
      <c r="CB127" s="813"/>
      <c r="CC127" s="813"/>
    </row>
    <row r="128" spans="32:81" ht="13.5" customHeight="1">
      <c r="AF128" s="1702"/>
      <c r="AG128" s="1702"/>
      <c r="AH128" s="1702"/>
      <c r="AI128" s="1702"/>
      <c r="AJ128" s="1702"/>
      <c r="BA128" s="887" t="s">
        <v>400</v>
      </c>
      <c r="BB128" s="887">
        <f>A35</f>
        <v>0</v>
      </c>
      <c r="BC128" s="887">
        <f>C35</f>
        <v>0</v>
      </c>
      <c r="BD128" s="887">
        <f>IF(AND(NOT($H$35="通常食"),NOT($H$35="キッズ")),$H$35,"")</f>
        <v>0</v>
      </c>
      <c r="BE128" s="887" t="e">
        <f>IF(NOT($BD128=""),VLOOKUP($BD128,$BD$186:$BF$218,2,0),"")</f>
        <v>#N/A</v>
      </c>
      <c r="BF128" s="887" t="e">
        <f>IF(NOT($BD128=""),VLOOKUP($BD128,$BD$186:$BF$218,3,0),"")</f>
        <v>#N/A</v>
      </c>
      <c r="BG128" s="887">
        <f>IF(AND(NOT($H$35="通常食"),NOT($H$35="キッズ")),$R$35,"")</f>
        <v>0</v>
      </c>
      <c r="BH128" s="887"/>
      <c r="BI128" s="887">
        <f>IF(OR(BG128="",BG128=0),0,24)</f>
        <v>0</v>
      </c>
      <c r="BJ128" s="887"/>
      <c r="BK128" s="887"/>
      <c r="BL128" s="887"/>
      <c r="BM128" s="887"/>
      <c r="BN128" s="887"/>
      <c r="BO128" s="887"/>
      <c r="BP128" s="887"/>
      <c r="BQ128" s="887"/>
      <c r="BR128" s="887"/>
      <c r="BS128" s="887"/>
      <c r="BT128" s="887"/>
      <c r="BU128" s="800"/>
      <c r="BV128" s="800"/>
      <c r="BW128" s="800"/>
      <c r="BX128" s="800"/>
      <c r="BY128" s="800"/>
      <c r="BZ128" s="800"/>
      <c r="CA128" s="800"/>
      <c r="CB128" s="813"/>
      <c r="CC128" s="813"/>
    </row>
    <row r="129" spans="32:81" ht="13.5" customHeight="1">
      <c r="AF129" s="1702"/>
      <c r="AG129" s="1702"/>
      <c r="AH129" s="1702"/>
      <c r="AI129" s="1702"/>
      <c r="AJ129" s="1702"/>
      <c r="BA129" s="887" t="s">
        <v>398</v>
      </c>
      <c r="BB129" s="887">
        <f>A35</f>
        <v>0</v>
      </c>
      <c r="BC129" s="887">
        <f>C35</f>
        <v>0</v>
      </c>
      <c r="BD129" s="887" t="str">
        <f>IF(AND(OR(($H$35="通常食"),($H$35="キッズ")),NOT(OR($L$35=0,$L$35=""))),$H$35,"")</f>
        <v/>
      </c>
      <c r="BE129" s="887" t="str">
        <f>IF($BG129="","",VLOOKUP($BH129,$BD$158:$BF$186,2,0))</f>
        <v/>
      </c>
      <c r="BF129" s="887" t="str">
        <f>IF($BG129="","",VLOOKUP($BH129,$BD$158:$BF$186,3,0))</f>
        <v/>
      </c>
      <c r="BG129" s="887" t="str">
        <f>IF(AND(OR(($H$35="通常食"),($H$35="キッズ")),NOT(OR($L$35=0,$L$35=""))),$L$35,"")</f>
        <v/>
      </c>
      <c r="BH129" s="887" t="str">
        <f t="shared" si="29"/>
        <v>0幼児</v>
      </c>
      <c r="BI129" s="887">
        <f>IF(OR(BG129="",BG129=0),0,23)</f>
        <v>0</v>
      </c>
      <c r="BJ129" s="887"/>
      <c r="BK129" s="887"/>
      <c r="BL129" s="887"/>
      <c r="BM129" s="887"/>
      <c r="BN129" s="887"/>
      <c r="BO129" s="887"/>
      <c r="BP129" s="887"/>
      <c r="BQ129" s="887"/>
      <c r="BR129" s="887"/>
      <c r="BS129" s="887"/>
      <c r="BT129" s="887"/>
      <c r="BU129" s="800"/>
      <c r="BV129" s="800"/>
      <c r="BW129" s="800"/>
      <c r="BX129" s="800"/>
      <c r="BY129" s="800"/>
      <c r="BZ129" s="800"/>
      <c r="CA129" s="800"/>
      <c r="CB129" s="813"/>
      <c r="CC129" s="813"/>
    </row>
    <row r="130" spans="32:81" ht="13.5" customHeight="1">
      <c r="AF130" s="1702"/>
      <c r="AG130" s="1702"/>
      <c r="AH130" s="1702"/>
      <c r="AI130" s="1702"/>
      <c r="AJ130" s="1702"/>
      <c r="BA130" s="887" t="s">
        <v>399</v>
      </c>
      <c r="BB130" s="887">
        <f>A35</f>
        <v>0</v>
      </c>
      <c r="BC130" s="887">
        <f>C35</f>
        <v>0</v>
      </c>
      <c r="BD130" s="887" t="str">
        <f>IF(AND(OR(($H$35="通常食"),($H$35="キッズ")),NOT(OR($N$35=0,$N$35=""))),$H$35,"")</f>
        <v/>
      </c>
      <c r="BE130" s="887" t="str">
        <f>IF($BG130="","",VLOOKUP($BH130,$BD$158:$BF$186,2,0))</f>
        <v/>
      </c>
      <c r="BF130" s="887" t="str">
        <f>IF($BG130="","",VLOOKUP($BH130,$BD$158:$BF$186,3,0))</f>
        <v/>
      </c>
      <c r="BG130" s="887" t="str">
        <f>IF(AND(OR(($H$35="通常食"),($H$35="キッズ")),NOT(OR($N$35=0,$N$35=""))),$N$35,"")</f>
        <v/>
      </c>
      <c r="BH130" s="887" t="str">
        <f t="shared" si="29"/>
        <v>0小学生</v>
      </c>
      <c r="BI130" s="887">
        <f>IF(OR(BG130="",BG130=0),0,22)</f>
        <v>0</v>
      </c>
      <c r="BJ130" s="887"/>
      <c r="BK130" s="887"/>
      <c r="BL130" s="887"/>
      <c r="BM130" s="887"/>
      <c r="BN130" s="887"/>
      <c r="BO130" s="887"/>
      <c r="BP130" s="887"/>
      <c r="BQ130" s="887"/>
      <c r="BR130" s="887"/>
      <c r="BS130" s="887"/>
      <c r="BT130" s="887"/>
      <c r="BU130" s="800"/>
      <c r="BV130" s="800"/>
      <c r="BW130" s="800"/>
      <c r="BX130" s="800"/>
      <c r="BY130" s="800"/>
      <c r="BZ130" s="800"/>
      <c r="CA130" s="800"/>
      <c r="CB130" s="813"/>
      <c r="CC130" s="813"/>
    </row>
    <row r="131" spans="32:81" ht="13.5" customHeight="1">
      <c r="AF131" s="1702"/>
      <c r="AG131" s="1702"/>
      <c r="AH131" s="1702"/>
      <c r="AI131" s="1702"/>
      <c r="AJ131" s="1702"/>
      <c r="BA131" s="901" t="s">
        <v>401</v>
      </c>
      <c r="BB131" s="887">
        <f>A35</f>
        <v>0</v>
      </c>
      <c r="BC131" s="887">
        <f>C35</f>
        <v>0</v>
      </c>
      <c r="BD131" s="887" t="str">
        <f>IF(AND(OR(($H$35="通常食"),($H$35="キッズ")),NOT(OR($P$35=0,$P$35=""))),$H$35,"")</f>
        <v/>
      </c>
      <c r="BE131" s="887" t="str">
        <f>IF($BG131="","",VLOOKUP($BH131,$BD$158:$BF$186,2,0))</f>
        <v/>
      </c>
      <c r="BF131" s="887" t="str">
        <f>IF($BG131="","",VLOOKUP($BH131,$BD$158:$BF$186,3,0))</f>
        <v/>
      </c>
      <c r="BG131" s="887" t="str">
        <f>IF(AND(OR(($H$35="通常食"),($H$35="キッズ")),NOT(OR($P$35=0,$P$35=""))),$P$35,"")</f>
        <v/>
      </c>
      <c r="BH131" s="887" t="str">
        <f t="shared" si="29"/>
        <v>0中学生以上</v>
      </c>
      <c r="BI131" s="887">
        <f>IF(OR(BG131="",BG131=0),0,21)</f>
        <v>0</v>
      </c>
      <c r="BJ131" s="887"/>
      <c r="BK131" s="887"/>
      <c r="BL131" s="887"/>
      <c r="BM131" s="887"/>
      <c r="BN131" s="887"/>
      <c r="BO131" s="887"/>
      <c r="BP131" s="887"/>
      <c r="BQ131" s="887"/>
      <c r="BR131" s="887"/>
      <c r="BS131" s="887"/>
      <c r="BT131" s="887"/>
      <c r="BU131" s="800"/>
      <c r="BV131" s="800"/>
      <c r="BW131" s="800"/>
      <c r="BX131" s="800"/>
      <c r="BY131" s="800"/>
      <c r="BZ131" s="800"/>
      <c r="CA131" s="800"/>
      <c r="CB131" s="813"/>
      <c r="CC131" s="813"/>
    </row>
    <row r="132" spans="32:81" ht="13.5" customHeight="1">
      <c r="AF132" s="1702"/>
      <c r="AG132" s="1702"/>
      <c r="AH132" s="1702"/>
      <c r="AI132" s="1702"/>
      <c r="AJ132" s="1702"/>
      <c r="BA132" s="887" t="s">
        <v>400</v>
      </c>
      <c r="BB132" s="887">
        <f>A36</f>
        <v>0</v>
      </c>
      <c r="BC132" s="887">
        <f>C36</f>
        <v>0</v>
      </c>
      <c r="BD132" s="887">
        <f>IF(AND(NOT($H$36="通常食"),NOT($H$36="キッズ")),$H$36,"")</f>
        <v>0</v>
      </c>
      <c r="BE132" s="887" t="e">
        <f>IF(NOT($BD132=""),VLOOKUP($BD132,$BD$186:$BF$218,2,0),"")</f>
        <v>#N/A</v>
      </c>
      <c r="BF132" s="887" t="e">
        <f>IF(NOT($BD132=""),VLOOKUP($BD132,$BD$186:$BF$218,3,0),"")</f>
        <v>#N/A</v>
      </c>
      <c r="BG132" s="887">
        <f>IF(AND(NOT($H$36="通常食"),NOT($H$36="キッズ")),$R$36,"")</f>
        <v>0</v>
      </c>
      <c r="BH132" s="887"/>
      <c r="BI132" s="887">
        <f>IF(OR(BG132="",BG132=0),0,20)</f>
        <v>0</v>
      </c>
      <c r="BJ132" s="887"/>
      <c r="BK132" s="887"/>
      <c r="BL132" s="887"/>
      <c r="BM132" s="887"/>
      <c r="BN132" s="887"/>
      <c r="BO132" s="887"/>
      <c r="BP132" s="887"/>
      <c r="BQ132" s="887"/>
      <c r="BR132" s="887"/>
      <c r="BS132" s="887"/>
      <c r="BT132" s="887"/>
      <c r="BU132" s="800"/>
      <c r="BV132" s="800"/>
      <c r="BW132" s="800"/>
      <c r="BX132" s="800"/>
      <c r="BY132" s="800"/>
      <c r="BZ132" s="800"/>
      <c r="CA132" s="800"/>
      <c r="CB132" s="813"/>
      <c r="CC132" s="813"/>
    </row>
    <row r="133" spans="32:81" ht="13.5" customHeight="1">
      <c r="AF133" s="1702"/>
      <c r="AG133" s="1702"/>
      <c r="AH133" s="1702"/>
      <c r="AI133" s="1702"/>
      <c r="AJ133" s="1702"/>
      <c r="BA133" s="887" t="s">
        <v>398</v>
      </c>
      <c r="BB133" s="887">
        <f>A36</f>
        <v>0</v>
      </c>
      <c r="BC133" s="887">
        <f>C36</f>
        <v>0</v>
      </c>
      <c r="BD133" s="887" t="str">
        <f>IF(AND(OR(($H$36="通常食"),($H$36="キッズ")),NOT(OR($L$36=0,$L$36=""))),$H$36,"")</f>
        <v/>
      </c>
      <c r="BE133" s="887" t="str">
        <f>IF($BG133="","",VLOOKUP($BH133,$BD$158:$BF$186,2,0))</f>
        <v/>
      </c>
      <c r="BF133" s="887" t="str">
        <f>IF($BG133="","",VLOOKUP($BH133,$BD$158:$BF$186,3,0))</f>
        <v/>
      </c>
      <c r="BG133" s="887" t="str">
        <f>IF(AND(OR(($H$36="通常食"),($H$36="キッズ")),NOT(OR($L$36=0,$L$36=""))),$L$36,"")</f>
        <v/>
      </c>
      <c r="BH133" s="887" t="str">
        <f t="shared" si="29"/>
        <v>0幼児</v>
      </c>
      <c r="BI133" s="887">
        <f>IF(OR(BG133="",BG133=0),0,19)</f>
        <v>0</v>
      </c>
      <c r="BJ133" s="887"/>
      <c r="BK133" s="887"/>
      <c r="BL133" s="887"/>
      <c r="BM133" s="887"/>
      <c r="BN133" s="887"/>
      <c r="BO133" s="887"/>
      <c r="BP133" s="887"/>
      <c r="BQ133" s="887"/>
      <c r="BR133" s="887"/>
      <c r="BS133" s="887"/>
      <c r="BT133" s="887"/>
      <c r="BU133" s="800"/>
      <c r="BV133" s="800"/>
      <c r="BW133" s="800"/>
      <c r="BX133" s="800"/>
      <c r="BY133" s="800"/>
      <c r="BZ133" s="800"/>
      <c r="CA133" s="800"/>
      <c r="CB133" s="813"/>
      <c r="CC133" s="813"/>
    </row>
    <row r="134" spans="32:81" ht="13.5" customHeight="1">
      <c r="AF134" s="1702"/>
      <c r="AG134" s="1702"/>
      <c r="AH134" s="1702"/>
      <c r="AI134" s="1702"/>
      <c r="AJ134" s="1702"/>
      <c r="BA134" s="887" t="s">
        <v>399</v>
      </c>
      <c r="BB134" s="887">
        <f>A36</f>
        <v>0</v>
      </c>
      <c r="BC134" s="887">
        <f>C36</f>
        <v>0</v>
      </c>
      <c r="BD134" s="887" t="str">
        <f>IF(AND(OR(($H$36="通常食"),($H$36="キッズ")),NOT(OR($N$36=0,$N$36=""))),$H$36,"")</f>
        <v/>
      </c>
      <c r="BE134" s="887" t="str">
        <f>IF($BG134="","",VLOOKUP($BH134,$BD$158:$BF$186,2,0))</f>
        <v/>
      </c>
      <c r="BF134" s="887" t="str">
        <f>IF($BG134="","",VLOOKUP($BH134,$BD$158:$BF$186,3,0))</f>
        <v/>
      </c>
      <c r="BG134" s="887" t="str">
        <f>IF(AND(OR(($H$36="通常食"),($H$36="キッズ")),NOT(OR($N$36=0,$N$36=""))),$N$36,"")</f>
        <v/>
      </c>
      <c r="BH134" s="887" t="str">
        <f t="shared" si="29"/>
        <v>0小学生</v>
      </c>
      <c r="BI134" s="887">
        <f>IF(OR(BG134="",BG134=0),0,18)</f>
        <v>0</v>
      </c>
      <c r="BJ134" s="887"/>
      <c r="BK134" s="887"/>
      <c r="BL134" s="887"/>
      <c r="BM134" s="887"/>
      <c r="BN134" s="887"/>
      <c r="BO134" s="887"/>
      <c r="BP134" s="887"/>
      <c r="BQ134" s="887"/>
      <c r="BR134" s="887"/>
      <c r="BS134" s="887"/>
      <c r="BT134" s="887"/>
      <c r="BU134" s="800"/>
      <c r="BV134" s="800"/>
      <c r="BW134" s="800"/>
      <c r="BX134" s="800"/>
      <c r="BY134" s="800"/>
      <c r="BZ134" s="800"/>
      <c r="CA134" s="800"/>
      <c r="CB134" s="813"/>
      <c r="CC134" s="813"/>
    </row>
    <row r="135" spans="32:81" ht="13.5" customHeight="1">
      <c r="AF135" s="1702"/>
      <c r="AG135" s="1702"/>
      <c r="AH135" s="1702"/>
      <c r="AI135" s="1702"/>
      <c r="AJ135" s="1702"/>
      <c r="BA135" s="901" t="s">
        <v>401</v>
      </c>
      <c r="BB135" s="887">
        <f>A36</f>
        <v>0</v>
      </c>
      <c r="BC135" s="887">
        <f>C36</f>
        <v>0</v>
      </c>
      <c r="BD135" s="887" t="str">
        <f>IF(AND(OR(($H$36="通常食"),($H$36="キッズ")),NOT(OR($P$36=0,$P$36=""))),$H$36,"")</f>
        <v/>
      </c>
      <c r="BE135" s="887" t="str">
        <f>IF($BG135="","",VLOOKUP($BH135,$BD$158:$BF$186,2,0))</f>
        <v/>
      </c>
      <c r="BF135" s="887" t="str">
        <f>IF($BG135="","",VLOOKUP($BH135,$BD$158:$BF$186,3,0))</f>
        <v/>
      </c>
      <c r="BG135" s="887" t="str">
        <f>IF(AND(OR(($H$36="通常食"),($H$36="キッズ")),NOT(OR($P$36=0,$P$36=""))),$P$36,"")</f>
        <v/>
      </c>
      <c r="BH135" s="887" t="str">
        <f t="shared" si="29"/>
        <v>0中学生以上</v>
      </c>
      <c r="BI135" s="887">
        <f>IF(OR(BG135="",BG135=0),0,17)</f>
        <v>0</v>
      </c>
      <c r="BJ135" s="887"/>
      <c r="BK135" s="887"/>
      <c r="BL135" s="887"/>
      <c r="BM135" s="887"/>
      <c r="BN135" s="887"/>
      <c r="BO135" s="887"/>
      <c r="BP135" s="887"/>
      <c r="BQ135" s="887"/>
      <c r="BR135" s="887"/>
      <c r="BS135" s="887"/>
      <c r="BT135" s="887"/>
      <c r="BU135" s="800"/>
      <c r="BV135" s="800"/>
      <c r="BW135" s="800"/>
      <c r="BX135" s="800"/>
      <c r="BY135" s="800"/>
      <c r="BZ135" s="800"/>
      <c r="CA135" s="800"/>
      <c r="CB135" s="813"/>
      <c r="CC135" s="813"/>
    </row>
    <row r="136" spans="32:81" ht="13.5" customHeight="1">
      <c r="AF136" s="1702"/>
      <c r="AG136" s="1702"/>
      <c r="AH136" s="1702"/>
      <c r="AI136" s="1702"/>
      <c r="AJ136" s="1702"/>
      <c r="BA136" s="887" t="s">
        <v>400</v>
      </c>
      <c r="BB136" s="887">
        <f>A37</f>
        <v>0</v>
      </c>
      <c r="BC136" s="887">
        <f>C37</f>
        <v>0</v>
      </c>
      <c r="BD136" s="887">
        <f>IF(AND(NOT($H$37="通常食"),NOT($H$37="キッズ")),$H$37,"")</f>
        <v>0</v>
      </c>
      <c r="BE136" s="887" t="e">
        <f>IF(NOT($BD136=""),VLOOKUP($BD136,$BD$186:$BF$218,2,0),"")</f>
        <v>#N/A</v>
      </c>
      <c r="BF136" s="887" t="e">
        <f>IF(NOT($BD136=""),VLOOKUP($BD136,$BD$186:$BF$218,3,0),"")</f>
        <v>#N/A</v>
      </c>
      <c r="BG136" s="887">
        <f>IF(AND(NOT($H$37="通常食"),NOT($H$37="キッズ")),$R$37,"")</f>
        <v>0</v>
      </c>
      <c r="BH136" s="887"/>
      <c r="BI136" s="887">
        <f>IF(OR(BG136="",BG136=0),0,16)</f>
        <v>0</v>
      </c>
      <c r="BJ136" s="887"/>
      <c r="BK136" s="887"/>
      <c r="BL136" s="887"/>
      <c r="BM136" s="887"/>
      <c r="BN136" s="887"/>
      <c r="BO136" s="887"/>
      <c r="BP136" s="887"/>
      <c r="BQ136" s="887"/>
      <c r="BR136" s="887"/>
      <c r="BS136" s="887"/>
      <c r="BT136" s="887"/>
      <c r="BU136" s="800"/>
      <c r="BV136" s="800"/>
      <c r="BW136" s="800"/>
      <c r="BX136" s="800"/>
      <c r="BY136" s="800"/>
      <c r="BZ136" s="800"/>
      <c r="CA136" s="800"/>
      <c r="CB136" s="813"/>
      <c r="CC136" s="813"/>
    </row>
    <row r="137" spans="32:81" ht="13.5" customHeight="1">
      <c r="AF137" s="1702"/>
      <c r="AG137" s="1702"/>
      <c r="AH137" s="1702"/>
      <c r="AI137" s="1702"/>
      <c r="AJ137" s="1702"/>
      <c r="BA137" s="887" t="s">
        <v>398</v>
      </c>
      <c r="BB137" s="887">
        <f>A37</f>
        <v>0</v>
      </c>
      <c r="BC137" s="887">
        <f>C37</f>
        <v>0</v>
      </c>
      <c r="BD137" s="887" t="str">
        <f>IF(AND(OR(($H$37="通常食"),($H$37="キッズ")),NOT(OR($L$37=0,$L$37=""))),$H$37,"")</f>
        <v/>
      </c>
      <c r="BE137" s="887" t="str">
        <f>IF($BG137="","",VLOOKUP($BH137,$BD$158:$BF$186,2,0))</f>
        <v/>
      </c>
      <c r="BF137" s="887" t="str">
        <f>IF($BG137="","",VLOOKUP($BH137,$BD$158:$BF$186,3,0))</f>
        <v/>
      </c>
      <c r="BG137" s="887" t="str">
        <f>IF(AND(OR(($H$37="通常食"),($H$37="キッズ")),NOT(OR($L$37=0,$L$37=""))),$L$37,"")</f>
        <v/>
      </c>
      <c r="BH137" s="887" t="str">
        <f t="shared" si="29"/>
        <v>0幼児</v>
      </c>
      <c r="BI137" s="887">
        <f>IF(OR(BG137="",BG137=0),0,15)</f>
        <v>0</v>
      </c>
      <c r="BJ137" s="887"/>
      <c r="BK137" s="887"/>
      <c r="BL137" s="887"/>
      <c r="BM137" s="887"/>
      <c r="BN137" s="887"/>
      <c r="BO137" s="887"/>
      <c r="BP137" s="887"/>
      <c r="BQ137" s="887"/>
      <c r="BR137" s="887"/>
      <c r="BS137" s="887"/>
      <c r="BT137" s="887"/>
      <c r="BU137" s="800"/>
      <c r="BV137" s="800"/>
      <c r="BW137" s="800"/>
      <c r="BX137" s="800"/>
      <c r="BY137" s="800"/>
      <c r="BZ137" s="800"/>
      <c r="CA137" s="800"/>
      <c r="CB137" s="813"/>
      <c r="CC137" s="813"/>
    </row>
    <row r="138" spans="32:81" ht="13.5" customHeight="1">
      <c r="AF138" s="1702"/>
      <c r="AG138" s="1702"/>
      <c r="AH138" s="1702"/>
      <c r="AI138" s="1702"/>
      <c r="AJ138" s="1702"/>
      <c r="BA138" s="887" t="s">
        <v>399</v>
      </c>
      <c r="BB138" s="887">
        <f>A37</f>
        <v>0</v>
      </c>
      <c r="BC138" s="887">
        <f>C37</f>
        <v>0</v>
      </c>
      <c r="BD138" s="887" t="str">
        <f>IF(AND(OR(($H$37="通常食"),($H$37="キッズ")),NOT(OR($N$37=0,$N$37=""))),$H$37,"")</f>
        <v/>
      </c>
      <c r="BE138" s="887" t="str">
        <f>IF($BG138="","",VLOOKUP($BH138,$BD$158:$BF$186,2,0))</f>
        <v/>
      </c>
      <c r="BF138" s="887" t="str">
        <f>IF($BG138="","",VLOOKUP($BH138,$BD$158:$BF$186,3,0))</f>
        <v/>
      </c>
      <c r="BG138" s="887" t="str">
        <f>IF(AND(OR(($H$37="通常食"),($H$37="キッズ")),NOT(OR($N$37=0,$N$37=""))),$N$37,"")</f>
        <v/>
      </c>
      <c r="BH138" s="887" t="str">
        <f t="shared" si="29"/>
        <v>0小学生</v>
      </c>
      <c r="BI138" s="887">
        <f>IF(OR(BG138="",BG138=0),0,14)</f>
        <v>0</v>
      </c>
      <c r="BJ138" s="887"/>
      <c r="BK138" s="887"/>
      <c r="BL138" s="887"/>
      <c r="BM138" s="887"/>
      <c r="BN138" s="887"/>
      <c r="BO138" s="887"/>
      <c r="BP138" s="887"/>
      <c r="BQ138" s="887"/>
      <c r="BR138" s="887"/>
      <c r="BS138" s="887"/>
      <c r="BT138" s="887"/>
      <c r="BU138" s="800"/>
      <c r="BV138" s="800"/>
      <c r="BW138" s="800"/>
      <c r="BX138" s="800"/>
      <c r="BY138" s="800"/>
      <c r="BZ138" s="800"/>
      <c r="CA138" s="800"/>
      <c r="CB138" s="813"/>
      <c r="CC138" s="813"/>
    </row>
    <row r="139" spans="32:81" ht="13.5" customHeight="1">
      <c r="AF139" s="1702"/>
      <c r="AG139" s="1702"/>
      <c r="AH139" s="1702"/>
      <c r="AI139" s="1702"/>
      <c r="AJ139" s="1702"/>
      <c r="BA139" s="901" t="s">
        <v>401</v>
      </c>
      <c r="BB139" s="887">
        <f>A37</f>
        <v>0</v>
      </c>
      <c r="BC139" s="887">
        <f>C37</f>
        <v>0</v>
      </c>
      <c r="BD139" s="887" t="str">
        <f>IF(AND(OR(($H$37="通常食"),($H$37="キッズ")),NOT(OR($P$37=0,$P$37=""))),$H$37,"")</f>
        <v/>
      </c>
      <c r="BE139" s="887" t="str">
        <f>IF($BG139="","",VLOOKUP($BH139,$BD$158:$BF$186,2,0))</f>
        <v/>
      </c>
      <c r="BF139" s="887" t="str">
        <f>IF($BG139="","",VLOOKUP($BH139,$BD$158:$BF$186,3,0))</f>
        <v/>
      </c>
      <c r="BG139" s="887" t="str">
        <f>IF(AND(OR(($H$37="通常食"),($H$37="キッズ")),NOT(OR($P$37=0,$P$37=""))),$P$37,"")</f>
        <v/>
      </c>
      <c r="BH139" s="887" t="str">
        <f t="shared" si="29"/>
        <v>0中学生以上</v>
      </c>
      <c r="BI139" s="887">
        <f>IF(OR(BG139="",BG139=0),0,13)</f>
        <v>0</v>
      </c>
      <c r="BJ139" s="887"/>
      <c r="BK139" s="887"/>
      <c r="BL139" s="887"/>
      <c r="BM139" s="887"/>
      <c r="BN139" s="887"/>
      <c r="BO139" s="887"/>
      <c r="BP139" s="887"/>
      <c r="BQ139" s="887"/>
      <c r="BR139" s="887"/>
      <c r="BS139" s="887"/>
      <c r="BT139" s="887"/>
      <c r="BU139" s="800"/>
      <c r="BV139" s="800"/>
      <c r="BW139" s="800"/>
      <c r="BX139" s="800"/>
      <c r="BY139" s="800"/>
      <c r="BZ139" s="800"/>
      <c r="CA139" s="800"/>
      <c r="CB139" s="813"/>
      <c r="CC139" s="813"/>
    </row>
    <row r="140" spans="32:81" ht="13.5" customHeight="1">
      <c r="AF140" s="1702"/>
      <c r="AG140" s="1702"/>
      <c r="AH140" s="1702"/>
      <c r="AI140" s="1702"/>
      <c r="AJ140" s="1702"/>
      <c r="BA140" s="887" t="s">
        <v>400</v>
      </c>
      <c r="BB140" s="887">
        <f>A38</f>
        <v>0</v>
      </c>
      <c r="BC140" s="887">
        <f>C38</f>
        <v>0</v>
      </c>
      <c r="BD140" s="887">
        <f>IF(AND(NOT($H$38="通常食"),NOT($H$38="キッズ")),$H$38,"")</f>
        <v>0</v>
      </c>
      <c r="BE140" s="887" t="e">
        <f>IF(NOT($BD140=""),VLOOKUP($BD140,$BD$186:$BF$218,2,0),"")</f>
        <v>#N/A</v>
      </c>
      <c r="BF140" s="887" t="e">
        <f>IF(NOT($BD140=""),VLOOKUP($BD140,$BD$186:$BF$218,3,0),"")</f>
        <v>#N/A</v>
      </c>
      <c r="BG140" s="887">
        <f>IF(AND(NOT($H$38="通常食"),NOT($H$38="キッズ")),$R$38,"")</f>
        <v>0</v>
      </c>
      <c r="BH140" s="887"/>
      <c r="BI140" s="887">
        <f>IF(OR(BG140="",BG140=0),0,12)</f>
        <v>0</v>
      </c>
      <c r="BJ140" s="887"/>
      <c r="BK140" s="887"/>
      <c r="BL140" s="887"/>
      <c r="BM140" s="887"/>
      <c r="BN140" s="887"/>
      <c r="BO140" s="887"/>
      <c r="BP140" s="887"/>
      <c r="BQ140" s="887"/>
      <c r="BR140" s="887"/>
      <c r="BS140" s="887"/>
      <c r="BT140" s="887"/>
      <c r="BU140" s="800"/>
      <c r="BV140" s="800"/>
      <c r="BW140" s="800"/>
      <c r="BX140" s="800"/>
      <c r="BY140" s="800"/>
      <c r="BZ140" s="800"/>
      <c r="CA140" s="800"/>
      <c r="CB140" s="813"/>
      <c r="CC140" s="813"/>
    </row>
    <row r="141" spans="32:81" ht="13.5" customHeight="1">
      <c r="AF141" s="1702"/>
      <c r="AG141" s="1702"/>
      <c r="AH141" s="1702"/>
      <c r="AI141" s="1702"/>
      <c r="AJ141" s="1702"/>
      <c r="BA141" s="887" t="s">
        <v>398</v>
      </c>
      <c r="BB141" s="887">
        <f>A38</f>
        <v>0</v>
      </c>
      <c r="BC141" s="887">
        <f>C38</f>
        <v>0</v>
      </c>
      <c r="BD141" s="887" t="str">
        <f>IF(AND(OR(($H$38="通常食"),($H$38="キッズ")),NOT(OR($L$38=0,$L$38=""))),$H$38,"")</f>
        <v/>
      </c>
      <c r="BE141" s="887" t="str">
        <f>IF($BG141="","",VLOOKUP($BH141,$BD$158:$BF$186,2,0))</f>
        <v/>
      </c>
      <c r="BF141" s="887" t="str">
        <f>IF($BG141="","",VLOOKUP($BH141,$BD$158:$BF$186,3,0))</f>
        <v/>
      </c>
      <c r="BG141" s="887" t="str">
        <f>IF(AND(OR(($H$38="通常食"),($H$38="キッズ")),NOT(OR($L$38=0,$L$38=""))),$L$38,"")</f>
        <v/>
      </c>
      <c r="BH141" s="887" t="str">
        <f t="shared" si="29"/>
        <v>0幼児</v>
      </c>
      <c r="BI141" s="887">
        <f>IF(OR(BG141="",BG141=0),0,11)</f>
        <v>0</v>
      </c>
      <c r="BJ141" s="887"/>
      <c r="BK141" s="887"/>
      <c r="BL141" s="887"/>
      <c r="BM141" s="887"/>
      <c r="BN141" s="887"/>
      <c r="BO141" s="887"/>
      <c r="BP141" s="887"/>
      <c r="BQ141" s="887"/>
      <c r="BR141" s="887"/>
      <c r="BS141" s="887"/>
      <c r="BT141" s="887"/>
      <c r="BU141" s="800"/>
      <c r="BV141" s="800"/>
      <c r="BW141" s="800"/>
      <c r="BX141" s="800"/>
      <c r="BY141" s="800"/>
      <c r="BZ141" s="800"/>
      <c r="CA141" s="800"/>
      <c r="CB141" s="813"/>
      <c r="CC141" s="813"/>
    </row>
    <row r="142" spans="32:81" ht="13.5" customHeight="1">
      <c r="AF142" s="1702"/>
      <c r="AG142" s="1702"/>
      <c r="AH142" s="1702"/>
      <c r="AI142" s="1702"/>
      <c r="AJ142" s="1702"/>
      <c r="BA142" s="887" t="s">
        <v>399</v>
      </c>
      <c r="BB142" s="887">
        <f>A38</f>
        <v>0</v>
      </c>
      <c r="BC142" s="887">
        <f>C38</f>
        <v>0</v>
      </c>
      <c r="BD142" s="887" t="str">
        <f>IF(AND(OR(($H$38="通常食"),($H$38="キッズ")),NOT(OR($N$38=0,$N$38=""))),$H$38,"")</f>
        <v/>
      </c>
      <c r="BE142" s="887" t="str">
        <f>IF($BG142="","",VLOOKUP($BH142,$BD$158:$BF$186,2,0))</f>
        <v/>
      </c>
      <c r="BF142" s="887" t="str">
        <f>IF($BG142="","",VLOOKUP($BH142,$BD$158:$BF$186,3,0))</f>
        <v/>
      </c>
      <c r="BG142" s="887" t="str">
        <f>IF(AND(OR(($H$38="通常食"),($H$38="キッズ")),NOT(OR($N$38=0,$N$38=""))),$N$38,"")</f>
        <v/>
      </c>
      <c r="BH142" s="887" t="str">
        <f t="shared" si="29"/>
        <v>0小学生</v>
      </c>
      <c r="BI142" s="887">
        <f>IF(OR(BG142="",BG142=0),0,10)</f>
        <v>0</v>
      </c>
      <c r="BJ142" s="887"/>
      <c r="BK142" s="887"/>
      <c r="BL142" s="887"/>
      <c r="BM142" s="887"/>
      <c r="BN142" s="887"/>
      <c r="BO142" s="887"/>
      <c r="BP142" s="887"/>
      <c r="BQ142" s="887"/>
      <c r="BR142" s="887"/>
      <c r="BS142" s="887"/>
      <c r="BT142" s="887"/>
      <c r="BU142" s="800"/>
      <c r="BV142" s="800"/>
      <c r="BW142" s="800"/>
      <c r="BX142" s="800"/>
      <c r="BY142" s="800"/>
      <c r="BZ142" s="800"/>
      <c r="CA142" s="800"/>
      <c r="CB142" s="813"/>
      <c r="CC142" s="813"/>
    </row>
    <row r="143" spans="32:81" ht="13.5" customHeight="1">
      <c r="AF143" s="1702"/>
      <c r="AG143" s="1702"/>
      <c r="AH143" s="1702"/>
      <c r="AI143" s="1702"/>
      <c r="AJ143" s="1702"/>
      <c r="BA143" s="901" t="s">
        <v>401</v>
      </c>
      <c r="BB143" s="887">
        <f>A38</f>
        <v>0</v>
      </c>
      <c r="BC143" s="887">
        <f>C38</f>
        <v>0</v>
      </c>
      <c r="BD143" s="887" t="str">
        <f>IF(AND(OR(($H$38="通常食"),($H$38="キッズ")),NOT(OR($P$38=0,$P$38=""))),$H$38,"")</f>
        <v/>
      </c>
      <c r="BE143" s="887" t="str">
        <f>IF($BG143="","",VLOOKUP($BH143,$BD$158:$BF$186,2,0))</f>
        <v/>
      </c>
      <c r="BF143" s="887" t="str">
        <f>IF($BG143="","",VLOOKUP($BH143,$BD$158:$BF$186,3,0))</f>
        <v/>
      </c>
      <c r="BG143" s="887" t="str">
        <f>IF(AND(OR(($H$38="通常食"),($H$38="キッズ")),NOT(OR($P$38=0,$P$38=""))),$P$38,"")</f>
        <v/>
      </c>
      <c r="BH143" s="887" t="str">
        <f t="shared" si="29"/>
        <v>0中学生以上</v>
      </c>
      <c r="BI143" s="887">
        <f>IF(OR(BG143="",BG143=0),0,9)</f>
        <v>0</v>
      </c>
      <c r="BJ143" s="887"/>
      <c r="BK143" s="887"/>
      <c r="BL143" s="887"/>
      <c r="BM143" s="887"/>
      <c r="BN143" s="887"/>
      <c r="BO143" s="887"/>
      <c r="BP143" s="887"/>
      <c r="BQ143" s="887"/>
      <c r="BR143" s="887"/>
      <c r="BS143" s="887"/>
      <c r="BT143" s="887"/>
      <c r="BU143" s="800"/>
      <c r="BV143" s="800"/>
      <c r="BW143" s="800"/>
      <c r="BX143" s="800"/>
      <c r="BY143" s="800"/>
      <c r="BZ143" s="800"/>
      <c r="CA143" s="800"/>
      <c r="CB143" s="813"/>
      <c r="CC143" s="813"/>
    </row>
    <row r="144" spans="32:81" ht="13.5" customHeight="1">
      <c r="AF144" s="1702"/>
      <c r="AG144" s="1702"/>
      <c r="AH144" s="1702"/>
      <c r="AI144" s="1702"/>
      <c r="AJ144" s="1702"/>
      <c r="BA144" s="887" t="s">
        <v>400</v>
      </c>
      <c r="BB144" s="887">
        <f>A39</f>
        <v>0</v>
      </c>
      <c r="BC144" s="887">
        <f>C39</f>
        <v>0</v>
      </c>
      <c r="BD144" s="887">
        <f>IF(AND(NOT($H$39="通常食"),NOT($H$39="キッズ")),$H$39,"")</f>
        <v>0</v>
      </c>
      <c r="BE144" s="887" t="e">
        <f>IF(NOT($BD144=""),VLOOKUP($BD144,$BD$186:$BF$218,2,0),"")</f>
        <v>#N/A</v>
      </c>
      <c r="BF144" s="887" t="e">
        <f>IF(NOT($BD144=""),VLOOKUP($BD144,$BD$186:$BF$218,3,0),"")</f>
        <v>#N/A</v>
      </c>
      <c r="BG144" s="887">
        <f>IF(AND(NOT($H$39="通常食"),NOT($H$39="キッズ")),$R$39,"")</f>
        <v>0</v>
      </c>
      <c r="BH144" s="887"/>
      <c r="BI144" s="887">
        <f>IF(OR(BG144="",BG144=0),0,8)</f>
        <v>0</v>
      </c>
      <c r="BJ144" s="887"/>
      <c r="BK144" s="887"/>
      <c r="BL144" s="887"/>
      <c r="BM144" s="887"/>
      <c r="BN144" s="887"/>
      <c r="BO144" s="887"/>
      <c r="BP144" s="887"/>
      <c r="BQ144" s="887"/>
      <c r="BR144" s="887"/>
      <c r="BS144" s="887"/>
      <c r="BT144" s="887"/>
      <c r="BU144" s="800"/>
      <c r="BV144" s="800"/>
      <c r="BW144" s="800"/>
      <c r="BX144" s="800"/>
      <c r="BY144" s="800"/>
      <c r="BZ144" s="800"/>
      <c r="CA144" s="800"/>
      <c r="CB144" s="813"/>
      <c r="CC144" s="813"/>
    </row>
    <row r="145" spans="32:81" ht="13.5" customHeight="1">
      <c r="AF145" s="1702"/>
      <c r="AG145" s="1702"/>
      <c r="AH145" s="1702"/>
      <c r="AI145" s="1702"/>
      <c r="AJ145" s="1702"/>
      <c r="BA145" s="887" t="s">
        <v>398</v>
      </c>
      <c r="BB145" s="887">
        <f>A39</f>
        <v>0</v>
      </c>
      <c r="BC145" s="887">
        <f>C39</f>
        <v>0</v>
      </c>
      <c r="BD145" s="887" t="str">
        <f>IF(AND(OR(($H$39="通常食"),($H$39="キッズ")),NOT(OR($L$39=0,$L$39=""))),$H$39,"")</f>
        <v/>
      </c>
      <c r="BE145" s="887" t="str">
        <f>IF($BG145="","",VLOOKUP($BH145,$BD$158:$BF$186,2,0))</f>
        <v/>
      </c>
      <c r="BF145" s="887" t="str">
        <f>IF($BG145="","",VLOOKUP($BH145,$BD$158:$BF$186,3,0))</f>
        <v/>
      </c>
      <c r="BG145" s="887" t="str">
        <f>IF(AND(OR(($H$39="通常食"),($H$39="キッズ")),NOT(OR($L$39=0,$L$39=""))),$L$39,"")</f>
        <v/>
      </c>
      <c r="BH145" s="887" t="str">
        <f t="shared" si="29"/>
        <v>0幼児</v>
      </c>
      <c r="BI145" s="887">
        <f>IF(OR(BG145="",BG145=0),0,7)</f>
        <v>0</v>
      </c>
      <c r="BJ145" s="887"/>
      <c r="BK145" s="887"/>
      <c r="BL145" s="887"/>
      <c r="BM145" s="887"/>
      <c r="BN145" s="887"/>
      <c r="BO145" s="887"/>
      <c r="BP145" s="887"/>
      <c r="BQ145" s="887"/>
      <c r="BR145" s="887"/>
      <c r="BS145" s="887"/>
      <c r="BT145" s="887"/>
      <c r="BU145" s="800"/>
      <c r="BV145" s="800"/>
      <c r="BW145" s="800"/>
      <c r="BX145" s="800"/>
      <c r="BY145" s="800"/>
      <c r="BZ145" s="800"/>
      <c r="CA145" s="800"/>
      <c r="CB145" s="813"/>
      <c r="CC145" s="813"/>
    </row>
    <row r="146" spans="32:81" ht="13.5" customHeight="1">
      <c r="AF146" s="1702"/>
      <c r="AG146" s="1702"/>
      <c r="AH146" s="1702"/>
      <c r="AI146" s="1702"/>
      <c r="AJ146" s="1702"/>
      <c r="BA146" s="887" t="s">
        <v>399</v>
      </c>
      <c r="BB146" s="887">
        <f>A39</f>
        <v>0</v>
      </c>
      <c r="BC146" s="887">
        <f>C39</f>
        <v>0</v>
      </c>
      <c r="BD146" s="887" t="str">
        <f>IF(AND(OR(($H$39="通常食"),($H$39="キッズ")),NOT(OR($N$39=0,$N$39=""))),$H$39,"")</f>
        <v/>
      </c>
      <c r="BE146" s="887" t="str">
        <f>IF($BG146="","",VLOOKUP($BH146,$BD$158:$BF$186,2,0))</f>
        <v/>
      </c>
      <c r="BF146" s="887" t="str">
        <f>IF($BG146="","",VLOOKUP($BH146,$BD$158:$BF$186,3,0))</f>
        <v/>
      </c>
      <c r="BG146" s="887" t="str">
        <f>IF(AND(OR(($H$39="通常食"),($H$39="キッズ")),NOT(OR($N$39=0,$N$39=""))),$N$39,"")</f>
        <v/>
      </c>
      <c r="BH146" s="887" t="str">
        <f t="shared" si="29"/>
        <v>0小学生</v>
      </c>
      <c r="BI146" s="887">
        <f>IF(OR(BG146="",BG146=0),0,6)</f>
        <v>0</v>
      </c>
      <c r="BJ146" s="887"/>
      <c r="BK146" s="887"/>
      <c r="BL146" s="887"/>
      <c r="BM146" s="887"/>
      <c r="BN146" s="887"/>
      <c r="BO146" s="887"/>
      <c r="BP146" s="887"/>
      <c r="BQ146" s="887"/>
      <c r="BR146" s="887"/>
      <c r="BS146" s="887"/>
      <c r="BT146" s="887"/>
      <c r="BU146" s="800"/>
      <c r="BV146" s="800"/>
      <c r="BW146" s="800"/>
      <c r="BX146" s="800"/>
      <c r="BY146" s="800"/>
      <c r="BZ146" s="800"/>
      <c r="CA146" s="800"/>
      <c r="CB146" s="813"/>
      <c r="CC146" s="813"/>
    </row>
    <row r="147" spans="32:81" ht="13.5" customHeight="1">
      <c r="AF147" s="1702"/>
      <c r="AG147" s="1702"/>
      <c r="AH147" s="1702"/>
      <c r="AI147" s="1702"/>
      <c r="AJ147" s="1702"/>
      <c r="BA147" s="901" t="s">
        <v>401</v>
      </c>
      <c r="BB147" s="887">
        <f>A39</f>
        <v>0</v>
      </c>
      <c r="BC147" s="887">
        <f>C39</f>
        <v>0</v>
      </c>
      <c r="BD147" s="887" t="str">
        <f>IF(AND(OR(($H$39="通常食"),($H$39="キッズ")),NOT(OR($P$39=0,$P$39=""))),$H$39,"")</f>
        <v/>
      </c>
      <c r="BE147" s="887" t="str">
        <f>IF($BG147="","",VLOOKUP($BH147,$BD$158:$BF$186,2,0))</f>
        <v/>
      </c>
      <c r="BF147" s="887" t="str">
        <f>IF($BG147="","",VLOOKUP($BH147,$BD$158:$BF$186,3,0))</f>
        <v/>
      </c>
      <c r="BG147" s="887" t="str">
        <f>IF(AND(OR(($H$39="通常食"),($H$39="キッズ")),NOT(OR($P$39=0,$P$39=""))),$P$39,"")</f>
        <v/>
      </c>
      <c r="BH147" s="887" t="str">
        <f t="shared" si="29"/>
        <v>0中学生以上</v>
      </c>
      <c r="BI147" s="887">
        <f>IF(OR(BG147="",BG147=0),0,5)</f>
        <v>0</v>
      </c>
      <c r="BJ147" s="887"/>
      <c r="BK147" s="887"/>
      <c r="BL147" s="887"/>
      <c r="BM147" s="887"/>
      <c r="BN147" s="887"/>
      <c r="BO147" s="887"/>
      <c r="BP147" s="887"/>
      <c r="BQ147" s="887"/>
      <c r="BR147" s="887"/>
      <c r="BS147" s="887"/>
      <c r="BT147" s="887"/>
      <c r="BU147" s="800"/>
      <c r="BV147" s="800"/>
      <c r="BW147" s="800"/>
      <c r="BX147" s="800"/>
      <c r="BY147" s="800"/>
      <c r="BZ147" s="800"/>
      <c r="CA147" s="800"/>
      <c r="CB147" s="813"/>
      <c r="CC147" s="813"/>
    </row>
    <row r="148" spans="32:81" ht="13.5" customHeight="1">
      <c r="AF148" s="1702"/>
      <c r="AG148" s="1702"/>
      <c r="AH148" s="1702"/>
      <c r="AI148" s="1702"/>
      <c r="AJ148" s="1702"/>
      <c r="BA148" s="887" t="s">
        <v>400</v>
      </c>
      <c r="BB148" s="887">
        <f>A40</f>
        <v>0</v>
      </c>
      <c r="BC148" s="887">
        <f>C40</f>
        <v>0</v>
      </c>
      <c r="BD148" s="887">
        <f>IF(AND(NOT($H$40="通常食"),NOT($H$40="キッズ")),$H$40,"")</f>
        <v>0</v>
      </c>
      <c r="BE148" s="887" t="e">
        <f>IF(NOT($BD148=""),VLOOKUP($BD148,$BD$186:$BF$218,2,0),"")</f>
        <v>#N/A</v>
      </c>
      <c r="BF148" s="887" t="e">
        <f>IF(NOT($BD148=""),VLOOKUP($BD148,$BD$186:$BF$218,3,0),"")</f>
        <v>#N/A</v>
      </c>
      <c r="BG148" s="887">
        <f>IF(AND(NOT($H$40="通常食"),NOT($H$40="キッズ")),$R$40,"")</f>
        <v>0</v>
      </c>
      <c r="BH148" s="887"/>
      <c r="BI148" s="887">
        <f>IF(OR(BG148="",BG148=0),0,4)</f>
        <v>0</v>
      </c>
      <c r="BJ148" s="887"/>
      <c r="BK148" s="887"/>
      <c r="BL148" s="887"/>
      <c r="BM148" s="887"/>
      <c r="BN148" s="887"/>
      <c r="BO148" s="887"/>
      <c r="BP148" s="887"/>
      <c r="BQ148" s="887"/>
      <c r="BR148" s="887"/>
      <c r="BS148" s="887"/>
      <c r="BT148" s="887"/>
      <c r="BU148" s="800"/>
      <c r="BV148" s="800"/>
      <c r="BW148" s="800"/>
      <c r="BX148" s="800"/>
      <c r="BY148" s="800"/>
      <c r="BZ148" s="800"/>
      <c r="CA148" s="800"/>
      <c r="CB148" s="813"/>
      <c r="CC148" s="813"/>
    </row>
    <row r="149" spans="32:81" ht="13.5" customHeight="1">
      <c r="AF149" s="1702"/>
      <c r="AG149" s="1702"/>
      <c r="AH149" s="1702"/>
      <c r="AI149" s="1702"/>
      <c r="AJ149" s="1702"/>
      <c r="BA149" s="887" t="s">
        <v>398</v>
      </c>
      <c r="BB149" s="887">
        <f>A40</f>
        <v>0</v>
      </c>
      <c r="BC149" s="887">
        <f>C40</f>
        <v>0</v>
      </c>
      <c r="BD149" s="887" t="str">
        <f>IF(AND(OR(($H$40="通常食"),($H$40="キッズ")),NOT(OR($L$40=0,$L$40=""))),$H$40,"")</f>
        <v/>
      </c>
      <c r="BE149" s="887" t="str">
        <f>IF($BG149="","",VLOOKUP($BH149,$BD$158:$BF$186,2,0))</f>
        <v/>
      </c>
      <c r="BF149" s="887" t="str">
        <f>IF($BG149="","",VLOOKUP($BH149,$BD$158:$BF$186,3,0))</f>
        <v/>
      </c>
      <c r="BG149" s="887" t="str">
        <f>IF(AND(OR(($H$40="通常食"),($H$40="キッズ")),NOT(OR($L$40=0,$L$40=""))),$L$40,"")</f>
        <v/>
      </c>
      <c r="BH149" s="887" t="str">
        <f t="shared" si="29"/>
        <v>0幼児</v>
      </c>
      <c r="BI149" s="887">
        <f>IF(OR(BG149="",BG149=0),0,3)</f>
        <v>0</v>
      </c>
      <c r="BJ149" s="887"/>
      <c r="BK149" s="887"/>
      <c r="BL149" s="887"/>
      <c r="BM149" s="887"/>
      <c r="BN149" s="887"/>
      <c r="BO149" s="887"/>
      <c r="BP149" s="887"/>
      <c r="BQ149" s="887"/>
      <c r="BR149" s="887"/>
      <c r="BS149" s="887"/>
      <c r="BT149" s="887"/>
      <c r="BU149" s="800"/>
      <c r="BV149" s="800"/>
      <c r="BW149" s="800"/>
      <c r="BX149" s="800"/>
      <c r="BY149" s="800"/>
      <c r="BZ149" s="800"/>
      <c r="CA149" s="800"/>
      <c r="CB149" s="813"/>
      <c r="CC149" s="813"/>
    </row>
    <row r="150" spans="32:81" ht="13.5" customHeight="1">
      <c r="AF150" s="1702"/>
      <c r="AG150" s="1702"/>
      <c r="AH150" s="1702"/>
      <c r="AI150" s="1702"/>
      <c r="AJ150" s="1702"/>
      <c r="BA150" s="887" t="s">
        <v>399</v>
      </c>
      <c r="BB150" s="887">
        <f>A40</f>
        <v>0</v>
      </c>
      <c r="BC150" s="887">
        <f>C40</f>
        <v>0</v>
      </c>
      <c r="BD150" s="887" t="str">
        <f>IF(AND(OR(($H$40="通常食"),($H$40="キッズ")),NOT(OR($N$40=0,$N$40=""))),$H$40,"")</f>
        <v/>
      </c>
      <c r="BE150" s="887" t="str">
        <f>IF($BG150="","",VLOOKUP($BH150,$BD$158:$BF$186,2,0))</f>
        <v/>
      </c>
      <c r="BF150" s="887" t="str">
        <f>IF($BG150="","",VLOOKUP($BH150,$BD$158:$BF$186,3,0))</f>
        <v/>
      </c>
      <c r="BG150" s="887" t="str">
        <f>IF(AND(OR(($H$40="通常食"),($H$40="キッズ")),NOT(OR($N$40=0,$N$40=""))),$N$40,"")</f>
        <v/>
      </c>
      <c r="BH150" s="887" t="str">
        <f t="shared" si="29"/>
        <v>0小学生</v>
      </c>
      <c r="BI150" s="887">
        <f>IF(OR(BG150="",BG150=0),0,2)</f>
        <v>0</v>
      </c>
      <c r="BJ150" s="887"/>
      <c r="BK150" s="887"/>
      <c r="BL150" s="887"/>
      <c r="BM150" s="887"/>
      <c r="BN150" s="887"/>
      <c r="BO150" s="887"/>
      <c r="BP150" s="887"/>
      <c r="BQ150" s="887"/>
      <c r="BR150" s="887"/>
      <c r="BS150" s="887"/>
      <c r="BT150" s="887"/>
      <c r="BU150" s="800"/>
      <c r="BV150" s="800"/>
      <c r="BW150" s="800"/>
      <c r="BX150" s="800"/>
      <c r="BY150" s="800"/>
      <c r="BZ150" s="800"/>
      <c r="CA150" s="800"/>
      <c r="CB150" s="813"/>
      <c r="CC150" s="813"/>
    </row>
    <row r="151" spans="32:81" ht="13.5" customHeight="1">
      <c r="AF151" s="1702"/>
      <c r="AG151" s="1702"/>
      <c r="AH151" s="1702"/>
      <c r="AI151" s="1702"/>
      <c r="AJ151" s="1702"/>
      <c r="BA151" s="901" t="s">
        <v>401</v>
      </c>
      <c r="BB151" s="887">
        <f>A40</f>
        <v>0</v>
      </c>
      <c r="BC151" s="887">
        <f>C40</f>
        <v>0</v>
      </c>
      <c r="BD151" s="887" t="str">
        <f>IF(AND(OR(($H$40="通常食"),($H$40="キッズ")),NOT(OR($P$40=0,$P$40=""))),$H$40,"")</f>
        <v/>
      </c>
      <c r="BE151" s="887" t="str">
        <f>IF($BG151="","",VLOOKUP($BH151,$BD$158:$BF$186,2,0))</f>
        <v/>
      </c>
      <c r="BF151" s="887" t="str">
        <f>IF($BG151="","",VLOOKUP($BH151,$BD$158:$BF$186,3,0))</f>
        <v/>
      </c>
      <c r="BG151" s="887" t="str">
        <f>IF(AND(OR(($H$40="通常食"),($H$40="キッズ")),NOT(OR($P$40=0,$P$40=""))),$P$40,"")</f>
        <v/>
      </c>
      <c r="BH151" s="887" t="str">
        <f t="shared" si="29"/>
        <v>0中学生以上</v>
      </c>
      <c r="BI151" s="887">
        <f>IF(OR(BG151="",BG151=0),0,1)</f>
        <v>0</v>
      </c>
      <c r="BJ151" s="887"/>
      <c r="BK151" s="887"/>
      <c r="BL151" s="887"/>
      <c r="BM151" s="887"/>
      <c r="BN151" s="887"/>
      <c r="BO151" s="887"/>
      <c r="BP151" s="887"/>
      <c r="BQ151" s="887"/>
      <c r="BR151" s="887"/>
      <c r="BS151" s="887"/>
      <c r="BT151" s="887"/>
      <c r="BU151" s="800"/>
      <c r="BV151" s="800"/>
      <c r="BW151" s="800"/>
      <c r="BX151" s="800"/>
      <c r="BY151" s="800"/>
      <c r="BZ151" s="800"/>
      <c r="CA151" s="800"/>
      <c r="CB151" s="813"/>
      <c r="CC151" s="813"/>
    </row>
    <row r="152" spans="32:81" ht="13.5" customHeight="1">
      <c r="AF152" s="1702"/>
      <c r="AG152" s="1702"/>
      <c r="AH152" s="1702"/>
      <c r="AI152" s="1702"/>
      <c r="AJ152" s="1702"/>
      <c r="BA152" s="887"/>
      <c r="BB152" s="887"/>
      <c r="BC152" s="887"/>
      <c r="BD152" s="887"/>
      <c r="BE152" s="887"/>
      <c r="BF152" s="887"/>
      <c r="BG152" s="887"/>
      <c r="BH152" s="887"/>
      <c r="BI152" s="887"/>
      <c r="BJ152" s="887"/>
      <c r="BK152" s="887"/>
      <c r="BL152" s="887"/>
      <c r="BM152" s="887"/>
      <c r="BN152" s="887"/>
      <c r="BO152" s="887"/>
      <c r="BP152" s="887"/>
      <c r="BQ152" s="887"/>
      <c r="BR152" s="887"/>
      <c r="BS152" s="887"/>
      <c r="BT152" s="887"/>
      <c r="BU152" s="800"/>
      <c r="BV152" s="800"/>
      <c r="BW152" s="800"/>
      <c r="BX152" s="800"/>
      <c r="BY152" s="800"/>
      <c r="BZ152" s="800"/>
      <c r="CA152" s="800"/>
      <c r="CB152" s="813"/>
      <c r="CC152" s="813"/>
    </row>
    <row r="153" spans="32:81" ht="13.5" customHeight="1">
      <c r="AF153" s="1702"/>
      <c r="AG153" s="1702"/>
      <c r="AH153" s="1702"/>
      <c r="AI153" s="1702"/>
      <c r="AJ153" s="1702"/>
      <c r="BA153" s="887"/>
      <c r="BB153" s="887"/>
      <c r="BC153" s="887"/>
      <c r="BD153" s="887"/>
      <c r="BE153" s="887"/>
      <c r="BF153" s="887"/>
      <c r="BG153" s="887"/>
      <c r="BH153" s="887"/>
      <c r="BI153" s="887"/>
      <c r="BJ153" s="887"/>
      <c r="BK153" s="887"/>
      <c r="BL153" s="887"/>
      <c r="BM153" s="887"/>
      <c r="BN153" s="887"/>
      <c r="BO153" s="887"/>
      <c r="BP153" s="887"/>
      <c r="BQ153" s="887"/>
      <c r="BR153" s="887"/>
      <c r="BS153" s="887"/>
      <c r="BT153" s="887"/>
      <c r="BU153" s="800"/>
      <c r="BV153" s="800"/>
      <c r="BW153" s="800"/>
      <c r="BX153" s="800"/>
      <c r="BY153" s="800"/>
      <c r="BZ153" s="800"/>
      <c r="CA153" s="800"/>
      <c r="CB153" s="813"/>
      <c r="CC153" s="813"/>
    </row>
    <row r="154" spans="32:81" ht="13.5" customHeight="1">
      <c r="AF154" s="1702"/>
      <c r="AG154" s="1702"/>
      <c r="AH154" s="1702"/>
      <c r="AI154" s="1702"/>
      <c r="AJ154" s="1702"/>
      <c r="BA154" s="887"/>
      <c r="BB154" s="887"/>
      <c r="BC154" s="887"/>
      <c r="BD154" s="887"/>
      <c r="BE154" s="887"/>
      <c r="BF154" s="887"/>
      <c r="BG154" s="887"/>
      <c r="BH154" s="887"/>
      <c r="BI154" s="887"/>
      <c r="BJ154" s="887"/>
      <c r="BK154" s="887"/>
      <c r="BL154" s="887"/>
      <c r="BM154" s="887"/>
      <c r="BN154" s="887"/>
      <c r="BO154" s="887"/>
      <c r="BP154" s="887"/>
      <c r="BQ154" s="887"/>
      <c r="BR154" s="887"/>
      <c r="BS154" s="887"/>
      <c r="BT154" s="887"/>
      <c r="BU154" s="800"/>
      <c r="BV154" s="800"/>
      <c r="BW154" s="800"/>
      <c r="BX154" s="800"/>
      <c r="BY154" s="800"/>
      <c r="BZ154" s="800"/>
      <c r="CA154" s="800"/>
      <c r="CB154" s="813"/>
      <c r="CC154" s="813"/>
    </row>
    <row r="155" spans="32:81" ht="13.5" customHeight="1">
      <c r="AF155" s="1702"/>
      <c r="AG155" s="1702"/>
      <c r="AH155" s="1702"/>
      <c r="AI155" s="1702"/>
      <c r="AJ155" s="1702"/>
      <c r="BA155" s="887"/>
      <c r="BB155" s="887"/>
      <c r="BC155" s="887"/>
      <c r="BD155" s="887"/>
      <c r="BE155" s="902" t="s">
        <v>173</v>
      </c>
      <c r="BF155" s="903"/>
      <c r="BG155" s="887"/>
      <c r="BH155" s="887"/>
      <c r="BI155" s="887"/>
      <c r="BJ155" s="887"/>
      <c r="BK155" s="887"/>
      <c r="BL155" s="887"/>
      <c r="BM155" s="887"/>
      <c r="BN155" s="887"/>
      <c r="BO155" s="887"/>
      <c r="BP155" s="887"/>
      <c r="BQ155" s="887"/>
      <c r="BR155" s="887"/>
      <c r="BS155" s="887"/>
      <c r="BT155" s="887"/>
      <c r="BU155" s="800"/>
      <c r="BV155" s="800"/>
      <c r="BW155" s="800"/>
      <c r="BX155" s="800"/>
      <c r="BY155" s="800"/>
      <c r="BZ155" s="800"/>
      <c r="CA155" s="800"/>
      <c r="CB155" s="813"/>
      <c r="CC155" s="813"/>
    </row>
    <row r="156" spans="32:81" ht="13.5" customHeight="1">
      <c r="AF156" s="1702"/>
      <c r="AG156" s="1702"/>
      <c r="AH156" s="1702"/>
      <c r="AI156" s="1702"/>
      <c r="AJ156" s="1702"/>
      <c r="BA156" s="887"/>
      <c r="BB156" s="887"/>
      <c r="BC156" s="887"/>
      <c r="BD156" s="887"/>
      <c r="BE156" s="904"/>
      <c r="BF156" s="903"/>
      <c r="BG156" s="887"/>
      <c r="BH156" s="887"/>
      <c r="BI156" s="887"/>
      <c r="BJ156" s="887"/>
      <c r="BK156" s="887"/>
      <c r="BL156" s="887"/>
      <c r="BM156" s="887"/>
      <c r="BN156" s="887"/>
      <c r="BO156" s="887"/>
      <c r="BP156" s="887"/>
      <c r="BQ156" s="887"/>
      <c r="BR156" s="887"/>
      <c r="BS156" s="887"/>
      <c r="BT156" s="887"/>
      <c r="BU156" s="800"/>
      <c r="BV156" s="800"/>
      <c r="BW156" s="800"/>
      <c r="BX156" s="800"/>
      <c r="BY156" s="800"/>
      <c r="BZ156" s="800"/>
      <c r="CA156" s="800"/>
      <c r="CB156" s="813"/>
      <c r="CC156" s="813"/>
    </row>
    <row r="157" spans="32:81" ht="13.5" customHeight="1">
      <c r="AF157" s="1702"/>
      <c r="AG157" s="1702"/>
      <c r="AH157" s="1702"/>
      <c r="AI157" s="1702"/>
      <c r="AJ157" s="1702"/>
      <c r="BA157" s="887"/>
      <c r="BB157" s="887"/>
      <c r="BC157" s="887"/>
      <c r="BD157" s="905"/>
      <c r="BE157" s="904" t="s">
        <v>192</v>
      </c>
      <c r="BF157" s="903"/>
      <c r="BG157" s="887"/>
      <c r="BH157" s="887"/>
      <c r="BI157" s="887"/>
      <c r="BJ157" s="887"/>
      <c r="BK157" s="887"/>
      <c r="BL157" s="887"/>
      <c r="BM157" s="887"/>
      <c r="BN157" s="887"/>
      <c r="BO157" s="887"/>
      <c r="BP157" s="887"/>
      <c r="BQ157" s="887"/>
      <c r="BR157" s="887"/>
      <c r="BS157" s="887"/>
      <c r="BT157" s="887"/>
      <c r="BU157" s="800"/>
      <c r="BV157" s="800"/>
      <c r="BW157" s="800"/>
      <c r="BX157" s="800"/>
      <c r="BY157" s="800"/>
      <c r="BZ157" s="800"/>
      <c r="CA157" s="800"/>
      <c r="CB157" s="813"/>
      <c r="CC157" s="813"/>
    </row>
    <row r="158" spans="32:81" ht="13.5" customHeight="1">
      <c r="AF158" s="1702"/>
      <c r="AG158" s="1702"/>
      <c r="AH158" s="1702"/>
      <c r="AI158" s="1702"/>
      <c r="AJ158" s="1702"/>
      <c r="BA158" s="887"/>
      <c r="BB158" s="887"/>
      <c r="BC158" s="898"/>
      <c r="BD158" s="905" t="s">
        <v>407</v>
      </c>
      <c r="BE158" s="906" t="s">
        <v>195</v>
      </c>
      <c r="BF158" s="903">
        <v>550</v>
      </c>
      <c r="BG158" s="887"/>
      <c r="BH158" s="887"/>
      <c r="BI158" s="887"/>
      <c r="BJ158" s="887"/>
      <c r="BK158" s="887"/>
      <c r="BL158" s="887"/>
      <c r="BM158" s="887"/>
      <c r="BN158" s="887"/>
      <c r="BO158" s="887"/>
      <c r="BP158" s="887"/>
      <c r="BQ158" s="887"/>
      <c r="BR158" s="887"/>
      <c r="BS158" s="887"/>
      <c r="BT158" s="887"/>
      <c r="BU158" s="800"/>
      <c r="BV158" s="800"/>
      <c r="BW158" s="800"/>
      <c r="BX158" s="800"/>
      <c r="BY158" s="800"/>
      <c r="BZ158" s="800"/>
      <c r="CA158" s="800"/>
      <c r="CB158" s="813"/>
      <c r="CC158" s="813"/>
    </row>
    <row r="159" spans="32:81" ht="13.5" customHeight="1">
      <c r="AF159" s="1702"/>
      <c r="AG159" s="1702"/>
      <c r="AH159" s="1702"/>
      <c r="AI159" s="1702"/>
      <c r="AJ159" s="1702"/>
      <c r="BA159" s="887"/>
      <c r="BB159" s="887"/>
      <c r="BC159" s="898"/>
      <c r="BD159" s="905" t="s">
        <v>408</v>
      </c>
      <c r="BE159" s="906" t="s">
        <v>197</v>
      </c>
      <c r="BF159" s="903">
        <v>650</v>
      </c>
      <c r="BG159" s="887"/>
      <c r="BH159" s="887"/>
      <c r="BI159" s="887"/>
      <c r="BJ159" s="887"/>
      <c r="BK159" s="887"/>
      <c r="BL159" s="887"/>
      <c r="BM159" s="887"/>
      <c r="BN159" s="887"/>
      <c r="BO159" s="887"/>
      <c r="BP159" s="887"/>
      <c r="BQ159" s="887"/>
      <c r="BR159" s="887"/>
      <c r="BS159" s="887"/>
      <c r="BT159" s="887"/>
      <c r="BU159" s="800"/>
      <c r="BV159" s="800"/>
      <c r="BW159" s="800"/>
      <c r="BX159" s="800"/>
      <c r="BY159" s="800"/>
      <c r="BZ159" s="800"/>
      <c r="CA159" s="800"/>
      <c r="CB159" s="813"/>
      <c r="CC159" s="813"/>
    </row>
    <row r="160" spans="32:81" ht="13.5" customHeight="1">
      <c r="AF160" s="1702"/>
      <c r="AG160" s="1702"/>
      <c r="AH160" s="1702"/>
      <c r="AI160" s="1702"/>
      <c r="AJ160" s="1702"/>
      <c r="BA160" s="887"/>
      <c r="BB160" s="887"/>
      <c r="BC160" s="898"/>
      <c r="BD160" s="905" t="s">
        <v>409</v>
      </c>
      <c r="BE160" s="906" t="s">
        <v>198</v>
      </c>
      <c r="BF160" s="903">
        <v>690</v>
      </c>
      <c r="BG160" s="887"/>
      <c r="BH160" s="887"/>
      <c r="BI160" s="887"/>
      <c r="BJ160" s="887"/>
      <c r="BK160" s="887"/>
      <c r="BL160" s="887"/>
      <c r="BM160" s="887"/>
      <c r="BN160" s="887"/>
      <c r="BO160" s="887"/>
      <c r="BP160" s="887"/>
      <c r="BQ160" s="887"/>
      <c r="BR160" s="887"/>
      <c r="BS160" s="887"/>
      <c r="BT160" s="887"/>
      <c r="BU160" s="800"/>
      <c r="BV160" s="800"/>
      <c r="BW160" s="800"/>
      <c r="BX160" s="800"/>
      <c r="BY160" s="800"/>
      <c r="BZ160" s="800"/>
      <c r="CA160" s="800"/>
      <c r="CB160" s="813"/>
      <c r="CC160" s="813"/>
    </row>
    <row r="161" spans="32:81" ht="13.5" customHeight="1">
      <c r="AF161" s="1702"/>
      <c r="AG161" s="1702"/>
      <c r="AH161" s="1702"/>
      <c r="AI161" s="1702"/>
      <c r="AJ161" s="1702"/>
      <c r="BA161" s="887"/>
      <c r="BB161" s="887"/>
      <c r="BC161" s="898"/>
      <c r="BD161" s="905" t="s">
        <v>410</v>
      </c>
      <c r="BE161" s="906" t="s">
        <v>199</v>
      </c>
      <c r="BF161" s="903">
        <v>650</v>
      </c>
      <c r="BG161" s="887"/>
      <c r="BH161" s="887"/>
      <c r="BI161" s="887"/>
      <c r="BJ161" s="887"/>
      <c r="BK161" s="887"/>
      <c r="BL161" s="887"/>
      <c r="BM161" s="887"/>
      <c r="BN161" s="887"/>
      <c r="BO161" s="887"/>
      <c r="BP161" s="887"/>
      <c r="BQ161" s="887"/>
      <c r="BR161" s="887"/>
      <c r="BS161" s="887"/>
      <c r="BT161" s="887"/>
      <c r="BU161" s="800"/>
      <c r="BV161" s="800"/>
      <c r="BW161" s="800"/>
      <c r="BX161" s="800"/>
      <c r="BY161" s="800"/>
      <c r="BZ161" s="800"/>
      <c r="CA161" s="800"/>
      <c r="CB161" s="813"/>
      <c r="CC161" s="813"/>
    </row>
    <row r="162" spans="32:81" ht="13.5" customHeight="1">
      <c r="AF162" s="1702"/>
      <c r="AG162" s="1702"/>
      <c r="AH162" s="1702"/>
      <c r="AI162" s="1702"/>
      <c r="AJ162" s="1702"/>
      <c r="BA162" s="887"/>
      <c r="BB162" s="887"/>
      <c r="BC162" s="898"/>
      <c r="BD162" s="905" t="s">
        <v>411</v>
      </c>
      <c r="BE162" s="906" t="s">
        <v>200</v>
      </c>
      <c r="BF162" s="903">
        <v>760</v>
      </c>
      <c r="BG162" s="887"/>
      <c r="BH162" s="887"/>
      <c r="BI162" s="887"/>
      <c r="BJ162" s="887"/>
      <c r="BK162" s="887"/>
      <c r="BL162" s="887"/>
      <c r="BM162" s="887"/>
      <c r="BN162" s="887"/>
      <c r="BO162" s="887"/>
      <c r="BP162" s="887"/>
      <c r="BQ162" s="887"/>
      <c r="BR162" s="887"/>
      <c r="BS162" s="887"/>
      <c r="BT162" s="887"/>
      <c r="BU162" s="800"/>
      <c r="BV162" s="800"/>
      <c r="BW162" s="800"/>
      <c r="BX162" s="800"/>
      <c r="BY162" s="800"/>
      <c r="BZ162" s="800"/>
      <c r="CA162" s="800"/>
      <c r="CB162" s="813"/>
      <c r="CC162" s="813"/>
    </row>
    <row r="163" spans="32:81" ht="13.5" customHeight="1">
      <c r="AF163" s="1702"/>
      <c r="AG163" s="1702"/>
      <c r="AH163" s="1702"/>
      <c r="AI163" s="1702"/>
      <c r="AJ163" s="1702"/>
      <c r="BA163" s="887"/>
      <c r="BB163" s="887"/>
      <c r="BC163" s="898"/>
      <c r="BD163" s="905" t="s">
        <v>412</v>
      </c>
      <c r="BE163" s="906" t="s">
        <v>202</v>
      </c>
      <c r="BF163" s="903">
        <v>800</v>
      </c>
      <c r="BG163" s="887"/>
      <c r="BH163" s="887"/>
      <c r="BI163" s="887"/>
      <c r="BJ163" s="887"/>
      <c r="BK163" s="887"/>
      <c r="BL163" s="887"/>
      <c r="BM163" s="887"/>
      <c r="BN163" s="887"/>
      <c r="BO163" s="887"/>
      <c r="BP163" s="887"/>
      <c r="BQ163" s="887"/>
      <c r="BR163" s="887"/>
      <c r="BS163" s="887"/>
      <c r="BT163" s="887"/>
      <c r="BU163" s="800"/>
      <c r="BV163" s="800"/>
      <c r="BW163" s="800"/>
      <c r="BX163" s="800"/>
      <c r="BY163" s="800"/>
      <c r="BZ163" s="800"/>
      <c r="CA163" s="800"/>
      <c r="CB163" s="813"/>
      <c r="CC163" s="813"/>
    </row>
    <row r="164" spans="32:81" ht="13.5" customHeight="1">
      <c r="AF164" s="1702"/>
      <c r="AG164" s="1702"/>
      <c r="AH164" s="1702"/>
      <c r="AI164" s="1702"/>
      <c r="AJ164" s="1702"/>
      <c r="BA164" s="887"/>
      <c r="BB164" s="887"/>
      <c r="BC164" s="898"/>
      <c r="BD164" s="905" t="s">
        <v>413</v>
      </c>
      <c r="BE164" s="906" t="s">
        <v>205</v>
      </c>
      <c r="BF164" s="903">
        <v>540</v>
      </c>
      <c r="BG164" s="887"/>
      <c r="BH164" s="887"/>
      <c r="BI164" s="887"/>
      <c r="BJ164" s="887"/>
      <c r="BK164" s="887"/>
      <c r="BL164" s="887"/>
      <c r="BM164" s="887"/>
      <c r="BN164" s="887"/>
      <c r="BO164" s="887"/>
      <c r="BP164" s="887"/>
      <c r="BQ164" s="887"/>
      <c r="BR164" s="887"/>
      <c r="BS164" s="887"/>
      <c r="BT164" s="887"/>
      <c r="BU164" s="800"/>
      <c r="BV164" s="800"/>
      <c r="BW164" s="800"/>
      <c r="BX164" s="800"/>
      <c r="BY164" s="800"/>
      <c r="BZ164" s="800"/>
      <c r="CA164" s="800"/>
      <c r="CB164" s="813"/>
      <c r="CC164" s="813"/>
    </row>
    <row r="165" spans="32:81" ht="13.5" customHeight="1">
      <c r="AF165" s="1702"/>
      <c r="AG165" s="1702"/>
      <c r="AH165" s="1702"/>
      <c r="AI165" s="1702"/>
      <c r="AJ165" s="1702"/>
      <c r="BA165" s="887"/>
      <c r="BB165" s="887"/>
      <c r="BC165" s="898"/>
      <c r="BD165" s="905" t="s">
        <v>414</v>
      </c>
      <c r="BE165" s="906" t="s">
        <v>210</v>
      </c>
      <c r="BF165" s="903">
        <v>630</v>
      </c>
      <c r="BG165" s="887"/>
      <c r="BH165" s="887"/>
      <c r="BI165" s="887"/>
      <c r="BJ165" s="887"/>
      <c r="BK165" s="887"/>
      <c r="BL165" s="887"/>
      <c r="BM165" s="887"/>
      <c r="BN165" s="887"/>
      <c r="BO165" s="887"/>
      <c r="BP165" s="887"/>
      <c r="BQ165" s="887"/>
      <c r="BR165" s="887"/>
      <c r="BS165" s="887"/>
      <c r="BT165" s="887"/>
      <c r="BU165" s="800"/>
      <c r="BV165" s="800"/>
      <c r="BW165" s="800"/>
      <c r="BX165" s="800"/>
      <c r="BY165" s="800"/>
      <c r="BZ165" s="800"/>
      <c r="CA165" s="800"/>
      <c r="CB165" s="813"/>
      <c r="CC165" s="813"/>
    </row>
    <row r="166" spans="32:81" ht="13.5" customHeight="1">
      <c r="AF166" s="1702"/>
      <c r="AG166" s="1702"/>
      <c r="AH166" s="1702"/>
      <c r="AI166" s="1702"/>
      <c r="AJ166" s="1702"/>
      <c r="BA166" s="887"/>
      <c r="BB166" s="887"/>
      <c r="BC166" s="898"/>
      <c r="BD166" s="905" t="s">
        <v>415</v>
      </c>
      <c r="BE166" s="906" t="s">
        <v>213</v>
      </c>
      <c r="BF166" s="903">
        <v>670</v>
      </c>
      <c r="BG166" s="887"/>
      <c r="BH166" s="887"/>
      <c r="BI166" s="887"/>
      <c r="BJ166" s="887"/>
      <c r="BK166" s="887"/>
      <c r="BL166" s="887"/>
      <c r="BM166" s="887"/>
      <c r="BN166" s="887"/>
      <c r="BO166" s="887"/>
      <c r="BP166" s="887"/>
      <c r="BQ166" s="887"/>
      <c r="BR166" s="887"/>
      <c r="BS166" s="887"/>
      <c r="BT166" s="887"/>
      <c r="BU166" s="800"/>
      <c r="BV166" s="800"/>
      <c r="BW166" s="800"/>
      <c r="BX166" s="800"/>
      <c r="BY166" s="800"/>
      <c r="BZ166" s="800"/>
      <c r="CA166" s="800"/>
      <c r="CB166" s="813"/>
      <c r="CC166" s="813"/>
    </row>
    <row r="167" spans="32:81" ht="13.5" customHeight="1">
      <c r="AF167" s="1702"/>
      <c r="AG167" s="1702"/>
      <c r="AH167" s="1702"/>
      <c r="AI167" s="1702"/>
      <c r="AJ167" s="1702"/>
      <c r="BA167" s="887"/>
      <c r="BB167" s="887"/>
      <c r="BC167" s="887"/>
      <c r="BD167" s="907"/>
      <c r="BE167" s="904" t="s">
        <v>215</v>
      </c>
      <c r="BF167" s="903"/>
      <c r="BG167" s="887"/>
      <c r="BH167" s="887"/>
      <c r="BI167" s="887"/>
      <c r="BJ167" s="887"/>
      <c r="BK167" s="887"/>
      <c r="BL167" s="887"/>
      <c r="BM167" s="887"/>
      <c r="BN167" s="887"/>
      <c r="BO167" s="887"/>
      <c r="BP167" s="887"/>
      <c r="BQ167" s="887"/>
      <c r="BR167" s="887"/>
      <c r="BS167" s="887"/>
      <c r="BT167" s="887"/>
      <c r="BU167" s="800"/>
      <c r="BV167" s="800"/>
      <c r="BW167" s="800"/>
      <c r="BX167" s="800"/>
      <c r="BY167" s="800"/>
      <c r="BZ167" s="800"/>
      <c r="CA167" s="800"/>
      <c r="CB167" s="813"/>
      <c r="CC167" s="813"/>
    </row>
    <row r="168" spans="32:81" ht="13.5" customHeight="1">
      <c r="AF168" s="1702"/>
      <c r="AG168" s="1702"/>
      <c r="AH168" s="1702"/>
      <c r="AI168" s="1702"/>
      <c r="AJ168" s="1702"/>
      <c r="BA168" s="887"/>
      <c r="BB168" s="887"/>
      <c r="BC168" s="898"/>
      <c r="BD168" s="907" t="s">
        <v>2892</v>
      </c>
      <c r="BE168" s="906" t="s">
        <v>2901</v>
      </c>
      <c r="BF168" s="903">
        <v>550</v>
      </c>
      <c r="BG168" s="887"/>
      <c r="BH168" s="887"/>
      <c r="BI168" s="887"/>
      <c r="BJ168" s="887"/>
      <c r="BK168" s="887"/>
      <c r="BL168" s="887"/>
      <c r="BM168" s="887"/>
      <c r="BN168" s="887"/>
      <c r="BO168" s="887"/>
      <c r="BP168" s="887"/>
      <c r="BQ168" s="887"/>
      <c r="BR168" s="887"/>
      <c r="BS168" s="887"/>
      <c r="BT168" s="887"/>
      <c r="BU168" s="800"/>
      <c r="BV168" s="800"/>
      <c r="BW168" s="800"/>
      <c r="BX168" s="800"/>
      <c r="BY168" s="800"/>
      <c r="BZ168" s="800"/>
      <c r="CA168" s="800"/>
      <c r="CB168" s="813"/>
      <c r="CC168" s="813"/>
    </row>
    <row r="169" spans="32:81" ht="13.5" customHeight="1">
      <c r="AF169" s="1702"/>
      <c r="AG169" s="1702"/>
      <c r="AH169" s="1702"/>
      <c r="AI169" s="1702"/>
      <c r="AJ169" s="1702"/>
      <c r="BA169" s="887"/>
      <c r="BB169" s="887"/>
      <c r="BC169" s="898"/>
      <c r="BD169" s="907" t="s">
        <v>2893</v>
      </c>
      <c r="BE169" s="906" t="s">
        <v>2902</v>
      </c>
      <c r="BF169" s="903">
        <v>650</v>
      </c>
      <c r="BG169" s="887"/>
      <c r="BH169" s="887"/>
      <c r="BI169" s="887"/>
      <c r="BJ169" s="887"/>
      <c r="BK169" s="887"/>
      <c r="BL169" s="887"/>
      <c r="BM169" s="887"/>
      <c r="BN169" s="887"/>
      <c r="BO169" s="887"/>
      <c r="BP169" s="887"/>
      <c r="BQ169" s="887"/>
      <c r="BR169" s="887"/>
      <c r="BS169" s="887"/>
      <c r="BT169" s="887"/>
      <c r="BU169" s="800"/>
      <c r="BV169" s="800"/>
      <c r="BW169" s="800"/>
      <c r="BX169" s="800"/>
      <c r="BY169" s="800"/>
      <c r="BZ169" s="800"/>
      <c r="CA169" s="800"/>
      <c r="CB169" s="813"/>
      <c r="CC169" s="813"/>
    </row>
    <row r="170" spans="32:81" ht="13.5" customHeight="1">
      <c r="AF170" s="1702"/>
      <c r="AG170" s="1702"/>
      <c r="AH170" s="1702"/>
      <c r="AI170" s="1702"/>
      <c r="AJ170" s="1702"/>
      <c r="BA170" s="887"/>
      <c r="BB170" s="887"/>
      <c r="BC170" s="898"/>
      <c r="BD170" s="907" t="s">
        <v>2895</v>
      </c>
      <c r="BE170" s="906" t="s">
        <v>2903</v>
      </c>
      <c r="BF170" s="903">
        <v>690</v>
      </c>
      <c r="BG170" s="887"/>
      <c r="BH170" s="887"/>
      <c r="BI170" s="887"/>
      <c r="BJ170" s="887"/>
      <c r="BK170" s="887"/>
      <c r="BL170" s="887"/>
      <c r="BM170" s="887"/>
      <c r="BN170" s="887"/>
      <c r="BO170" s="887"/>
      <c r="BP170" s="887"/>
      <c r="BQ170" s="887"/>
      <c r="BR170" s="887"/>
      <c r="BS170" s="887"/>
      <c r="BT170" s="887"/>
      <c r="BU170" s="800"/>
      <c r="BV170" s="800"/>
      <c r="BW170" s="800"/>
      <c r="BX170" s="800"/>
      <c r="BY170" s="800"/>
      <c r="BZ170" s="800"/>
      <c r="CA170" s="800"/>
      <c r="CB170" s="813"/>
      <c r="CC170" s="813"/>
    </row>
    <row r="171" spans="32:81" ht="13.5" customHeight="1">
      <c r="AF171" s="1702"/>
      <c r="AG171" s="1702"/>
      <c r="AH171" s="1702"/>
      <c r="AI171" s="1702"/>
      <c r="AJ171" s="1702"/>
      <c r="BA171" s="887"/>
      <c r="BB171" s="887"/>
      <c r="BC171" s="898"/>
      <c r="BD171" s="907" t="s">
        <v>2894</v>
      </c>
      <c r="BE171" s="906" t="s">
        <v>2904</v>
      </c>
      <c r="BF171" s="903">
        <v>650</v>
      </c>
      <c r="BG171" s="887"/>
      <c r="BH171" s="887"/>
      <c r="BI171" s="887"/>
      <c r="BJ171" s="887"/>
      <c r="BK171" s="887"/>
      <c r="BL171" s="887"/>
      <c r="BM171" s="887"/>
      <c r="BN171" s="887"/>
      <c r="BO171" s="887"/>
      <c r="BP171" s="887"/>
      <c r="BQ171" s="887"/>
      <c r="BR171" s="887"/>
      <c r="BS171" s="887"/>
      <c r="BT171" s="887"/>
      <c r="BU171" s="800"/>
      <c r="BV171" s="800"/>
      <c r="BW171" s="800"/>
      <c r="BX171" s="800"/>
      <c r="BY171" s="800"/>
      <c r="BZ171" s="800"/>
      <c r="CA171" s="800"/>
      <c r="CB171" s="813"/>
      <c r="CC171" s="813"/>
    </row>
    <row r="172" spans="32:81" ht="13.5" customHeight="1">
      <c r="AF172" s="1702"/>
      <c r="AG172" s="1702"/>
      <c r="AH172" s="1702"/>
      <c r="AI172" s="1702"/>
      <c r="AJ172" s="1702"/>
      <c r="BA172" s="887"/>
      <c r="BB172" s="887"/>
      <c r="BC172" s="898"/>
      <c r="BD172" s="907" t="s">
        <v>2896</v>
      </c>
      <c r="BE172" s="906" t="s">
        <v>2905</v>
      </c>
      <c r="BF172" s="903">
        <v>760</v>
      </c>
      <c r="BG172" s="887"/>
      <c r="BH172" s="887"/>
      <c r="BI172" s="887"/>
      <c r="BJ172" s="887"/>
      <c r="BK172" s="887"/>
      <c r="BL172" s="887"/>
      <c r="BM172" s="887"/>
      <c r="BN172" s="887"/>
      <c r="BO172" s="887"/>
      <c r="BP172" s="887"/>
      <c r="BQ172" s="887"/>
      <c r="BR172" s="887"/>
      <c r="BS172" s="887"/>
      <c r="BT172" s="887"/>
      <c r="BU172" s="800"/>
      <c r="BV172" s="800"/>
      <c r="BW172" s="800"/>
      <c r="BX172" s="800"/>
      <c r="BY172" s="800"/>
      <c r="BZ172" s="800"/>
      <c r="CA172" s="800"/>
      <c r="CB172" s="813"/>
      <c r="CC172" s="813"/>
    </row>
    <row r="173" spans="32:81" ht="13.5" customHeight="1">
      <c r="AF173" s="1702"/>
      <c r="AG173" s="1702"/>
      <c r="AH173" s="1702"/>
      <c r="AI173" s="1702"/>
      <c r="AJ173" s="1702"/>
      <c r="BA173" s="887"/>
      <c r="BB173" s="887"/>
      <c r="BC173" s="898"/>
      <c r="BD173" s="907" t="s">
        <v>2897</v>
      </c>
      <c r="BE173" s="906" t="s">
        <v>2906</v>
      </c>
      <c r="BF173" s="903">
        <v>800</v>
      </c>
      <c r="BG173" s="887"/>
      <c r="BH173" s="887"/>
      <c r="BI173" s="887"/>
      <c r="BJ173" s="887"/>
      <c r="BK173" s="887"/>
      <c r="BL173" s="887"/>
      <c r="BM173" s="887"/>
      <c r="BN173" s="887"/>
      <c r="BO173" s="887"/>
      <c r="BP173" s="887"/>
      <c r="BQ173" s="887"/>
      <c r="BR173" s="887"/>
      <c r="BS173" s="887"/>
      <c r="BT173" s="887"/>
      <c r="BU173" s="800"/>
      <c r="BV173" s="800"/>
      <c r="BW173" s="800"/>
      <c r="BX173" s="800"/>
      <c r="BY173" s="800"/>
      <c r="BZ173" s="800"/>
      <c r="CA173" s="800"/>
      <c r="CB173" s="813"/>
      <c r="CC173" s="813"/>
    </row>
    <row r="174" spans="32:81" ht="13.5" customHeight="1">
      <c r="AF174" s="1702"/>
      <c r="AG174" s="1702"/>
      <c r="AH174" s="1702"/>
      <c r="AI174" s="1702"/>
      <c r="AJ174" s="1702"/>
      <c r="BA174" s="887"/>
      <c r="BB174" s="887"/>
      <c r="BC174" s="898"/>
      <c r="BD174" s="907" t="s">
        <v>2898</v>
      </c>
      <c r="BE174" s="906" t="s">
        <v>2907</v>
      </c>
      <c r="BF174" s="903">
        <v>540</v>
      </c>
      <c r="BG174" s="887"/>
      <c r="BH174" s="887"/>
      <c r="BI174" s="887"/>
      <c r="BJ174" s="887"/>
      <c r="BK174" s="887"/>
      <c r="BL174" s="887"/>
      <c r="BM174" s="887"/>
      <c r="BN174" s="887"/>
      <c r="BO174" s="887"/>
      <c r="BP174" s="887"/>
      <c r="BQ174" s="887"/>
      <c r="BR174" s="887"/>
      <c r="BS174" s="887"/>
      <c r="BT174" s="887"/>
      <c r="BU174" s="800"/>
      <c r="BV174" s="800"/>
      <c r="BW174" s="800"/>
      <c r="BX174" s="800"/>
      <c r="BY174" s="800"/>
      <c r="BZ174" s="800"/>
      <c r="CA174" s="800"/>
      <c r="CB174" s="813"/>
      <c r="CC174" s="813"/>
    </row>
    <row r="175" spans="32:81" ht="13.5" customHeight="1">
      <c r="AF175" s="1702"/>
      <c r="AG175" s="1702"/>
      <c r="AH175" s="1702"/>
      <c r="AI175" s="1702"/>
      <c r="AJ175" s="1702"/>
      <c r="BA175" s="887"/>
      <c r="BB175" s="887"/>
      <c r="BC175" s="898"/>
      <c r="BD175" s="907" t="s">
        <v>2899</v>
      </c>
      <c r="BE175" s="906" t="s">
        <v>2908</v>
      </c>
      <c r="BF175" s="903">
        <v>630</v>
      </c>
      <c r="BG175" s="887"/>
      <c r="BH175" s="887"/>
      <c r="BI175" s="887"/>
      <c r="BJ175" s="887"/>
      <c r="BK175" s="887"/>
      <c r="BL175" s="887"/>
      <c r="BM175" s="887"/>
      <c r="BN175" s="887"/>
      <c r="BO175" s="887"/>
      <c r="BP175" s="887"/>
      <c r="BQ175" s="887"/>
      <c r="BR175" s="887"/>
      <c r="BS175" s="887"/>
      <c r="BT175" s="887"/>
      <c r="BU175" s="800"/>
      <c r="BV175" s="800"/>
      <c r="BW175" s="800"/>
      <c r="BX175" s="800"/>
      <c r="BY175" s="800"/>
      <c r="BZ175" s="800"/>
      <c r="CA175" s="800"/>
      <c r="CB175" s="813"/>
      <c r="CC175" s="813"/>
    </row>
    <row r="176" spans="32:81" ht="13.5" customHeight="1">
      <c r="AF176" s="1702"/>
      <c r="AG176" s="1702"/>
      <c r="AH176" s="1702"/>
      <c r="AI176" s="1702"/>
      <c r="AJ176" s="1702"/>
      <c r="BA176" s="887"/>
      <c r="BB176" s="887"/>
      <c r="BC176" s="898"/>
      <c r="BD176" s="907" t="s">
        <v>2900</v>
      </c>
      <c r="BE176" s="906" t="s">
        <v>2909</v>
      </c>
      <c r="BF176" s="903">
        <v>670</v>
      </c>
      <c r="BG176" s="887"/>
      <c r="BH176" s="887"/>
      <c r="BI176" s="887"/>
      <c r="BJ176" s="887"/>
      <c r="BK176" s="887"/>
      <c r="BL176" s="887"/>
      <c r="BM176" s="887"/>
      <c r="BN176" s="887"/>
      <c r="BO176" s="887"/>
      <c r="BP176" s="887"/>
      <c r="BQ176" s="887"/>
      <c r="BR176" s="887"/>
      <c r="BS176" s="887"/>
      <c r="BT176" s="887"/>
      <c r="BU176" s="800"/>
      <c r="BV176" s="800"/>
      <c r="BW176" s="800"/>
      <c r="BX176" s="800"/>
      <c r="BY176" s="800"/>
      <c r="BZ176" s="800"/>
      <c r="CA176" s="800"/>
      <c r="CB176" s="813"/>
      <c r="CC176" s="813"/>
    </row>
    <row r="177" spans="32:81" ht="13.5" customHeight="1">
      <c r="AF177" s="1702"/>
      <c r="AG177" s="1702"/>
      <c r="AH177" s="1702"/>
      <c r="AI177" s="1702"/>
      <c r="AJ177" s="1702"/>
      <c r="BA177" s="887"/>
      <c r="BB177" s="887"/>
      <c r="BC177" s="906"/>
      <c r="BD177" s="907"/>
      <c r="BE177" s="904"/>
      <c r="BF177" s="903"/>
      <c r="BG177" s="887"/>
      <c r="BH177" s="887"/>
      <c r="BI177" s="887"/>
      <c r="BJ177" s="887"/>
      <c r="BK177" s="887"/>
      <c r="BL177" s="887"/>
      <c r="BM177" s="887"/>
      <c r="BN177" s="887"/>
      <c r="BO177" s="887"/>
      <c r="BP177" s="887"/>
      <c r="BQ177" s="887"/>
      <c r="BR177" s="887"/>
      <c r="BS177" s="887"/>
      <c r="BT177" s="887"/>
      <c r="BU177" s="800"/>
      <c r="BV177" s="800"/>
      <c r="BW177" s="800"/>
      <c r="BX177" s="800"/>
      <c r="BY177" s="800"/>
      <c r="BZ177" s="800"/>
      <c r="CA177" s="800"/>
      <c r="CB177" s="813"/>
      <c r="CC177" s="813"/>
    </row>
    <row r="178" spans="32:81" ht="13.5" customHeight="1">
      <c r="AF178" s="1702"/>
      <c r="AG178" s="1702"/>
      <c r="AH178" s="1702"/>
      <c r="AI178" s="1702"/>
      <c r="AJ178" s="1702"/>
      <c r="BA178" s="887"/>
      <c r="BB178" s="887"/>
      <c r="BC178" s="898"/>
      <c r="BD178" s="907"/>
      <c r="BE178" s="906"/>
      <c r="BF178" s="903"/>
      <c r="BG178" s="887"/>
      <c r="BH178" s="887"/>
      <c r="BI178" s="887"/>
      <c r="BJ178" s="887"/>
      <c r="BK178" s="887"/>
      <c r="BL178" s="887"/>
      <c r="BM178" s="887"/>
      <c r="BN178" s="887"/>
      <c r="BO178" s="887"/>
      <c r="BP178" s="887"/>
      <c r="BQ178" s="887"/>
      <c r="BR178" s="887"/>
      <c r="BS178" s="887"/>
      <c r="BT178" s="887"/>
      <c r="BU178" s="800"/>
      <c r="BV178" s="800"/>
      <c r="BW178" s="800"/>
      <c r="BX178" s="800"/>
      <c r="BY178" s="800"/>
      <c r="BZ178" s="800"/>
      <c r="CA178" s="800"/>
      <c r="CB178" s="813"/>
      <c r="CC178" s="813"/>
    </row>
    <row r="179" spans="32:81" ht="13.5" customHeight="1">
      <c r="AF179" s="1702"/>
      <c r="AG179" s="1702"/>
      <c r="AH179" s="1702"/>
      <c r="AI179" s="1702"/>
      <c r="AJ179" s="1702"/>
      <c r="BA179" s="887"/>
      <c r="BB179" s="887"/>
      <c r="BC179" s="898"/>
      <c r="BD179" s="907"/>
      <c r="BE179" s="906"/>
      <c r="BF179" s="903"/>
      <c r="BG179" s="887"/>
      <c r="BH179" s="887"/>
      <c r="BI179" s="887"/>
      <c r="BJ179" s="887"/>
      <c r="BK179" s="887"/>
      <c r="BL179" s="887"/>
      <c r="BM179" s="887"/>
      <c r="BN179" s="887"/>
      <c r="BO179" s="887"/>
      <c r="BP179" s="887"/>
      <c r="BQ179" s="887"/>
      <c r="BR179" s="887"/>
      <c r="BS179" s="887"/>
      <c r="BT179" s="887"/>
      <c r="BU179" s="800"/>
      <c r="BV179" s="800"/>
      <c r="BW179" s="800"/>
      <c r="BX179" s="800"/>
      <c r="BY179" s="800"/>
      <c r="BZ179" s="800"/>
      <c r="CA179" s="800"/>
      <c r="CB179" s="813"/>
      <c r="CC179" s="813"/>
    </row>
    <row r="180" spans="32:81" ht="13.5" customHeight="1">
      <c r="AF180" s="1702"/>
      <c r="AG180" s="1702"/>
      <c r="AH180" s="1702"/>
      <c r="AI180" s="1702"/>
      <c r="AJ180" s="1702"/>
      <c r="BA180" s="887"/>
      <c r="BB180" s="887"/>
      <c r="BC180" s="898"/>
      <c r="BD180" s="907"/>
      <c r="BE180" s="906"/>
      <c r="BF180" s="903"/>
      <c r="BG180" s="887"/>
      <c r="BH180" s="887"/>
      <c r="BI180" s="887"/>
      <c r="BJ180" s="887"/>
      <c r="BK180" s="887"/>
      <c r="BL180" s="887"/>
      <c r="BM180" s="887"/>
      <c r="BN180" s="887"/>
      <c r="BO180" s="887"/>
      <c r="BP180" s="887"/>
      <c r="BQ180" s="887"/>
      <c r="BR180" s="887"/>
      <c r="BS180" s="887"/>
      <c r="BT180" s="887"/>
      <c r="BU180" s="800"/>
      <c r="BV180" s="800"/>
      <c r="BW180" s="800"/>
      <c r="BX180" s="800"/>
      <c r="BY180" s="800"/>
      <c r="BZ180" s="800"/>
      <c r="CA180" s="800"/>
      <c r="CB180" s="813"/>
      <c r="CC180" s="813"/>
    </row>
    <row r="181" spans="32:81" ht="13.5" customHeight="1">
      <c r="AF181" s="1702"/>
      <c r="AG181" s="1702"/>
      <c r="AH181" s="1702"/>
      <c r="AI181" s="1702"/>
      <c r="AJ181" s="1702"/>
      <c r="BA181" s="887"/>
      <c r="BB181" s="887"/>
      <c r="BC181" s="898"/>
      <c r="BD181" s="907"/>
      <c r="BE181" s="906"/>
      <c r="BF181" s="903"/>
      <c r="BG181" s="887"/>
      <c r="BH181" s="887"/>
      <c r="BI181" s="887"/>
      <c r="BJ181" s="887"/>
      <c r="BK181" s="887"/>
      <c r="BL181" s="887"/>
      <c r="BM181" s="887"/>
      <c r="BN181" s="887"/>
      <c r="BO181" s="887"/>
      <c r="BP181" s="887"/>
      <c r="BQ181" s="887"/>
      <c r="BR181" s="887"/>
      <c r="BS181" s="887"/>
      <c r="BT181" s="887"/>
      <c r="BU181" s="800"/>
      <c r="BV181" s="800"/>
      <c r="BW181" s="800"/>
      <c r="BX181" s="800"/>
      <c r="BY181" s="800"/>
      <c r="BZ181" s="800"/>
      <c r="CA181" s="800"/>
      <c r="CB181" s="813"/>
      <c r="CC181" s="813"/>
    </row>
    <row r="182" spans="32:81" ht="13.5" customHeight="1">
      <c r="AF182" s="1702"/>
      <c r="AG182" s="1702"/>
      <c r="AH182" s="1702"/>
      <c r="AI182" s="1702"/>
      <c r="AJ182" s="1702"/>
      <c r="BA182" s="887"/>
      <c r="BB182" s="887"/>
      <c r="BC182" s="898"/>
      <c r="BD182" s="907"/>
      <c r="BE182" s="906"/>
      <c r="BF182" s="903"/>
      <c r="BG182" s="887"/>
      <c r="BH182" s="887"/>
      <c r="BI182" s="887"/>
      <c r="BJ182" s="887"/>
      <c r="BK182" s="887"/>
      <c r="BL182" s="887"/>
      <c r="BM182" s="887"/>
      <c r="BN182" s="887"/>
      <c r="BO182" s="887"/>
      <c r="BP182" s="887"/>
      <c r="BQ182" s="887"/>
      <c r="BR182" s="887"/>
      <c r="BS182" s="887"/>
      <c r="BT182" s="887"/>
      <c r="BU182" s="800"/>
      <c r="BV182" s="800"/>
      <c r="BW182" s="800"/>
      <c r="BX182" s="800"/>
      <c r="BY182" s="800"/>
      <c r="BZ182" s="800"/>
      <c r="CA182" s="800"/>
      <c r="CB182" s="813"/>
      <c r="CC182" s="813"/>
    </row>
    <row r="183" spans="32:81" ht="13.5" customHeight="1">
      <c r="AF183" s="1702"/>
      <c r="AG183" s="1702"/>
      <c r="AH183" s="1702"/>
      <c r="AI183" s="1702"/>
      <c r="AJ183" s="1702"/>
      <c r="BA183" s="887"/>
      <c r="BB183" s="887"/>
      <c r="BC183" s="898"/>
      <c r="BD183" s="907"/>
      <c r="BE183" s="906"/>
      <c r="BF183" s="903"/>
      <c r="BG183" s="887"/>
      <c r="BH183" s="887"/>
      <c r="BI183" s="887"/>
      <c r="BJ183" s="887"/>
      <c r="BK183" s="887"/>
      <c r="BL183" s="887"/>
      <c r="BM183" s="887"/>
      <c r="BN183" s="887"/>
      <c r="BO183" s="887"/>
      <c r="BP183" s="887"/>
      <c r="BQ183" s="887"/>
      <c r="BR183" s="887"/>
      <c r="BS183" s="887"/>
      <c r="BT183" s="887"/>
      <c r="BU183" s="800"/>
      <c r="BV183" s="800"/>
      <c r="BW183" s="800"/>
      <c r="BX183" s="800"/>
      <c r="BY183" s="800"/>
      <c r="BZ183" s="800"/>
      <c r="CA183" s="800"/>
      <c r="CB183" s="813"/>
      <c r="CC183" s="813"/>
    </row>
    <row r="184" spans="32:81" ht="13.5" customHeight="1">
      <c r="AF184" s="1702"/>
      <c r="AG184" s="1702"/>
      <c r="AH184" s="1702"/>
      <c r="AI184" s="1702"/>
      <c r="AJ184" s="1702"/>
      <c r="BA184" s="887"/>
      <c r="BB184" s="887"/>
      <c r="BC184" s="898"/>
      <c r="BD184" s="907"/>
      <c r="BE184" s="906"/>
      <c r="BF184" s="903"/>
      <c r="BG184" s="887"/>
      <c r="BH184" s="887"/>
      <c r="BI184" s="887"/>
      <c r="BJ184" s="887"/>
      <c r="BK184" s="887"/>
      <c r="BL184" s="887"/>
      <c r="BM184" s="887"/>
      <c r="BN184" s="887"/>
      <c r="BO184" s="887"/>
      <c r="BP184" s="887"/>
      <c r="BQ184" s="887"/>
      <c r="BR184" s="887"/>
      <c r="BS184" s="887"/>
      <c r="BT184" s="887"/>
      <c r="BU184" s="800"/>
      <c r="BV184" s="800"/>
      <c r="BW184" s="800"/>
      <c r="BX184" s="800"/>
      <c r="BY184" s="800"/>
      <c r="BZ184" s="800"/>
      <c r="CA184" s="800"/>
      <c r="CB184" s="813"/>
      <c r="CC184" s="813"/>
    </row>
    <row r="185" spans="32:81" ht="13.5" customHeight="1">
      <c r="AF185" s="1702"/>
      <c r="AG185" s="1702"/>
      <c r="AH185" s="1702"/>
      <c r="AI185" s="1702"/>
      <c r="AJ185" s="1702"/>
      <c r="BA185" s="887"/>
      <c r="BB185" s="887"/>
      <c r="BC185" s="898"/>
      <c r="BD185" s="907"/>
      <c r="BE185" s="904" t="s">
        <v>101</v>
      </c>
      <c r="BF185" s="903"/>
      <c r="BG185" s="887"/>
      <c r="BH185" s="887"/>
      <c r="BI185" s="887"/>
      <c r="BJ185" s="887"/>
      <c r="BK185" s="887"/>
      <c r="BL185" s="887"/>
      <c r="BM185" s="887"/>
      <c r="BN185" s="887"/>
      <c r="BO185" s="887"/>
      <c r="BP185" s="887"/>
      <c r="BQ185" s="887"/>
      <c r="BR185" s="887"/>
      <c r="BS185" s="887"/>
      <c r="BT185" s="887"/>
      <c r="BU185" s="800"/>
      <c r="BV185" s="800"/>
      <c r="BW185" s="800"/>
      <c r="BX185" s="800"/>
      <c r="BY185" s="800"/>
      <c r="BZ185" s="800"/>
      <c r="CA185" s="800"/>
      <c r="CB185" s="813"/>
      <c r="CC185" s="813"/>
    </row>
    <row r="186" spans="32:81" ht="13.5" customHeight="1">
      <c r="AF186" s="1702"/>
      <c r="AG186" s="1702"/>
      <c r="AH186" s="1702"/>
      <c r="AI186" s="1702"/>
      <c r="AJ186" s="1702"/>
      <c r="BA186" s="887"/>
      <c r="BB186" s="887"/>
      <c r="BC186" s="898"/>
      <c r="BD186" s="884" t="s">
        <v>3195</v>
      </c>
      <c r="BE186" s="906" t="s">
        <v>3197</v>
      </c>
      <c r="BF186" s="903">
        <v>300</v>
      </c>
      <c r="BG186" s="887"/>
      <c r="BH186" s="887"/>
      <c r="BI186" s="887"/>
      <c r="BJ186" s="887"/>
      <c r="BK186" s="887"/>
      <c r="BL186" s="887"/>
      <c r="BM186" s="887"/>
      <c r="BN186" s="887"/>
      <c r="BO186" s="887"/>
      <c r="BP186" s="887"/>
      <c r="BQ186" s="887"/>
      <c r="BR186" s="887"/>
      <c r="BS186" s="887"/>
      <c r="BT186" s="887"/>
      <c r="BU186" s="800"/>
      <c r="BV186" s="800"/>
      <c r="BW186" s="800"/>
      <c r="BX186" s="800"/>
      <c r="BY186" s="800"/>
      <c r="BZ186" s="800"/>
      <c r="CA186" s="800"/>
      <c r="CB186" s="813"/>
      <c r="CC186" s="813"/>
    </row>
    <row r="187" spans="32:81" ht="13.5" customHeight="1">
      <c r="AF187" s="1702"/>
      <c r="AG187" s="1702"/>
      <c r="AH187" s="1702"/>
      <c r="AI187" s="1702"/>
      <c r="AJ187" s="1702"/>
      <c r="BA187" s="887"/>
      <c r="BB187" s="887"/>
      <c r="BC187" s="906"/>
      <c r="BD187" s="884" t="s">
        <v>2998</v>
      </c>
      <c r="BE187" s="906" t="s">
        <v>2994</v>
      </c>
      <c r="BF187" s="903">
        <v>300</v>
      </c>
      <c r="BG187" s="887"/>
      <c r="BH187" s="887"/>
      <c r="BI187" s="887"/>
      <c r="BJ187" s="887"/>
      <c r="BK187" s="887"/>
      <c r="BL187" s="887"/>
      <c r="BM187" s="887"/>
      <c r="BN187" s="887"/>
      <c r="BO187" s="887"/>
      <c r="BP187" s="887"/>
      <c r="BQ187" s="887"/>
      <c r="BR187" s="887"/>
      <c r="BS187" s="887"/>
      <c r="BT187" s="887"/>
      <c r="BU187" s="800"/>
      <c r="BV187" s="800"/>
      <c r="BW187" s="800"/>
      <c r="BX187" s="800"/>
      <c r="BY187" s="800"/>
      <c r="BZ187" s="800"/>
      <c r="CA187" s="800"/>
      <c r="CB187" s="813"/>
      <c r="CC187" s="813"/>
    </row>
    <row r="188" spans="32:81" ht="13.5" customHeight="1">
      <c r="AF188" s="1702"/>
      <c r="AG188" s="1702"/>
      <c r="AH188" s="1702"/>
      <c r="AI188" s="1702"/>
      <c r="AJ188" s="1702"/>
      <c r="BA188" s="887"/>
      <c r="BB188" s="887"/>
      <c r="BC188" s="906"/>
      <c r="BD188" s="884" t="s">
        <v>2999</v>
      </c>
      <c r="BE188" s="906" t="s">
        <v>2995</v>
      </c>
      <c r="BF188" s="903">
        <v>300</v>
      </c>
      <c r="BG188" s="887"/>
      <c r="BH188" s="887"/>
      <c r="BI188" s="887"/>
      <c r="BJ188" s="887"/>
      <c r="BK188" s="887"/>
      <c r="BL188" s="887"/>
      <c r="BM188" s="887"/>
      <c r="BN188" s="887"/>
      <c r="BO188" s="887"/>
      <c r="BP188" s="887"/>
      <c r="BQ188" s="887"/>
      <c r="BR188" s="887"/>
      <c r="BS188" s="887"/>
      <c r="BT188" s="887"/>
      <c r="BU188" s="800"/>
      <c r="BV188" s="800"/>
      <c r="BW188" s="800"/>
      <c r="BX188" s="800"/>
      <c r="BY188" s="800"/>
      <c r="BZ188" s="800"/>
      <c r="CA188" s="800"/>
      <c r="CB188" s="813"/>
      <c r="CC188" s="813"/>
    </row>
    <row r="189" spans="32:81" ht="13.5" customHeight="1">
      <c r="AF189" s="1702"/>
      <c r="AG189" s="1702"/>
      <c r="AH189" s="1702"/>
      <c r="AI189" s="1702"/>
      <c r="AJ189" s="1702"/>
      <c r="BA189" s="887"/>
      <c r="BB189" s="887"/>
      <c r="BC189" s="906"/>
      <c r="BD189" s="884" t="s">
        <v>3200</v>
      </c>
      <c r="BE189" s="906" t="s">
        <v>3199</v>
      </c>
      <c r="BF189" s="903">
        <v>500</v>
      </c>
      <c r="BG189" s="887"/>
      <c r="BH189" s="887"/>
      <c r="BI189" s="887"/>
      <c r="BJ189" s="887"/>
      <c r="BK189" s="887"/>
      <c r="BL189" s="887"/>
      <c r="BM189" s="887"/>
      <c r="BN189" s="887"/>
      <c r="BO189" s="887"/>
      <c r="BP189" s="887"/>
      <c r="BQ189" s="887"/>
      <c r="BR189" s="887"/>
      <c r="BS189" s="887"/>
      <c r="BT189" s="887"/>
      <c r="BU189" s="800"/>
      <c r="BV189" s="800"/>
      <c r="BW189" s="800"/>
      <c r="BX189" s="800"/>
      <c r="BY189" s="800"/>
      <c r="BZ189" s="800"/>
      <c r="CA189" s="800"/>
      <c r="CB189" s="813"/>
      <c r="CC189" s="813"/>
    </row>
    <row r="190" spans="32:81" ht="13.5" customHeight="1">
      <c r="AF190" s="1702"/>
      <c r="AG190" s="1702"/>
      <c r="AH190" s="1702"/>
      <c r="AI190" s="1702"/>
      <c r="AJ190" s="1702"/>
      <c r="BA190" s="887"/>
      <c r="BB190" s="887"/>
      <c r="BC190" s="906"/>
      <c r="BD190" s="884" t="s">
        <v>3002</v>
      </c>
      <c r="BE190" s="906" t="s">
        <v>2996</v>
      </c>
      <c r="BF190" s="903">
        <v>500</v>
      </c>
      <c r="BG190" s="887"/>
      <c r="BH190" s="887"/>
      <c r="BI190" s="887"/>
      <c r="BJ190" s="887"/>
      <c r="BK190" s="887"/>
      <c r="BL190" s="887"/>
      <c r="BM190" s="887"/>
      <c r="BN190" s="887"/>
      <c r="BO190" s="887"/>
      <c r="BP190" s="887"/>
      <c r="BQ190" s="887"/>
      <c r="BR190" s="887"/>
      <c r="BS190" s="887"/>
      <c r="BT190" s="887"/>
      <c r="BU190" s="800"/>
      <c r="BV190" s="800"/>
      <c r="BW190" s="800"/>
      <c r="BX190" s="800"/>
      <c r="BY190" s="800"/>
      <c r="BZ190" s="800"/>
      <c r="CA190" s="800"/>
      <c r="CB190" s="813"/>
      <c r="CC190" s="813"/>
    </row>
    <row r="191" spans="32:81" ht="13.5" customHeight="1">
      <c r="AF191" s="1702"/>
      <c r="AG191" s="1702"/>
      <c r="AH191" s="1702"/>
      <c r="AI191" s="1702"/>
      <c r="AJ191" s="1702"/>
      <c r="BA191" s="887"/>
      <c r="BB191" s="887"/>
      <c r="BC191" s="906"/>
      <c r="BD191" s="884" t="s">
        <v>3001</v>
      </c>
      <c r="BE191" s="906" t="s">
        <v>2997</v>
      </c>
      <c r="BF191" s="903">
        <v>500</v>
      </c>
      <c r="BG191" s="887"/>
      <c r="BH191" s="887"/>
      <c r="BI191" s="887"/>
      <c r="BJ191" s="887"/>
      <c r="BK191" s="887"/>
      <c r="BL191" s="887"/>
      <c r="BM191" s="887"/>
      <c r="BN191" s="887"/>
      <c r="BO191" s="887"/>
      <c r="BP191" s="887"/>
      <c r="BQ191" s="887"/>
      <c r="BR191" s="887"/>
      <c r="BS191" s="887"/>
      <c r="BT191" s="887"/>
      <c r="BU191" s="800"/>
      <c r="BV191" s="800"/>
      <c r="BW191" s="800"/>
      <c r="BX191" s="800"/>
      <c r="BY191" s="800"/>
      <c r="BZ191" s="800"/>
      <c r="CA191" s="800"/>
      <c r="CB191" s="813"/>
      <c r="CC191" s="813"/>
    </row>
    <row r="192" spans="32:81" ht="13.5" customHeight="1">
      <c r="AF192" s="1702"/>
      <c r="AG192" s="1702"/>
      <c r="AH192" s="1702"/>
      <c r="AI192" s="1702"/>
      <c r="AJ192" s="1702"/>
      <c r="BA192" s="887"/>
      <c r="BB192" s="887"/>
      <c r="BC192" s="906"/>
      <c r="BD192" s="887"/>
      <c r="BE192" s="904" t="s">
        <v>120</v>
      </c>
      <c r="BF192" s="903"/>
      <c r="BG192" s="887"/>
      <c r="BH192" s="887"/>
      <c r="BI192" s="887"/>
      <c r="BJ192" s="887"/>
      <c r="BK192" s="887"/>
      <c r="BL192" s="887"/>
      <c r="BM192" s="887"/>
      <c r="BN192" s="887"/>
      <c r="BO192" s="887"/>
      <c r="BP192" s="887"/>
      <c r="BQ192" s="887"/>
      <c r="BR192" s="887"/>
      <c r="BS192" s="887"/>
      <c r="BT192" s="887"/>
      <c r="BU192" s="800"/>
      <c r="BV192" s="800"/>
      <c r="BW192" s="800"/>
      <c r="BX192" s="800"/>
      <c r="BY192" s="800"/>
      <c r="BZ192" s="800"/>
      <c r="CA192" s="800"/>
      <c r="CB192" s="813"/>
      <c r="CC192" s="813"/>
    </row>
    <row r="193" spans="32:81" ht="13.5" customHeight="1">
      <c r="AF193" s="1702"/>
      <c r="AG193" s="1702"/>
      <c r="AH193" s="1702"/>
      <c r="AI193" s="1702"/>
      <c r="AJ193" s="1702"/>
      <c r="BA193" s="887"/>
      <c r="BB193" s="887"/>
      <c r="BC193" s="904"/>
      <c r="BD193" s="908" t="s">
        <v>2911</v>
      </c>
      <c r="BE193" s="906" t="s">
        <v>2910</v>
      </c>
      <c r="BF193" s="903">
        <v>90</v>
      </c>
      <c r="BG193" s="887"/>
      <c r="BH193" s="887"/>
      <c r="BI193" s="887"/>
      <c r="BJ193" s="887"/>
      <c r="BK193" s="887"/>
      <c r="BL193" s="887"/>
      <c r="BM193" s="887"/>
      <c r="BN193" s="887"/>
      <c r="BO193" s="887"/>
      <c r="BP193" s="887"/>
      <c r="BQ193" s="887"/>
      <c r="BR193" s="887"/>
      <c r="BS193" s="887"/>
      <c r="BT193" s="887"/>
      <c r="BU193" s="800"/>
      <c r="BV193" s="800"/>
      <c r="BW193" s="800"/>
      <c r="BX193" s="800"/>
      <c r="BY193" s="800"/>
      <c r="BZ193" s="800"/>
      <c r="CA193" s="800"/>
      <c r="CB193" s="813"/>
      <c r="CC193" s="813"/>
    </row>
    <row r="194" spans="32:81" ht="13.5" customHeight="1">
      <c r="AF194" s="1702"/>
      <c r="AG194" s="1702"/>
      <c r="AH194" s="1702"/>
      <c r="AI194" s="1702"/>
      <c r="AJ194" s="1702"/>
      <c r="BA194" s="887"/>
      <c r="BB194" s="887"/>
      <c r="BC194" s="906"/>
      <c r="BD194" s="908" t="s">
        <v>2912</v>
      </c>
      <c r="BE194" s="906" t="s">
        <v>2913</v>
      </c>
      <c r="BF194" s="903">
        <v>90</v>
      </c>
      <c r="BG194" s="887"/>
      <c r="BH194" s="887"/>
      <c r="BI194" s="887"/>
      <c r="BJ194" s="887"/>
      <c r="BK194" s="887"/>
      <c r="BL194" s="887"/>
      <c r="BM194" s="887"/>
      <c r="BN194" s="887"/>
      <c r="BO194" s="887"/>
      <c r="BP194" s="887"/>
      <c r="BQ194" s="887"/>
      <c r="BR194" s="887"/>
      <c r="BS194" s="887"/>
      <c r="BT194" s="887"/>
      <c r="BU194" s="800"/>
      <c r="BV194" s="800"/>
      <c r="BW194" s="800"/>
      <c r="BX194" s="800"/>
      <c r="BY194" s="800"/>
      <c r="BZ194" s="800"/>
      <c r="CA194" s="800"/>
      <c r="CB194" s="813"/>
      <c r="CC194" s="813"/>
    </row>
    <row r="195" spans="32:81" ht="13.5" customHeight="1">
      <c r="AF195" s="1702"/>
      <c r="AG195" s="1702"/>
      <c r="AH195" s="1702"/>
      <c r="AI195" s="1702"/>
      <c r="AJ195" s="1702"/>
      <c r="BA195" s="887"/>
      <c r="BB195" s="887"/>
      <c r="BC195" s="906"/>
      <c r="BD195" s="908" t="s">
        <v>2918</v>
      </c>
      <c r="BE195" s="906" t="s">
        <v>2914</v>
      </c>
      <c r="BF195" s="903">
        <v>90</v>
      </c>
      <c r="BG195" s="887"/>
      <c r="BH195" s="887"/>
      <c r="BI195" s="887"/>
      <c r="BJ195" s="887"/>
      <c r="BK195" s="887"/>
      <c r="BL195" s="887"/>
      <c r="BM195" s="887"/>
      <c r="BN195" s="887"/>
      <c r="BO195" s="887"/>
      <c r="BP195" s="887"/>
      <c r="BQ195" s="887"/>
      <c r="BR195" s="887"/>
      <c r="BS195" s="887"/>
      <c r="BT195" s="887"/>
      <c r="BU195" s="800"/>
      <c r="BV195" s="800"/>
      <c r="BW195" s="800"/>
      <c r="BX195" s="800"/>
      <c r="BY195" s="800"/>
      <c r="BZ195" s="800"/>
      <c r="CA195" s="800"/>
      <c r="CB195" s="813"/>
      <c r="CC195" s="813"/>
    </row>
    <row r="196" spans="32:81" ht="13.5" customHeight="1">
      <c r="AF196" s="1702"/>
      <c r="AG196" s="1702"/>
      <c r="AH196" s="1702"/>
      <c r="AI196" s="1702"/>
      <c r="AJ196" s="1702"/>
      <c r="BA196" s="887"/>
      <c r="BB196" s="887"/>
      <c r="BC196" s="906"/>
      <c r="BD196" s="908" t="s">
        <v>2917</v>
      </c>
      <c r="BE196" s="906" t="s">
        <v>2915</v>
      </c>
      <c r="BF196" s="903">
        <v>130</v>
      </c>
      <c r="BG196" s="887"/>
      <c r="BH196" s="887"/>
      <c r="BI196" s="887"/>
      <c r="BJ196" s="887"/>
      <c r="BK196" s="887"/>
      <c r="BL196" s="887"/>
      <c r="BM196" s="887"/>
      <c r="BN196" s="887"/>
      <c r="BO196" s="887"/>
      <c r="BP196" s="887"/>
      <c r="BQ196" s="887"/>
      <c r="BR196" s="887"/>
      <c r="BS196" s="887"/>
      <c r="BT196" s="887"/>
      <c r="BU196" s="800"/>
      <c r="BV196" s="800"/>
      <c r="BW196" s="800"/>
      <c r="BX196" s="800"/>
      <c r="BY196" s="800"/>
      <c r="BZ196" s="800"/>
      <c r="CA196" s="800"/>
      <c r="CB196" s="813"/>
      <c r="CC196" s="813"/>
    </row>
    <row r="197" spans="32:81" ht="28.5">
      <c r="AF197" s="1702"/>
      <c r="AG197" s="1702"/>
      <c r="AH197" s="1702"/>
      <c r="AI197" s="1702"/>
      <c r="AJ197" s="1702"/>
      <c r="BA197" s="887"/>
      <c r="BB197" s="887"/>
      <c r="BC197" s="906"/>
      <c r="BD197" s="908" t="s">
        <v>2887</v>
      </c>
      <c r="BE197" s="906" t="s">
        <v>2916</v>
      </c>
      <c r="BF197" s="903">
        <v>130</v>
      </c>
      <c r="BG197" s="887"/>
      <c r="BH197" s="887"/>
      <c r="BI197" s="887"/>
      <c r="BJ197" s="887"/>
      <c r="BK197" s="887"/>
      <c r="BL197" s="887"/>
      <c r="BM197" s="887"/>
      <c r="BN197" s="887"/>
      <c r="BO197" s="887"/>
      <c r="BP197" s="887"/>
      <c r="BQ197" s="887"/>
      <c r="BR197" s="887"/>
      <c r="BS197" s="887"/>
      <c r="BT197" s="887"/>
      <c r="BU197" s="800"/>
      <c r="BV197" s="800"/>
      <c r="BW197" s="800"/>
      <c r="BX197" s="800"/>
      <c r="BY197" s="800"/>
      <c r="BZ197" s="800"/>
      <c r="CA197" s="800"/>
      <c r="CB197" s="813"/>
      <c r="CC197" s="813"/>
    </row>
    <row r="198" spans="32:81" ht="28.5">
      <c r="AF198" s="1702"/>
      <c r="AG198" s="1702"/>
      <c r="AH198" s="1702"/>
      <c r="AI198" s="1702"/>
      <c r="AJ198" s="1702"/>
      <c r="BA198" s="887"/>
      <c r="BB198" s="887"/>
      <c r="BC198" s="904"/>
      <c r="BD198" s="908" t="s">
        <v>2888</v>
      </c>
      <c r="BE198" s="906" t="s">
        <v>2919</v>
      </c>
      <c r="BF198" s="903">
        <v>130</v>
      </c>
      <c r="BG198" s="887"/>
      <c r="BH198" s="887"/>
      <c r="BI198" s="887"/>
      <c r="BJ198" s="887"/>
      <c r="BK198" s="887"/>
      <c r="BL198" s="887"/>
      <c r="BM198" s="887"/>
      <c r="BN198" s="887"/>
      <c r="BO198" s="887"/>
      <c r="BP198" s="887"/>
      <c r="BQ198" s="887"/>
      <c r="BR198" s="887"/>
      <c r="BS198" s="887"/>
      <c r="BT198" s="887"/>
      <c r="BU198" s="800"/>
      <c r="BV198" s="800"/>
      <c r="BW198" s="800"/>
      <c r="BX198" s="800"/>
      <c r="BY198" s="800"/>
      <c r="BZ198" s="800"/>
      <c r="CA198" s="800"/>
      <c r="CB198" s="813"/>
      <c r="CC198" s="813"/>
    </row>
    <row r="199" spans="32:81" ht="14.25">
      <c r="AF199" s="1702"/>
      <c r="AG199" s="1702"/>
      <c r="AH199" s="1702"/>
      <c r="AI199" s="1702"/>
      <c r="AJ199" s="1702"/>
      <c r="BA199" s="887"/>
      <c r="BB199" s="887"/>
      <c r="BC199" s="906"/>
      <c r="BD199" s="903"/>
      <c r="BE199" s="906"/>
      <c r="BF199" s="903"/>
      <c r="BG199" s="887"/>
      <c r="BH199" s="887"/>
      <c r="BI199" s="887"/>
      <c r="BJ199" s="887"/>
      <c r="BK199" s="887"/>
      <c r="BL199" s="887"/>
      <c r="BM199" s="887"/>
      <c r="BN199" s="887"/>
      <c r="BO199" s="887"/>
      <c r="BP199" s="887"/>
      <c r="BQ199" s="887"/>
      <c r="BR199" s="887"/>
      <c r="BS199" s="887"/>
      <c r="BT199" s="887"/>
      <c r="BU199" s="800"/>
      <c r="BV199" s="800"/>
      <c r="BW199" s="800"/>
      <c r="BX199" s="800"/>
      <c r="BY199" s="800"/>
      <c r="BZ199" s="800"/>
      <c r="CA199" s="800"/>
      <c r="CB199" s="813"/>
      <c r="CC199" s="813"/>
    </row>
    <row r="200" spans="32:81" ht="14.25">
      <c r="AF200" s="1702"/>
      <c r="AG200" s="1702"/>
      <c r="AH200" s="1702"/>
      <c r="AI200" s="1702"/>
      <c r="AJ200" s="1702"/>
      <c r="BA200" s="887"/>
      <c r="BB200" s="887"/>
      <c r="BC200" s="906"/>
      <c r="BD200" s="903"/>
      <c r="BE200" s="906"/>
      <c r="BF200" s="903"/>
      <c r="BG200" s="887"/>
      <c r="BH200" s="887"/>
      <c r="BI200" s="887"/>
      <c r="BJ200" s="887"/>
      <c r="BK200" s="887"/>
      <c r="BL200" s="887"/>
      <c r="BM200" s="887"/>
      <c r="BN200" s="887"/>
      <c r="BO200" s="887"/>
      <c r="BP200" s="887"/>
      <c r="BQ200" s="887"/>
      <c r="BR200" s="887"/>
      <c r="BS200" s="887"/>
      <c r="BT200" s="887"/>
      <c r="BU200" s="800"/>
      <c r="BV200" s="800"/>
      <c r="BW200" s="800"/>
      <c r="BX200" s="800"/>
      <c r="BY200" s="800"/>
      <c r="BZ200" s="800"/>
      <c r="CA200" s="800"/>
      <c r="CB200" s="813"/>
      <c r="CC200" s="813"/>
    </row>
    <row r="201" spans="32:81" ht="14.25">
      <c r="BA201" s="887"/>
      <c r="BB201" s="887"/>
      <c r="BC201" s="906"/>
      <c r="BD201" s="903"/>
      <c r="BE201" s="904" t="s">
        <v>102</v>
      </c>
      <c r="BF201" s="903"/>
      <c r="BG201" s="887"/>
      <c r="BH201" s="887"/>
      <c r="BI201" s="887"/>
      <c r="BJ201" s="887"/>
      <c r="BK201" s="887"/>
      <c r="BL201" s="887"/>
      <c r="BM201" s="887"/>
      <c r="BN201" s="887"/>
      <c r="BO201" s="887"/>
      <c r="BP201" s="887"/>
      <c r="BQ201" s="887"/>
      <c r="BR201" s="887"/>
      <c r="BS201" s="887"/>
      <c r="BT201" s="887"/>
      <c r="BU201" s="800"/>
      <c r="BV201" s="800"/>
      <c r="BW201" s="800"/>
      <c r="BX201" s="800"/>
      <c r="BY201" s="800"/>
      <c r="BZ201" s="800"/>
      <c r="CA201" s="800"/>
      <c r="CB201" s="813"/>
      <c r="CC201" s="813"/>
    </row>
    <row r="202" spans="32:81" ht="14.25">
      <c r="BA202" s="887"/>
      <c r="BB202" s="887"/>
      <c r="BC202" s="906"/>
      <c r="BD202" s="884" t="s">
        <v>341</v>
      </c>
      <c r="BE202" s="906" t="s">
        <v>103</v>
      </c>
      <c r="BF202" s="903">
        <v>90</v>
      </c>
      <c r="BG202" s="887"/>
      <c r="BH202" s="887"/>
      <c r="BI202" s="887"/>
      <c r="BJ202" s="887"/>
      <c r="BK202" s="887"/>
      <c r="BL202" s="887"/>
      <c r="BM202" s="887"/>
      <c r="BN202" s="887"/>
      <c r="BO202" s="887"/>
      <c r="BP202" s="887"/>
      <c r="BQ202" s="887"/>
      <c r="BR202" s="887"/>
      <c r="BS202" s="887"/>
      <c r="BT202" s="887"/>
      <c r="BU202" s="800"/>
      <c r="BV202" s="800"/>
      <c r="BW202" s="800"/>
      <c r="BX202" s="800"/>
      <c r="BY202" s="800"/>
      <c r="BZ202" s="800"/>
      <c r="CA202" s="800"/>
      <c r="CB202" s="813"/>
      <c r="CC202" s="813"/>
    </row>
    <row r="203" spans="32:81" ht="14.25">
      <c r="BA203" s="887"/>
      <c r="BB203" s="887"/>
      <c r="BC203" s="906"/>
      <c r="BD203" s="884" t="s">
        <v>343</v>
      </c>
      <c r="BE203" s="906" t="s">
        <v>245</v>
      </c>
      <c r="BF203" s="903">
        <v>600</v>
      </c>
      <c r="BG203" s="887"/>
      <c r="BH203" s="887"/>
      <c r="BI203" s="887"/>
      <c r="BJ203" s="887"/>
      <c r="BK203" s="887"/>
      <c r="BL203" s="887"/>
      <c r="BM203" s="887"/>
      <c r="BN203" s="887"/>
      <c r="BO203" s="887"/>
      <c r="BP203" s="887"/>
      <c r="BQ203" s="887"/>
      <c r="BR203" s="887"/>
      <c r="BS203" s="887"/>
      <c r="BT203" s="887"/>
      <c r="BU203" s="800"/>
      <c r="BV203" s="800"/>
      <c r="BW203" s="800"/>
      <c r="BX203" s="800"/>
      <c r="BY203" s="800"/>
      <c r="BZ203" s="800"/>
      <c r="CA203" s="800"/>
      <c r="CB203" s="813"/>
      <c r="CC203" s="813"/>
    </row>
    <row r="204" spans="32:81" ht="14.25">
      <c r="BA204" s="887"/>
      <c r="BB204" s="887"/>
      <c r="BC204" s="906"/>
      <c r="BD204" s="884" t="s">
        <v>345</v>
      </c>
      <c r="BE204" s="906" t="s">
        <v>104</v>
      </c>
      <c r="BF204" s="903">
        <v>600</v>
      </c>
      <c r="BG204" s="887"/>
      <c r="BH204" s="887"/>
      <c r="BI204" s="887"/>
      <c r="BJ204" s="887"/>
      <c r="BK204" s="887"/>
      <c r="BL204" s="887"/>
      <c r="BM204" s="887"/>
      <c r="BN204" s="887"/>
      <c r="BO204" s="887"/>
      <c r="BP204" s="887"/>
      <c r="BQ204" s="887"/>
      <c r="BR204" s="887"/>
      <c r="BS204" s="887"/>
      <c r="BT204" s="887"/>
      <c r="BU204" s="800"/>
      <c r="BV204" s="800"/>
      <c r="BW204" s="800"/>
      <c r="BX204" s="800"/>
      <c r="BY204" s="800"/>
      <c r="BZ204" s="800"/>
      <c r="CA204" s="800"/>
      <c r="CB204" s="813"/>
      <c r="CC204" s="813"/>
    </row>
    <row r="205" spans="32:81" ht="14.25">
      <c r="BA205" s="887"/>
      <c r="BB205" s="887"/>
      <c r="BC205" s="906"/>
      <c r="BD205" s="884" t="s">
        <v>347</v>
      </c>
      <c r="BE205" s="906" t="s">
        <v>105</v>
      </c>
      <c r="BF205" s="903">
        <v>600</v>
      </c>
      <c r="BG205" s="887"/>
      <c r="BH205" s="887"/>
      <c r="BI205" s="887"/>
      <c r="BJ205" s="887"/>
      <c r="BK205" s="887"/>
      <c r="BL205" s="887"/>
      <c r="BM205" s="887"/>
      <c r="BN205" s="887"/>
      <c r="BO205" s="887"/>
      <c r="BP205" s="887"/>
      <c r="BQ205" s="887"/>
      <c r="BR205" s="887"/>
      <c r="BS205" s="887"/>
      <c r="BT205" s="887"/>
      <c r="BU205" s="800"/>
      <c r="BV205" s="800"/>
      <c r="BW205" s="800"/>
      <c r="BX205" s="800"/>
      <c r="BY205" s="800"/>
      <c r="BZ205" s="800"/>
      <c r="CA205" s="800"/>
      <c r="CB205" s="813"/>
      <c r="CC205" s="813"/>
    </row>
    <row r="206" spans="32:81" ht="14.25">
      <c r="BA206" s="887"/>
      <c r="BB206" s="887"/>
      <c r="BC206" s="906"/>
      <c r="BD206" s="884" t="s">
        <v>349</v>
      </c>
      <c r="BE206" s="906" t="s">
        <v>247</v>
      </c>
      <c r="BF206" s="903">
        <v>600</v>
      </c>
      <c r="BG206" s="887"/>
      <c r="BH206" s="887"/>
      <c r="BI206" s="887"/>
      <c r="BJ206" s="887"/>
      <c r="BK206" s="887"/>
      <c r="BL206" s="887"/>
      <c r="BM206" s="887"/>
      <c r="BN206" s="887"/>
      <c r="BO206" s="887"/>
      <c r="BP206" s="887"/>
      <c r="BQ206" s="887"/>
      <c r="BR206" s="887"/>
      <c r="BS206" s="887"/>
      <c r="BT206" s="887"/>
      <c r="BU206" s="800"/>
      <c r="BV206" s="800"/>
      <c r="BW206" s="800"/>
      <c r="BX206" s="800"/>
      <c r="BY206" s="800"/>
      <c r="BZ206" s="800"/>
      <c r="CA206" s="800"/>
      <c r="CB206" s="813"/>
      <c r="CC206" s="813"/>
    </row>
    <row r="207" spans="32:81" ht="14.25">
      <c r="BA207" s="887"/>
      <c r="BB207" s="887"/>
      <c r="BC207" s="904"/>
      <c r="BD207" s="884" t="s">
        <v>2885</v>
      </c>
      <c r="BE207" s="906" t="s">
        <v>2920</v>
      </c>
      <c r="BF207" s="903">
        <v>500</v>
      </c>
      <c r="BG207" s="887"/>
      <c r="BH207" s="887"/>
      <c r="BI207" s="887"/>
      <c r="BJ207" s="887"/>
      <c r="BK207" s="887"/>
      <c r="BL207" s="887"/>
      <c r="BM207" s="887"/>
      <c r="BN207" s="887"/>
      <c r="BO207" s="887"/>
      <c r="BP207" s="887"/>
      <c r="BQ207" s="887"/>
      <c r="BR207" s="887"/>
      <c r="BS207" s="887"/>
      <c r="BT207" s="887"/>
      <c r="BU207" s="800"/>
      <c r="BV207" s="800"/>
      <c r="BW207" s="800"/>
      <c r="BX207" s="800"/>
      <c r="BY207" s="800"/>
      <c r="BZ207" s="800"/>
      <c r="CA207" s="800"/>
      <c r="CB207" s="813"/>
      <c r="CC207" s="813"/>
    </row>
    <row r="208" spans="32:81" ht="14.25">
      <c r="BA208" s="887"/>
      <c r="BB208" s="887"/>
      <c r="BC208" s="906"/>
      <c r="BD208" s="884" t="s">
        <v>352</v>
      </c>
      <c r="BE208" s="906" t="s">
        <v>106</v>
      </c>
      <c r="BF208" s="903">
        <v>600</v>
      </c>
      <c r="BG208" s="887"/>
      <c r="BH208" s="887"/>
      <c r="BI208" s="887"/>
      <c r="BJ208" s="887"/>
      <c r="BK208" s="887"/>
      <c r="BL208" s="887"/>
      <c r="BM208" s="887"/>
      <c r="BN208" s="887"/>
      <c r="BO208" s="887"/>
      <c r="BP208" s="887"/>
      <c r="BQ208" s="887"/>
      <c r="BR208" s="887"/>
      <c r="BS208" s="887"/>
      <c r="BT208" s="887"/>
      <c r="BU208" s="800"/>
      <c r="BV208" s="800"/>
      <c r="BW208" s="800"/>
      <c r="BX208" s="800"/>
      <c r="BY208" s="800"/>
      <c r="BZ208" s="800"/>
      <c r="CA208" s="800"/>
      <c r="CB208" s="813"/>
      <c r="CC208" s="813"/>
    </row>
    <row r="209" spans="53:81" ht="14.25">
      <c r="BA209" s="887"/>
      <c r="BB209" s="887"/>
      <c r="BC209" s="906"/>
      <c r="BD209" s="884" t="s">
        <v>354</v>
      </c>
      <c r="BE209" s="906" t="s">
        <v>246</v>
      </c>
      <c r="BF209" s="903">
        <v>750</v>
      </c>
      <c r="BG209" s="887"/>
      <c r="BH209" s="887"/>
      <c r="BI209" s="887"/>
      <c r="BJ209" s="887"/>
      <c r="BK209" s="887"/>
      <c r="BL209" s="887"/>
      <c r="BM209" s="887"/>
      <c r="BN209" s="887"/>
      <c r="BO209" s="887"/>
      <c r="BP209" s="887"/>
      <c r="BQ209" s="887"/>
      <c r="BR209" s="887"/>
      <c r="BS209" s="887"/>
      <c r="BT209" s="887"/>
      <c r="BU209" s="800"/>
      <c r="BV209" s="800"/>
      <c r="BW209" s="800"/>
      <c r="BX209" s="800"/>
      <c r="BY209" s="800"/>
      <c r="BZ209" s="800"/>
      <c r="CA209" s="800"/>
      <c r="CB209" s="813"/>
      <c r="CC209" s="813"/>
    </row>
    <row r="210" spans="53:81" ht="14.25">
      <c r="BA210" s="887"/>
      <c r="BB210" s="887"/>
      <c r="BC210" s="906"/>
      <c r="BD210" s="884" t="s">
        <v>356</v>
      </c>
      <c r="BE210" s="906" t="s">
        <v>107</v>
      </c>
      <c r="BF210" s="903">
        <v>100</v>
      </c>
      <c r="BG210" s="887"/>
      <c r="BH210" s="887"/>
      <c r="BI210" s="887"/>
      <c r="BJ210" s="887"/>
      <c r="BK210" s="887"/>
      <c r="BL210" s="887"/>
      <c r="BM210" s="887"/>
      <c r="BN210" s="887"/>
      <c r="BO210" s="887"/>
      <c r="BP210" s="887"/>
      <c r="BQ210" s="887"/>
      <c r="BR210" s="887"/>
      <c r="BS210" s="887"/>
      <c r="BT210" s="887"/>
      <c r="BU210" s="800"/>
      <c r="BV210" s="800"/>
      <c r="BW210" s="800"/>
      <c r="BX210" s="800"/>
      <c r="BY210" s="800"/>
      <c r="BZ210" s="800"/>
      <c r="CA210" s="800"/>
      <c r="CB210" s="813"/>
      <c r="CC210" s="813"/>
    </row>
    <row r="211" spans="53:81" ht="14.25">
      <c r="BA211" s="887"/>
      <c r="BB211" s="887"/>
      <c r="BC211" s="906"/>
      <c r="BD211" s="884" t="s">
        <v>364</v>
      </c>
      <c r="BE211" s="906" t="s">
        <v>248</v>
      </c>
      <c r="BF211" s="903">
        <v>50</v>
      </c>
      <c r="BG211" s="887"/>
      <c r="BH211" s="887"/>
      <c r="BI211" s="887"/>
      <c r="BJ211" s="887"/>
      <c r="BK211" s="887"/>
      <c r="BL211" s="887"/>
      <c r="BM211" s="887"/>
      <c r="BN211" s="887"/>
      <c r="BO211" s="887"/>
      <c r="BP211" s="887"/>
      <c r="BQ211" s="887"/>
      <c r="BR211" s="887"/>
      <c r="BS211" s="887"/>
      <c r="BT211" s="887"/>
      <c r="BU211" s="800"/>
      <c r="BV211" s="800"/>
      <c r="BW211" s="800"/>
      <c r="BX211" s="800"/>
      <c r="BY211" s="800"/>
      <c r="BZ211" s="800"/>
      <c r="CA211" s="800"/>
      <c r="CB211" s="813"/>
      <c r="CC211" s="813"/>
    </row>
    <row r="212" spans="53:81" ht="14.25">
      <c r="BA212" s="887"/>
      <c r="BB212" s="887"/>
      <c r="BC212" s="906"/>
      <c r="BD212" s="884" t="s">
        <v>365</v>
      </c>
      <c r="BE212" s="906" t="s">
        <v>249</v>
      </c>
      <c r="BF212" s="903">
        <v>70</v>
      </c>
      <c r="BG212" s="887"/>
      <c r="BH212" s="887"/>
      <c r="BI212" s="887"/>
      <c r="BJ212" s="887"/>
      <c r="BK212" s="887"/>
      <c r="BL212" s="887"/>
      <c r="BM212" s="887"/>
      <c r="BN212" s="887"/>
      <c r="BO212" s="887"/>
      <c r="BP212" s="887"/>
      <c r="BQ212" s="887"/>
      <c r="BR212" s="887"/>
      <c r="BS212" s="887"/>
      <c r="BT212" s="887"/>
      <c r="BU212" s="800"/>
      <c r="BV212" s="800"/>
      <c r="BW212" s="800"/>
      <c r="BX212" s="800"/>
      <c r="BY212" s="800"/>
      <c r="BZ212" s="800"/>
      <c r="CA212" s="800"/>
      <c r="CB212" s="813"/>
      <c r="CC212" s="813"/>
    </row>
    <row r="213" spans="53:81" ht="14.25">
      <c r="BA213" s="887"/>
      <c r="BB213" s="887"/>
      <c r="BC213" s="906"/>
      <c r="BD213" s="884" t="s">
        <v>367</v>
      </c>
      <c r="BE213" s="906" t="s">
        <v>250</v>
      </c>
      <c r="BF213" s="903">
        <v>50</v>
      </c>
      <c r="BG213" s="887"/>
      <c r="BH213" s="887"/>
      <c r="BI213" s="887"/>
      <c r="BJ213" s="887"/>
      <c r="BK213" s="887"/>
      <c r="BL213" s="887"/>
      <c r="BM213" s="887"/>
      <c r="BN213" s="887"/>
      <c r="BO213" s="887"/>
      <c r="BP213" s="887"/>
      <c r="BQ213" s="887"/>
      <c r="BR213" s="887"/>
      <c r="BS213" s="887"/>
      <c r="BT213" s="887"/>
      <c r="BU213" s="800"/>
      <c r="BV213" s="800"/>
      <c r="BW213" s="800"/>
      <c r="BX213" s="800"/>
      <c r="BY213" s="800"/>
      <c r="BZ213" s="800"/>
      <c r="CA213" s="800"/>
      <c r="CB213" s="813"/>
      <c r="CC213" s="813"/>
    </row>
    <row r="214" spans="53:81" ht="28.5">
      <c r="BA214" s="887"/>
      <c r="BB214" s="887"/>
      <c r="BC214" s="906"/>
      <c r="BD214" s="884" t="s">
        <v>369</v>
      </c>
      <c r="BE214" s="906" t="s">
        <v>251</v>
      </c>
      <c r="BF214" s="903">
        <v>110</v>
      </c>
      <c r="BG214" s="887"/>
      <c r="BH214" s="887"/>
      <c r="BI214" s="887"/>
      <c r="BJ214" s="887"/>
      <c r="BK214" s="887"/>
      <c r="BL214" s="887"/>
      <c r="BM214" s="887"/>
      <c r="BN214" s="887"/>
      <c r="BO214" s="887"/>
      <c r="BP214" s="887"/>
      <c r="BQ214" s="887"/>
      <c r="BR214" s="887"/>
      <c r="BS214" s="887"/>
      <c r="BT214" s="887"/>
      <c r="BU214" s="800"/>
      <c r="BV214" s="800"/>
      <c r="BW214" s="800"/>
      <c r="BX214" s="800"/>
      <c r="BY214" s="800"/>
      <c r="BZ214" s="800"/>
      <c r="CA214" s="800"/>
      <c r="CB214" s="813"/>
      <c r="CC214" s="813"/>
    </row>
    <row r="215" spans="53:81" ht="14.25">
      <c r="BA215" s="887"/>
      <c r="BB215" s="887"/>
      <c r="BC215" s="906"/>
      <c r="BD215" s="893" t="s">
        <v>371</v>
      </c>
      <c r="BE215" s="904" t="s">
        <v>252</v>
      </c>
      <c r="BF215" s="903">
        <v>100</v>
      </c>
      <c r="BG215" s="887"/>
      <c r="BH215" s="887"/>
      <c r="BI215" s="887"/>
      <c r="BJ215" s="887"/>
      <c r="BK215" s="887"/>
      <c r="BL215" s="887"/>
      <c r="BM215" s="887"/>
      <c r="BN215" s="887"/>
      <c r="BO215" s="887"/>
      <c r="BP215" s="887"/>
      <c r="BQ215" s="887"/>
      <c r="BR215" s="887"/>
      <c r="BS215" s="887"/>
      <c r="BT215" s="887"/>
      <c r="BU215" s="800"/>
      <c r="BV215" s="800"/>
      <c r="BW215" s="800"/>
      <c r="BX215" s="800"/>
      <c r="BY215" s="800"/>
      <c r="BZ215" s="800"/>
      <c r="CA215" s="800"/>
      <c r="CB215" s="813"/>
      <c r="CC215" s="813"/>
    </row>
    <row r="216" spans="53:81" ht="14.25">
      <c r="BA216" s="887"/>
      <c r="BB216" s="887"/>
      <c r="BC216" s="906"/>
      <c r="BD216" s="884" t="s">
        <v>373</v>
      </c>
      <c r="BE216" s="906" t="s">
        <v>253</v>
      </c>
      <c r="BF216" s="903">
        <v>150</v>
      </c>
      <c r="BG216" s="887"/>
      <c r="BH216" s="887"/>
      <c r="BI216" s="887"/>
      <c r="BJ216" s="887"/>
      <c r="BK216" s="887"/>
      <c r="BL216" s="887"/>
      <c r="BM216" s="887"/>
      <c r="BN216" s="887"/>
      <c r="BO216" s="887"/>
      <c r="BP216" s="887"/>
      <c r="BQ216" s="887"/>
      <c r="BR216" s="887"/>
      <c r="BS216" s="887"/>
      <c r="BT216" s="887"/>
      <c r="BU216" s="800"/>
      <c r="BV216" s="800"/>
      <c r="BW216" s="800"/>
      <c r="BX216" s="800"/>
      <c r="BY216" s="800"/>
      <c r="BZ216" s="800"/>
      <c r="CA216" s="800"/>
      <c r="CB216" s="813"/>
      <c r="CC216" s="813"/>
    </row>
    <row r="217" spans="53:81" ht="14.25">
      <c r="BA217" s="887"/>
      <c r="BB217" s="887"/>
      <c r="BC217" s="906"/>
      <c r="BD217" s="884" t="s">
        <v>375</v>
      </c>
      <c r="BE217" s="906" t="s">
        <v>119</v>
      </c>
      <c r="BF217" s="903">
        <v>150</v>
      </c>
      <c r="BG217" s="887"/>
      <c r="BH217" s="887"/>
      <c r="BI217" s="887"/>
      <c r="BJ217" s="887"/>
      <c r="BK217" s="887"/>
      <c r="BL217" s="887"/>
      <c r="BM217" s="887"/>
      <c r="BN217" s="887"/>
      <c r="BO217" s="887"/>
      <c r="BP217" s="887"/>
      <c r="BQ217" s="887"/>
      <c r="BR217" s="887"/>
      <c r="BS217" s="887"/>
      <c r="BT217" s="887"/>
      <c r="BU217" s="800"/>
      <c r="BV217" s="800"/>
      <c r="BW217" s="800"/>
      <c r="BX217" s="800"/>
      <c r="BY217" s="800"/>
      <c r="BZ217" s="800"/>
      <c r="CA217" s="800"/>
      <c r="CB217" s="813"/>
      <c r="CC217" s="813"/>
    </row>
    <row r="218" spans="53:81" ht="14.25">
      <c r="BA218" s="84"/>
      <c r="BB218" s="84"/>
      <c r="BC218" s="23"/>
      <c r="BD218" s="18" t="s">
        <v>3078</v>
      </c>
      <c r="BE218" s="18" t="s">
        <v>3079</v>
      </c>
      <c r="BF218" s="903">
        <v>90</v>
      </c>
      <c r="BG218" s="84"/>
      <c r="BH218" s="84"/>
      <c r="BI218" s="84"/>
      <c r="BJ218" s="84"/>
      <c r="BK218" s="84"/>
      <c r="BL218" s="84"/>
      <c r="BM218" s="84"/>
      <c r="BN218" s="84"/>
      <c r="BO218" s="84"/>
      <c r="BP218" s="84"/>
      <c r="BQ218" s="84"/>
      <c r="BR218" s="84"/>
      <c r="BS218" s="84"/>
      <c r="BT218" s="84"/>
      <c r="BU218" s="813"/>
      <c r="BV218" s="813"/>
      <c r="BW218" s="813"/>
      <c r="BX218" s="813"/>
      <c r="BY218" s="813"/>
      <c r="BZ218" s="813"/>
      <c r="CA218" s="813"/>
      <c r="CB218" s="813"/>
      <c r="CC218" s="813"/>
    </row>
    <row r="219" spans="53:81" ht="14.25">
      <c r="BA219" s="84"/>
      <c r="BB219" s="84"/>
      <c r="BC219" s="23"/>
      <c r="BD219" s="19"/>
      <c r="BE219" s="84"/>
      <c r="BF219" s="84"/>
      <c r="BG219" s="84"/>
      <c r="BH219" s="84"/>
      <c r="BI219" s="84"/>
      <c r="BJ219" s="84"/>
      <c r="BK219" s="84"/>
      <c r="BL219" s="84"/>
      <c r="BM219" s="84"/>
      <c r="BN219" s="84"/>
      <c r="BO219" s="84"/>
      <c r="BP219" s="84"/>
      <c r="BQ219" s="84"/>
      <c r="BR219" s="84"/>
      <c r="BS219" s="84"/>
      <c r="BT219" s="84"/>
      <c r="BU219" s="813"/>
      <c r="BV219" s="813"/>
      <c r="BW219" s="813"/>
      <c r="BX219" s="813"/>
      <c r="BY219" s="813"/>
      <c r="BZ219" s="813"/>
      <c r="CA219" s="813"/>
      <c r="CB219" s="813"/>
      <c r="CC219" s="813"/>
    </row>
    <row r="220" spans="53:81" ht="14.25">
      <c r="BA220" s="84"/>
      <c r="BB220" s="84"/>
      <c r="BC220" s="23"/>
      <c r="BD220" s="909"/>
      <c r="BE220" s="84"/>
      <c r="BF220" s="84"/>
      <c r="BG220" s="84"/>
      <c r="BH220" s="84"/>
      <c r="BI220" s="84"/>
      <c r="BJ220" s="84"/>
      <c r="BK220" s="84"/>
      <c r="BL220" s="84"/>
      <c r="BM220" s="84"/>
      <c r="BN220" s="84"/>
      <c r="BO220" s="84"/>
      <c r="BP220" s="84"/>
      <c r="BQ220" s="84"/>
      <c r="BR220" s="84"/>
      <c r="BS220" s="84"/>
      <c r="BT220" s="84"/>
      <c r="BU220" s="813"/>
      <c r="BV220" s="813"/>
      <c r="BW220" s="813"/>
      <c r="BX220" s="813"/>
      <c r="BY220" s="813"/>
      <c r="BZ220" s="813"/>
      <c r="CA220" s="813"/>
      <c r="CB220" s="813"/>
      <c r="CC220" s="813"/>
    </row>
    <row r="221" spans="53:81" ht="14.25">
      <c r="BA221" s="84"/>
      <c r="BB221" s="84"/>
      <c r="BC221" s="18"/>
      <c r="BD221" s="84"/>
      <c r="BE221" s="84"/>
      <c r="BF221" s="84"/>
      <c r="BG221" s="84"/>
      <c r="BH221" s="84"/>
      <c r="BI221" s="84"/>
      <c r="BJ221" s="84"/>
      <c r="BK221" s="84"/>
      <c r="BL221" s="84"/>
      <c r="BM221" s="84"/>
      <c r="BN221" s="84"/>
      <c r="BO221" s="84"/>
      <c r="BP221" s="84"/>
      <c r="BQ221" s="84"/>
      <c r="BR221" s="84"/>
      <c r="BS221" s="84"/>
      <c r="BT221" s="84"/>
      <c r="BU221" s="813"/>
      <c r="BV221" s="813"/>
      <c r="BW221" s="813"/>
      <c r="BX221" s="813"/>
      <c r="BY221" s="813"/>
      <c r="BZ221" s="813"/>
      <c r="CA221" s="813"/>
      <c r="CB221" s="813"/>
      <c r="CC221" s="813"/>
    </row>
    <row r="222" spans="53:81" ht="14.25">
      <c r="BA222" s="84"/>
      <c r="BB222" s="84"/>
      <c r="BC222" s="23"/>
      <c r="BD222" s="84"/>
      <c r="BE222" s="84"/>
      <c r="BF222" s="84"/>
      <c r="BG222" s="84"/>
      <c r="BH222" s="84"/>
      <c r="BI222" s="84"/>
      <c r="BJ222" s="84"/>
      <c r="BK222" s="84"/>
      <c r="BL222" s="84"/>
      <c r="BM222" s="84"/>
      <c r="BN222" s="84"/>
      <c r="BO222" s="84"/>
      <c r="BP222" s="84"/>
      <c r="BQ222" s="84"/>
      <c r="BR222" s="84"/>
      <c r="BS222" s="84"/>
      <c r="BT222" s="84"/>
      <c r="BU222" s="813"/>
      <c r="BV222" s="813"/>
      <c r="BW222" s="813"/>
      <c r="BX222" s="813"/>
      <c r="BY222" s="813"/>
      <c r="BZ222" s="813"/>
      <c r="CA222" s="813"/>
      <c r="CB222" s="813"/>
      <c r="CC222" s="813"/>
    </row>
    <row r="223" spans="53:81" ht="14.25">
      <c r="BA223" s="84"/>
      <c r="BB223" s="84"/>
      <c r="BC223" s="23"/>
      <c r="BD223" s="84"/>
      <c r="BE223" s="84"/>
      <c r="BF223" s="84"/>
      <c r="BG223" s="84"/>
      <c r="BH223" s="84"/>
      <c r="BI223" s="84"/>
      <c r="BJ223" s="84"/>
      <c r="BK223" s="84"/>
      <c r="BL223" s="84"/>
      <c r="BM223" s="84"/>
      <c r="BN223" s="84"/>
      <c r="BO223" s="84"/>
      <c r="BP223" s="84"/>
      <c r="BQ223" s="84"/>
      <c r="BR223" s="84"/>
      <c r="BS223" s="84"/>
      <c r="BT223" s="84"/>
      <c r="BU223" s="813"/>
      <c r="BV223" s="813"/>
      <c r="BW223" s="813"/>
      <c r="BX223" s="813"/>
      <c r="BY223" s="813"/>
      <c r="BZ223" s="813"/>
      <c r="CA223" s="813"/>
      <c r="CB223" s="813"/>
      <c r="CC223" s="813"/>
    </row>
    <row r="224" spans="53:81" ht="14.25">
      <c r="BA224" s="84"/>
      <c r="BB224" s="84"/>
      <c r="BC224" s="23"/>
      <c r="BD224" s="84"/>
      <c r="BE224" s="84"/>
      <c r="BF224" s="84"/>
      <c r="BG224" s="84"/>
      <c r="BH224" s="84"/>
      <c r="BI224" s="84"/>
      <c r="BJ224" s="84"/>
      <c r="BK224" s="84"/>
      <c r="BL224" s="84"/>
      <c r="BM224" s="84"/>
      <c r="BN224" s="84"/>
      <c r="BO224" s="84"/>
      <c r="BP224" s="84"/>
      <c r="BQ224" s="84"/>
      <c r="BR224" s="84"/>
      <c r="BS224" s="84"/>
      <c r="BT224" s="84"/>
      <c r="BU224" s="813"/>
      <c r="BV224" s="813"/>
      <c r="BW224" s="813"/>
      <c r="BX224" s="813"/>
      <c r="BY224" s="813"/>
      <c r="BZ224" s="813"/>
      <c r="CA224" s="813"/>
      <c r="CB224" s="813"/>
      <c r="CC224" s="813"/>
    </row>
    <row r="225" spans="53:72" ht="14.25">
      <c r="BA225" s="83"/>
      <c r="BB225" s="83"/>
      <c r="BC225" s="23"/>
      <c r="BD225" s="83"/>
      <c r="BE225" s="83"/>
      <c r="BF225" s="83"/>
      <c r="BG225" s="83"/>
      <c r="BH225" s="83"/>
      <c r="BI225" s="83"/>
      <c r="BJ225" s="83"/>
      <c r="BK225" s="83"/>
      <c r="BL225" s="83"/>
      <c r="BM225" s="83"/>
      <c r="BN225" s="83"/>
      <c r="BO225" s="83"/>
      <c r="BP225" s="83"/>
      <c r="BQ225" s="83"/>
      <c r="BR225" s="83"/>
      <c r="BS225" s="83"/>
      <c r="BT225" s="83"/>
    </row>
    <row r="226" spans="53:72" ht="14.25">
      <c r="BA226" s="83"/>
      <c r="BB226" s="83"/>
      <c r="BC226" s="23"/>
      <c r="BD226" s="83"/>
      <c r="BE226" s="83"/>
      <c r="BF226" s="83"/>
      <c r="BG226" s="83"/>
      <c r="BH226" s="83"/>
      <c r="BI226" s="83"/>
      <c r="BJ226" s="83"/>
      <c r="BK226" s="83"/>
      <c r="BL226" s="83"/>
      <c r="BM226" s="83"/>
      <c r="BN226" s="83"/>
      <c r="BO226" s="83"/>
      <c r="BP226" s="83"/>
      <c r="BQ226" s="83"/>
      <c r="BR226" s="83"/>
      <c r="BS226" s="83"/>
      <c r="BT226" s="83"/>
    </row>
    <row r="227" spans="53:72">
      <c r="BA227" s="83"/>
      <c r="BB227" s="83"/>
      <c r="BC227" s="83"/>
      <c r="BD227" s="83"/>
      <c r="BE227" s="83"/>
      <c r="BF227" s="83"/>
      <c r="BG227" s="83"/>
      <c r="BH227" s="83"/>
      <c r="BI227" s="83"/>
      <c r="BJ227" s="83"/>
      <c r="BK227" s="83"/>
      <c r="BL227" s="83"/>
      <c r="BM227" s="83"/>
      <c r="BN227" s="83"/>
      <c r="BO227" s="83"/>
      <c r="BP227" s="83"/>
      <c r="BQ227" s="83"/>
      <c r="BR227" s="83"/>
      <c r="BS227" s="83"/>
      <c r="BT227" s="83"/>
    </row>
    <row r="228" spans="53:72">
      <c r="BA228" s="83"/>
      <c r="BB228" s="83"/>
      <c r="BC228" s="83"/>
      <c r="BD228" s="83"/>
      <c r="BE228" s="83"/>
      <c r="BF228" s="83"/>
      <c r="BG228" s="83"/>
      <c r="BH228" s="83"/>
      <c r="BI228" s="83"/>
      <c r="BJ228" s="83"/>
      <c r="BK228" s="83"/>
      <c r="BL228" s="83"/>
      <c r="BM228" s="83"/>
      <c r="BN228" s="83"/>
      <c r="BO228" s="83"/>
      <c r="BP228" s="83"/>
      <c r="BQ228" s="83"/>
      <c r="BR228" s="83"/>
      <c r="BS228" s="83"/>
      <c r="BT228" s="83"/>
    </row>
  </sheetData>
  <sheetProtection algorithmName="SHA-512" hashValue="h6fw0+ACE0qab0FL5ijaieTLJIhGoVTMHzBYcm/ciUWyPw16fs1FytHx/2rF8oqtNl1clggFq003q751FaB3yg==" saltValue="UdaL5CVdgdcZShIvuF16hw==" spinCount="100000" sheet="1" selectLockedCells="1"/>
  <dataConsolidate/>
  <mergeCells count="498">
    <mergeCell ref="AU46:AU47"/>
    <mergeCell ref="AV46:AV47"/>
    <mergeCell ref="AW46:AW47"/>
    <mergeCell ref="AX46:AX47"/>
    <mergeCell ref="AY46:AY47"/>
    <mergeCell ref="AZ46:AZ47"/>
    <mergeCell ref="AS44:AS45"/>
    <mergeCell ref="AT44:AT45"/>
    <mergeCell ref="AU44:AU45"/>
    <mergeCell ref="AV44:AV45"/>
    <mergeCell ref="AW44:AW45"/>
    <mergeCell ref="AX44:AX45"/>
    <mergeCell ref="AY44:AY45"/>
    <mergeCell ref="AZ44:AZ45"/>
    <mergeCell ref="AA46:AA47"/>
    <mergeCell ref="AB46:AB47"/>
    <mergeCell ref="AC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T46:AT47"/>
    <mergeCell ref="C48:Z48"/>
    <mergeCell ref="AA42:AZ42"/>
    <mergeCell ref="AA43:AB43"/>
    <mergeCell ref="AC43:AG43"/>
    <mergeCell ref="AH43:AJ43"/>
    <mergeCell ref="AK43:AM43"/>
    <mergeCell ref="AN43:AP43"/>
    <mergeCell ref="AQ43:AS43"/>
    <mergeCell ref="AT43:AV43"/>
    <mergeCell ref="AW43:AZ43"/>
    <mergeCell ref="AA44:AA45"/>
    <mergeCell ref="AB44:AB45"/>
    <mergeCell ref="AC44:AG45"/>
    <mergeCell ref="AH44:AH45"/>
    <mergeCell ref="AI44:AI45"/>
    <mergeCell ref="AJ44:AJ45"/>
    <mergeCell ref="AK44:AK45"/>
    <mergeCell ref="AL44:AL45"/>
    <mergeCell ref="AM44:AM45"/>
    <mergeCell ref="AN44:AN45"/>
    <mergeCell ref="AO44:AO45"/>
    <mergeCell ref="AP44:AP45"/>
    <mergeCell ref="AQ44:AQ45"/>
    <mergeCell ref="AR44:AR45"/>
    <mergeCell ref="W43:Z43"/>
    <mergeCell ref="W44:W45"/>
    <mergeCell ref="X44:X45"/>
    <mergeCell ref="Z44:Z45"/>
    <mergeCell ref="W46:W47"/>
    <mergeCell ref="X46:X47"/>
    <mergeCell ref="Z46:Z47"/>
    <mergeCell ref="Y44:Y45"/>
    <mergeCell ref="Y46:Y47"/>
    <mergeCell ref="V44:V45"/>
    <mergeCell ref="H46:H47"/>
    <mergeCell ref="I46:I47"/>
    <mergeCell ref="J46:J47"/>
    <mergeCell ref="K46:K47"/>
    <mergeCell ref="L46:L47"/>
    <mergeCell ref="M46:M47"/>
    <mergeCell ref="N46:N47"/>
    <mergeCell ref="O46:O47"/>
    <mergeCell ref="P46:P47"/>
    <mergeCell ref="Q46:Q47"/>
    <mergeCell ref="R46:R47"/>
    <mergeCell ref="S46:S47"/>
    <mergeCell ref="T46:T47"/>
    <mergeCell ref="U46:U47"/>
    <mergeCell ref="V46:V47"/>
    <mergeCell ref="T43:V43"/>
    <mergeCell ref="H44:H45"/>
    <mergeCell ref="I44:I45"/>
    <mergeCell ref="K44:K45"/>
    <mergeCell ref="L44:L45"/>
    <mergeCell ref="M44:M45"/>
    <mergeCell ref="N44:N45"/>
    <mergeCell ref="O44:O45"/>
    <mergeCell ref="P44:P45"/>
    <mergeCell ref="Q44:Q45"/>
    <mergeCell ref="R44:R45"/>
    <mergeCell ref="S44:S45"/>
    <mergeCell ref="T44:T45"/>
    <mergeCell ref="U44:U45"/>
    <mergeCell ref="BP40:BQ40"/>
    <mergeCell ref="BM40:BN40"/>
    <mergeCell ref="AF40:AG40"/>
    <mergeCell ref="AH40:AK40"/>
    <mergeCell ref="AC40:AE40"/>
    <mergeCell ref="AP40:AQ40"/>
    <mergeCell ref="AN40:AO40"/>
    <mergeCell ref="AL40:AM40"/>
    <mergeCell ref="F40:G40"/>
    <mergeCell ref="H40:M40"/>
    <mergeCell ref="R40:S40"/>
    <mergeCell ref="P40:Q40"/>
    <mergeCell ref="N40:O40"/>
    <mergeCell ref="AS40:AZ40"/>
    <mergeCell ref="AS29:AZ29"/>
    <mergeCell ref="AS30:AZ30"/>
    <mergeCell ref="AS31:AZ31"/>
    <mergeCell ref="AS32:AZ32"/>
    <mergeCell ref="AS33:AZ33"/>
    <mergeCell ref="AS34:AZ34"/>
    <mergeCell ref="AS35:AZ35"/>
    <mergeCell ref="AS36:AZ36"/>
    <mergeCell ref="AS37:AZ37"/>
    <mergeCell ref="AF177:AJ177"/>
    <mergeCell ref="AF178:AJ178"/>
    <mergeCell ref="AF179:AJ179"/>
    <mergeCell ref="AF180:AJ180"/>
    <mergeCell ref="AF26:AG28"/>
    <mergeCell ref="AH26:AK28"/>
    <mergeCell ref="AF190:AJ190"/>
    <mergeCell ref="AF197:AJ197"/>
    <mergeCell ref="AF165:AJ165"/>
    <mergeCell ref="AF166:AJ166"/>
    <mergeCell ref="AF167:AJ167"/>
    <mergeCell ref="AF168:AJ168"/>
    <mergeCell ref="AF169:AJ169"/>
    <mergeCell ref="AF170:AJ170"/>
    <mergeCell ref="AF159:AJ159"/>
    <mergeCell ref="AF160:AJ160"/>
    <mergeCell ref="AF161:AJ161"/>
    <mergeCell ref="AF162:AJ162"/>
    <mergeCell ref="AF163:AJ163"/>
    <mergeCell ref="AF164:AJ164"/>
    <mergeCell ref="AF153:AJ153"/>
    <mergeCell ref="AF154:AJ154"/>
    <mergeCell ref="AF155:AJ155"/>
    <mergeCell ref="AF156:AJ156"/>
    <mergeCell ref="AF200:AJ200"/>
    <mergeCell ref="AF191:AJ191"/>
    <mergeCell ref="AF192:AJ192"/>
    <mergeCell ref="AF193:AJ193"/>
    <mergeCell ref="AF194:AJ194"/>
    <mergeCell ref="AF196:AJ196"/>
    <mergeCell ref="AF181:AJ181"/>
    <mergeCell ref="AF182:AJ182"/>
    <mergeCell ref="AF171:AJ171"/>
    <mergeCell ref="AF172:AJ172"/>
    <mergeCell ref="AF173:AJ173"/>
    <mergeCell ref="AF174:AJ174"/>
    <mergeCell ref="AF175:AJ175"/>
    <mergeCell ref="AF176:AJ176"/>
    <mergeCell ref="AF198:AJ198"/>
    <mergeCell ref="AF183:AJ183"/>
    <mergeCell ref="AF184:AJ184"/>
    <mergeCell ref="AF185:AJ185"/>
    <mergeCell ref="AF186:AJ186"/>
    <mergeCell ref="AF187:AJ187"/>
    <mergeCell ref="AF188:AJ188"/>
    <mergeCell ref="AF195:AJ195"/>
    <mergeCell ref="AF199:AJ199"/>
    <mergeCell ref="AF189:AJ189"/>
    <mergeCell ref="AF157:AJ157"/>
    <mergeCell ref="AF158:AJ158"/>
    <mergeCell ref="AF147:AJ147"/>
    <mergeCell ref="AF148:AJ148"/>
    <mergeCell ref="AF149:AJ149"/>
    <mergeCell ref="AF150:AJ150"/>
    <mergeCell ref="AF151:AJ151"/>
    <mergeCell ref="AF152:AJ152"/>
    <mergeCell ref="AF141:AJ141"/>
    <mergeCell ref="AF142:AJ142"/>
    <mergeCell ref="AF143:AJ143"/>
    <mergeCell ref="AF144:AJ144"/>
    <mergeCell ref="AF145:AJ145"/>
    <mergeCell ref="AF146:AJ146"/>
    <mergeCell ref="AF135:AJ135"/>
    <mergeCell ref="AF136:AJ136"/>
    <mergeCell ref="AF137:AJ137"/>
    <mergeCell ref="AF138:AJ138"/>
    <mergeCell ref="AF139:AJ139"/>
    <mergeCell ref="AF140:AJ140"/>
    <mergeCell ref="AF129:AJ129"/>
    <mergeCell ref="AF130:AJ130"/>
    <mergeCell ref="AF131:AJ131"/>
    <mergeCell ref="AF132:AJ132"/>
    <mergeCell ref="AF133:AJ133"/>
    <mergeCell ref="AF134:AJ134"/>
    <mergeCell ref="AF123:AJ123"/>
    <mergeCell ref="AF124:AJ124"/>
    <mergeCell ref="AF125:AJ125"/>
    <mergeCell ref="AF126:AJ126"/>
    <mergeCell ref="AF127:AJ127"/>
    <mergeCell ref="AF128:AJ128"/>
    <mergeCell ref="A54:J54"/>
    <mergeCell ref="AF122:AJ122"/>
    <mergeCell ref="U40:Z40"/>
    <mergeCell ref="C40:E40"/>
    <mergeCell ref="A42:Z42"/>
    <mergeCell ref="A46:A47"/>
    <mergeCell ref="B46:B47"/>
    <mergeCell ref="A44:A45"/>
    <mergeCell ref="B44:B45"/>
    <mergeCell ref="A43:B43"/>
    <mergeCell ref="C43:G43"/>
    <mergeCell ref="C44:G45"/>
    <mergeCell ref="C46:G47"/>
    <mergeCell ref="H43:J43"/>
    <mergeCell ref="K43:M43"/>
    <mergeCell ref="J44:J45"/>
    <mergeCell ref="N43:P43"/>
    <mergeCell ref="Q43:S43"/>
    <mergeCell ref="BM39:BN39"/>
    <mergeCell ref="BP39:BQ39"/>
    <mergeCell ref="AL39:AM39"/>
    <mergeCell ref="AN39:AO39"/>
    <mergeCell ref="AP39:AQ39"/>
    <mergeCell ref="N39:O39"/>
    <mergeCell ref="P39:Q39"/>
    <mergeCell ref="R39:S39"/>
    <mergeCell ref="U39:Z39"/>
    <mergeCell ref="AC39:AE39"/>
    <mergeCell ref="AF39:AG39"/>
    <mergeCell ref="AH39:AK39"/>
    <mergeCell ref="AS39:AZ39"/>
    <mergeCell ref="BM37:BN37"/>
    <mergeCell ref="BP37:BQ37"/>
    <mergeCell ref="N38:O38"/>
    <mergeCell ref="P38:Q38"/>
    <mergeCell ref="R38:S38"/>
    <mergeCell ref="AL37:AM37"/>
    <mergeCell ref="AN37:AO37"/>
    <mergeCell ref="AP37:AQ37"/>
    <mergeCell ref="BM38:BN38"/>
    <mergeCell ref="N37:O37"/>
    <mergeCell ref="P37:Q37"/>
    <mergeCell ref="R37:S37"/>
    <mergeCell ref="U37:Z37"/>
    <mergeCell ref="AC37:AE37"/>
    <mergeCell ref="AH37:AK37"/>
    <mergeCell ref="BP38:BQ38"/>
    <mergeCell ref="U38:Z38"/>
    <mergeCell ref="AL38:AM38"/>
    <mergeCell ref="AN38:AO38"/>
    <mergeCell ref="AP38:AQ38"/>
    <mergeCell ref="AS38:AZ38"/>
    <mergeCell ref="AF37:AG37"/>
    <mergeCell ref="BM36:BN36"/>
    <mergeCell ref="AF35:AG35"/>
    <mergeCell ref="AF36:AG36"/>
    <mergeCell ref="BP34:BQ34"/>
    <mergeCell ref="U34:Z34"/>
    <mergeCell ref="AL34:AM34"/>
    <mergeCell ref="AN34:AO34"/>
    <mergeCell ref="AP34:AQ34"/>
    <mergeCell ref="AC34:AE34"/>
    <mergeCell ref="AH34:AK34"/>
    <mergeCell ref="AF34:AG34"/>
    <mergeCell ref="BP36:BQ36"/>
    <mergeCell ref="U36:Z36"/>
    <mergeCell ref="AL36:AM36"/>
    <mergeCell ref="AN36:AO36"/>
    <mergeCell ref="AP36:AQ36"/>
    <mergeCell ref="AC36:AE36"/>
    <mergeCell ref="AH36:AK36"/>
    <mergeCell ref="BM35:BN35"/>
    <mergeCell ref="BP35:BQ35"/>
    <mergeCell ref="AH35:AK35"/>
    <mergeCell ref="AC35:AE35"/>
    <mergeCell ref="AL35:AM35"/>
    <mergeCell ref="AN35:AO35"/>
    <mergeCell ref="BM33:BN33"/>
    <mergeCell ref="BP33:BQ33"/>
    <mergeCell ref="N34:O34"/>
    <mergeCell ref="P34:Q34"/>
    <mergeCell ref="R34:S34"/>
    <mergeCell ref="AL33:AM33"/>
    <mergeCell ref="AN33:AO33"/>
    <mergeCell ref="AP33:AQ33"/>
    <mergeCell ref="BM34:BN34"/>
    <mergeCell ref="N33:O33"/>
    <mergeCell ref="P33:Q33"/>
    <mergeCell ref="R33:S33"/>
    <mergeCell ref="U33:Z33"/>
    <mergeCell ref="AC33:AE33"/>
    <mergeCell ref="AH33:AK33"/>
    <mergeCell ref="AF33:AG33"/>
    <mergeCell ref="BM31:BN31"/>
    <mergeCell ref="BP31:BQ31"/>
    <mergeCell ref="N32:O32"/>
    <mergeCell ref="P32:Q32"/>
    <mergeCell ref="R32:S32"/>
    <mergeCell ref="AL31:AM31"/>
    <mergeCell ref="AN31:AO31"/>
    <mergeCell ref="AP31:AQ31"/>
    <mergeCell ref="N31:O31"/>
    <mergeCell ref="P31:Q31"/>
    <mergeCell ref="R31:S31"/>
    <mergeCell ref="U31:Z31"/>
    <mergeCell ref="AH31:AK31"/>
    <mergeCell ref="AF31:AG31"/>
    <mergeCell ref="AF32:AG32"/>
    <mergeCell ref="BM32:BN32"/>
    <mergeCell ref="BP32:BQ32"/>
    <mergeCell ref="U32:Z32"/>
    <mergeCell ref="AC31:AE31"/>
    <mergeCell ref="AL32:AM32"/>
    <mergeCell ref="AN32:AO32"/>
    <mergeCell ref="AP32:AQ32"/>
    <mergeCell ref="AC32:AE32"/>
    <mergeCell ref="AH32:AK32"/>
    <mergeCell ref="BM29:BN29"/>
    <mergeCell ref="BP29:BQ29"/>
    <mergeCell ref="N30:O30"/>
    <mergeCell ref="P30:Q30"/>
    <mergeCell ref="R30:S30"/>
    <mergeCell ref="AL29:AM29"/>
    <mergeCell ref="AN29:AO29"/>
    <mergeCell ref="AP29:AQ29"/>
    <mergeCell ref="N29:O29"/>
    <mergeCell ref="P29:Q29"/>
    <mergeCell ref="R29:S29"/>
    <mergeCell ref="U29:Z29"/>
    <mergeCell ref="AC29:AE29"/>
    <mergeCell ref="AF29:AG29"/>
    <mergeCell ref="AH29:AK29"/>
    <mergeCell ref="BM30:BN30"/>
    <mergeCell ref="BP30:BQ30"/>
    <mergeCell ref="U30:Z30"/>
    <mergeCell ref="AL30:AM30"/>
    <mergeCell ref="AN30:AO30"/>
    <mergeCell ref="AP30:AQ30"/>
    <mergeCell ref="AC30:AE30"/>
    <mergeCell ref="AH30:AK30"/>
    <mergeCell ref="AF30:AG30"/>
    <mergeCell ref="Q7:Q8"/>
    <mergeCell ref="S7:S8"/>
    <mergeCell ref="T7:T8"/>
    <mergeCell ref="AR26:AR28"/>
    <mergeCell ref="AL26:AQ26"/>
    <mergeCell ref="AS26:AZ28"/>
    <mergeCell ref="A25:Z25"/>
    <mergeCell ref="AA25:AZ25"/>
    <mergeCell ref="A20:Z20"/>
    <mergeCell ref="AA20:AZ20"/>
    <mergeCell ref="A22:Z22"/>
    <mergeCell ref="AA23:AZ23"/>
    <mergeCell ref="A23:Z23"/>
    <mergeCell ref="AA24:AZ24"/>
    <mergeCell ref="AL27:AM28"/>
    <mergeCell ref="AN27:AO28"/>
    <mergeCell ref="AP27:AQ28"/>
    <mergeCell ref="A26:B28"/>
    <mergeCell ref="T26:T28"/>
    <mergeCell ref="U26:Z28"/>
    <mergeCell ref="AN15:AN16"/>
    <mergeCell ref="AM7:AM8"/>
    <mergeCell ref="AN7:AN8"/>
    <mergeCell ref="F7:F8"/>
    <mergeCell ref="A6:C6"/>
    <mergeCell ref="D6:T6"/>
    <mergeCell ref="AA6:AC6"/>
    <mergeCell ref="A7:C8"/>
    <mergeCell ref="AW8:AX8"/>
    <mergeCell ref="J7:J8"/>
    <mergeCell ref="D11:I12"/>
    <mergeCell ref="AD11:AI12"/>
    <mergeCell ref="K11:N12"/>
    <mergeCell ref="O11:Z12"/>
    <mergeCell ref="AE7:AE8"/>
    <mergeCell ref="AH7:AH8"/>
    <mergeCell ref="AG7:AG8"/>
    <mergeCell ref="AA7:AC8"/>
    <mergeCell ref="R7:R8"/>
    <mergeCell ref="K7:K8"/>
    <mergeCell ref="E7:E8"/>
    <mergeCell ref="L7:L8"/>
    <mergeCell ref="N7:N8"/>
    <mergeCell ref="O7:O8"/>
    <mergeCell ref="P7:P8"/>
    <mergeCell ref="H7:H8"/>
    <mergeCell ref="M7:M8"/>
    <mergeCell ref="A10:Z10"/>
    <mergeCell ref="A24:Z24"/>
    <mergeCell ref="G7:G8"/>
    <mergeCell ref="D7:D8"/>
    <mergeCell ref="I7:I8"/>
    <mergeCell ref="AD6:AT6"/>
    <mergeCell ref="AD7:AD8"/>
    <mergeCell ref="AA10:AZ10"/>
    <mergeCell ref="AO7:AO8"/>
    <mergeCell ref="AP7:AP8"/>
    <mergeCell ref="AQ7:AQ8"/>
    <mergeCell ref="AR7:AR8"/>
    <mergeCell ref="AF7:AF8"/>
    <mergeCell ref="W8:X8"/>
    <mergeCell ref="AS7:AS8"/>
    <mergeCell ref="AT7:AT8"/>
    <mergeCell ref="AI7:AI8"/>
    <mergeCell ref="AJ7:AJ8"/>
    <mergeCell ref="AK7:AK8"/>
    <mergeCell ref="AL7:AL8"/>
    <mergeCell ref="A9:Z9"/>
    <mergeCell ref="AA9:AZ9"/>
    <mergeCell ref="Q15:Q16"/>
    <mergeCell ref="AA22:AZ22"/>
    <mergeCell ref="R15:Z16"/>
    <mergeCell ref="A1:Z1"/>
    <mergeCell ref="AA1:AZ1"/>
    <mergeCell ref="A3:V3"/>
    <mergeCell ref="AA3:AV3"/>
    <mergeCell ref="V4:V5"/>
    <mergeCell ref="AY4:AY5"/>
    <mergeCell ref="AZ4:AZ5"/>
    <mergeCell ref="AV4:AV5"/>
    <mergeCell ref="AW4:AX5"/>
    <mergeCell ref="Y4:Y5"/>
    <mergeCell ref="Z4:Z5"/>
    <mergeCell ref="W4:W5"/>
    <mergeCell ref="X4:X5"/>
    <mergeCell ref="C33:E33"/>
    <mergeCell ref="F33:G33"/>
    <mergeCell ref="C29:E29"/>
    <mergeCell ref="C26:E28"/>
    <mergeCell ref="H29:M29"/>
    <mergeCell ref="F29:G29"/>
    <mergeCell ref="R27:S28"/>
    <mergeCell ref="F26:G28"/>
    <mergeCell ref="N27:O28"/>
    <mergeCell ref="P27:Q28"/>
    <mergeCell ref="N26:S26"/>
    <mergeCell ref="H26:M28"/>
    <mergeCell ref="C32:E32"/>
    <mergeCell ref="F32:G32"/>
    <mergeCell ref="F31:G31"/>
    <mergeCell ref="H30:M30"/>
    <mergeCell ref="H31:M31"/>
    <mergeCell ref="F38:G38"/>
    <mergeCell ref="F34:G34"/>
    <mergeCell ref="F35:G35"/>
    <mergeCell ref="F39:G39"/>
    <mergeCell ref="H37:M37"/>
    <mergeCell ref="F36:G36"/>
    <mergeCell ref="H35:M35"/>
    <mergeCell ref="AC26:AE28"/>
    <mergeCell ref="F30:G30"/>
    <mergeCell ref="N35:O35"/>
    <mergeCell ref="H32:M32"/>
    <mergeCell ref="H33:M33"/>
    <mergeCell ref="AA26:AB28"/>
    <mergeCell ref="R35:S35"/>
    <mergeCell ref="AA21:AZ21"/>
    <mergeCell ref="N36:O36"/>
    <mergeCell ref="P36:Q36"/>
    <mergeCell ref="R36:S36"/>
    <mergeCell ref="A21:Z21"/>
    <mergeCell ref="C39:E39"/>
    <mergeCell ref="AP35:AQ35"/>
    <mergeCell ref="AF38:AG38"/>
    <mergeCell ref="U35:Z35"/>
    <mergeCell ref="AH38:AK38"/>
    <mergeCell ref="AC38:AE38"/>
    <mergeCell ref="C30:E30"/>
    <mergeCell ref="C37:E37"/>
    <mergeCell ref="C38:E38"/>
    <mergeCell ref="C31:E31"/>
    <mergeCell ref="P35:Q35"/>
    <mergeCell ref="C36:E36"/>
    <mergeCell ref="H39:M39"/>
    <mergeCell ref="C34:E34"/>
    <mergeCell ref="C35:E35"/>
    <mergeCell ref="H38:M38"/>
    <mergeCell ref="F37:G37"/>
    <mergeCell ref="H36:M36"/>
    <mergeCell ref="H34:M34"/>
    <mergeCell ref="AA18:AZ18"/>
    <mergeCell ref="AR15:AZ16"/>
    <mergeCell ref="O15:P15"/>
    <mergeCell ref="A11:B11"/>
    <mergeCell ref="A12:B12"/>
    <mergeCell ref="A19:Z19"/>
    <mergeCell ref="AA19:AZ19"/>
    <mergeCell ref="A14:Z14"/>
    <mergeCell ref="AA14:AZ14"/>
    <mergeCell ref="A15:M16"/>
    <mergeCell ref="N15:N16"/>
    <mergeCell ref="AA11:AB11"/>
    <mergeCell ref="AK11:AN12"/>
    <mergeCell ref="AO11:AZ12"/>
    <mergeCell ref="AA12:AB12"/>
    <mergeCell ref="AA15:AM16"/>
    <mergeCell ref="AO15:AP15"/>
    <mergeCell ref="AQ15:AQ16"/>
    <mergeCell ref="AO16:AP16"/>
    <mergeCell ref="O16:P16"/>
    <mergeCell ref="A18:Z18"/>
  </mergeCells>
  <phoneticPr fontId="28"/>
  <conditionalFormatting sqref="A56:A66 AA56:AA66">
    <cfRule type="cellIs" dxfId="479" priority="59" stopIfTrue="1" operator="between">
      <formula>0</formula>
      <formula>0</formula>
    </cfRule>
  </conditionalFormatting>
  <conditionalFormatting sqref="O15:P15">
    <cfRule type="expression" dxfId="478" priority="32">
      <formula>$B$52=TRUE</formula>
    </cfRule>
  </conditionalFormatting>
  <conditionalFormatting sqref="O16:P16">
    <cfRule type="expression" dxfId="477" priority="31">
      <formula>$B$53=TRUE</formula>
    </cfRule>
  </conditionalFormatting>
  <conditionalFormatting sqref="A11:B11">
    <cfRule type="expression" dxfId="476" priority="30">
      <formula>A52=TRUE</formula>
    </cfRule>
  </conditionalFormatting>
  <conditionalFormatting sqref="A12:B12">
    <cfRule type="expression" dxfId="475" priority="29">
      <formula>A53=TRUE</formula>
    </cfRule>
  </conditionalFormatting>
  <conditionalFormatting sqref="J4">
    <cfRule type="expression" dxfId="474" priority="23">
      <formula>B2=TRUE</formula>
    </cfRule>
  </conditionalFormatting>
  <conditionalFormatting sqref="AA11:AB11">
    <cfRule type="expression" dxfId="473" priority="20">
      <formula>AA52=TRUE</formula>
    </cfRule>
  </conditionalFormatting>
  <conditionalFormatting sqref="AA12:AB12">
    <cfRule type="expression" dxfId="472" priority="19">
      <formula>AA53=TRUE</formula>
    </cfRule>
  </conditionalFormatting>
  <conditionalFormatting sqref="AJ4">
    <cfRule type="expression" dxfId="471" priority="16">
      <formula>AB2=TRUE</formula>
    </cfRule>
  </conditionalFormatting>
  <conditionalFormatting sqref="C29:Q40">
    <cfRule type="containsBlanks" dxfId="470" priority="60">
      <formula>LEN(TRIM(C29))=0</formula>
    </cfRule>
  </conditionalFormatting>
  <conditionalFormatting sqref="T29:Z40">
    <cfRule type="containsBlanks" dxfId="469" priority="61">
      <formula>LEN(TRIM(T29))=0</formula>
    </cfRule>
  </conditionalFormatting>
  <conditionalFormatting sqref="A29:A40">
    <cfRule type="containsBlanks" dxfId="468" priority="62">
      <formula>LEN(TRIM(A29))=0</formula>
    </cfRule>
  </conditionalFormatting>
  <conditionalFormatting sqref="A46">
    <cfRule type="containsBlanks" dxfId="467" priority="11">
      <formula>LEN(TRIM(A46))=0</formula>
    </cfRule>
  </conditionalFormatting>
  <conditionalFormatting sqref="A44">
    <cfRule type="containsBlanks" dxfId="466" priority="10">
      <formula>LEN(TRIM(A44))=0</formula>
    </cfRule>
  </conditionalFormatting>
  <conditionalFormatting sqref="C44:G47">
    <cfRule type="cellIs" dxfId="465" priority="9" operator="equal">
      <formula>""</formula>
    </cfRule>
  </conditionalFormatting>
  <conditionalFormatting sqref="J44:K47 H44:H47 M44:N47 P44:Q47 S44:T47 V44:V47">
    <cfRule type="cellIs" dxfId="464" priority="8" operator="equal">
      <formula>""</formula>
    </cfRule>
  </conditionalFormatting>
  <conditionalFormatting sqref="Y44:Y47 W44:W47">
    <cfRule type="cellIs" dxfId="463" priority="6" operator="equal">
      <formula>""</formula>
    </cfRule>
  </conditionalFormatting>
  <conditionalFormatting sqref="AA46">
    <cfRule type="containsBlanks" dxfId="462" priority="5">
      <formula>LEN(TRIM(AA46))=0</formula>
    </cfRule>
  </conditionalFormatting>
  <conditionalFormatting sqref="AA44">
    <cfRule type="containsBlanks" dxfId="461" priority="4">
      <formula>LEN(TRIM(AA44))=0</formula>
    </cfRule>
  </conditionalFormatting>
  <conditionalFormatting sqref="AC44:AG47">
    <cfRule type="cellIs" dxfId="460" priority="3" operator="equal">
      <formula>""</formula>
    </cfRule>
  </conditionalFormatting>
  <conditionalFormatting sqref="AJ44:AK47 AH44:AH47 AM44:AN47 AP44:AQ47 AS44:AT47 AV44:AV47">
    <cfRule type="cellIs" dxfId="459" priority="2" operator="equal">
      <formula>""</formula>
    </cfRule>
  </conditionalFormatting>
  <conditionalFormatting sqref="AW44:AW47 AY44:AY47">
    <cfRule type="cellIs" dxfId="458" priority="1" operator="equal">
      <formula>""</formula>
    </cfRule>
  </conditionalFormatting>
  <dataValidations xWindow="49" yWindow="872" count="13">
    <dataValidation type="list" operator="equal" allowBlank="1" showInputMessage="1" showErrorMessage="1" prompt="食事場所を指定してください" sqref="F29:G29" xr:uid="{00000000-0002-0000-0300-000000000000}">
      <formula1>"食堂,炊事,携帯食"</formula1>
    </dataValidation>
    <dataValidation type="list" operator="equal" allowBlank="1" showInputMessage="1" showErrorMessage="1" prompt="提供場所を指定してください" sqref="F30:G40" xr:uid="{00000000-0002-0000-0300-000001000000}">
      <formula1>"食堂,炊事,携帯食"</formula1>
    </dataValidation>
    <dataValidation type="list" allowBlank="1" showInputMessage="1" showErrorMessage="1" prompt="食事時機を指定してください" sqref="C29:E40" xr:uid="{00000000-0002-0000-0300-000002000000}">
      <formula1>時機</formula1>
    </dataValidation>
    <dataValidation type="list" allowBlank="1" showInputMessage="1" showErrorMessage="1" prompt="日にちを指定してください" sqref="A30:A40 A46 A44" xr:uid="{00000000-0002-0000-0300-000003000000}">
      <formula1>$G$5:$H$5</formula1>
    </dataValidation>
    <dataValidation type="list" operator="equal" showInputMessage="1" showErrorMessage="1" prompt="場所を選んでから、メニューを選択してください" sqref="H29:H40" xr:uid="{00000000-0002-0000-0300-000004000000}">
      <formula1>INDIRECT($F29)</formula1>
    </dataValidation>
    <dataValidation type="list" allowBlank="1" showInputMessage="1" showErrorMessage="1" sqref="T29:T40" xr:uid="{00000000-0002-0000-0300-000005000000}">
      <formula1>$AR$33</formula1>
    </dataValidation>
    <dataValidation type="list" allowBlank="1" showInputMessage="1" showErrorMessage="1" sqref="D4 L4 AD4 AL4" xr:uid="{B3094B57-29A2-4F4A-A0C0-855F54F369E0}">
      <formula1>$BL$54:$BL$65</formula1>
    </dataValidation>
    <dataValidation type="list" allowBlank="1" showInputMessage="1" showErrorMessage="1" sqref="F4 N4 AF4 AN4" xr:uid="{6980C749-6737-49B5-98D4-22EDD3B0893B}">
      <formula1>$BL$54:$BL$84</formula1>
    </dataValidation>
    <dataValidation type="list" allowBlank="1" showInputMessage="1" showErrorMessage="1" sqref="P4 AP4" xr:uid="{E4A7988B-6ED0-481A-8E24-BF2E3A1A2021}">
      <formula1>$BL$54:$BL$77</formula1>
    </dataValidation>
    <dataValidation type="list" allowBlank="1" showInputMessage="1" showErrorMessage="1" sqref="R4 AR4" xr:uid="{BC5A349D-F49B-493D-9852-8A18AA5FFCDF}">
      <formula1>$BM$54:$BM$57</formula1>
    </dataValidation>
    <dataValidation type="list" allowBlank="1" showInputMessage="1" showErrorMessage="1" prompt="日にちを指定してください" sqref="A29" xr:uid="{B56B2CFC-5ECC-4D0D-9925-8945CC487DBF}">
      <formula1>$F$5:$G$5</formula1>
    </dataValidation>
    <dataValidation type="list" allowBlank="1" showInputMessage="1" showErrorMessage="1" sqref="C44:G47 AC44:AG47" xr:uid="{3D753931-63C5-457B-8136-9DE96BD819EE}">
      <formula1>$C$51:$C$53</formula1>
    </dataValidation>
    <dataValidation allowBlank="1" showInputMessage="1" showErrorMessage="1" prompt="日にちを指定してください" sqref="AA44:AA47" xr:uid="{1C4591B3-FC96-47EB-8207-9C41699BEEFA}"/>
  </dataValidations>
  <printOptions horizontalCentered="1"/>
  <pageMargins left="0.39370078740157483" right="0.39370078740157483" top="0.39370078740157483" bottom="0.39370078740157483" header="0" footer="0"/>
  <pageSetup paperSize="9" scale="87" orientation="portrait" r:id="rId1"/>
  <headerFooter>
    <oddFooter>&amp;R&amp;D &amp;T</oddFooter>
  </headerFooter>
  <rowBreaks count="1" manualBreakCount="1">
    <brk id="48" max="51" man="1"/>
  </rowBreaks>
  <colBreaks count="1" manualBreakCount="1">
    <brk id="26" max="50" man="1"/>
  </colBreaks>
  <ignoredErrors>
    <ignoredError sqref="BN104:BN121 BO104:BO121 BQ104:BQ121" evalError="1"/>
    <ignoredError sqref="BE109:BE111 BF141:BF143 BE113 BF145:BF147" evalError="1" formula="1"/>
    <ignoredError sqref="BD114:BE115 BD108:BD113 BD117:BE119 BD116 BD121:BE123 BD120 BD12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sizeWithCells="1">
                  <from>
                    <xdr:col>5</xdr:col>
                    <xdr:colOff>104775</xdr:colOff>
                    <xdr:row>3</xdr:row>
                    <xdr:rowOff>57150</xdr:rowOff>
                  </from>
                  <to>
                    <xdr:col>6</xdr:col>
                    <xdr:colOff>133350</xdr:colOff>
                    <xdr:row>3</xdr:row>
                    <xdr:rowOff>104775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sizeWithCells="1">
                  <from>
                    <xdr:col>7</xdr:col>
                    <xdr:colOff>38100</xdr:colOff>
                    <xdr:row>19</xdr:row>
                    <xdr:rowOff>0</xdr:rowOff>
                  </from>
                  <to>
                    <xdr:col>8</xdr:col>
                    <xdr:colOff>66675</xdr:colOff>
                    <xdr:row>20</xdr:row>
                    <xdr:rowOff>19050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sizeWithCells="1">
                  <from>
                    <xdr:col>4</xdr:col>
                    <xdr:colOff>47625</xdr:colOff>
                    <xdr:row>19</xdr:row>
                    <xdr:rowOff>0</xdr:rowOff>
                  </from>
                  <to>
                    <xdr:col>5</xdr:col>
                    <xdr:colOff>76200</xdr:colOff>
                    <xdr:row>20</xdr:row>
                    <xdr:rowOff>19050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sizeWithCells="1">
                  <from>
                    <xdr:col>26</xdr:col>
                    <xdr:colOff>0</xdr:colOff>
                    <xdr:row>16</xdr:row>
                    <xdr:rowOff>142875</xdr:rowOff>
                  </from>
                  <to>
                    <xdr:col>26</xdr:col>
                    <xdr:colOff>0</xdr:colOff>
                    <xdr:row>18</xdr:row>
                    <xdr:rowOff>19050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sizeWithCells="1">
                  <from>
                    <xdr:col>26</xdr:col>
                    <xdr:colOff>0</xdr:colOff>
                    <xdr:row>17</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sizeWithCells="1">
                  <from>
                    <xdr:col>26</xdr:col>
                    <xdr:colOff>0</xdr:colOff>
                    <xdr:row>19</xdr:row>
                    <xdr:rowOff>0</xdr:rowOff>
                  </from>
                  <to>
                    <xdr:col>26</xdr:col>
                    <xdr:colOff>0</xdr:colOff>
                    <xdr:row>20</xdr:row>
                    <xdr:rowOff>9525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sizeWithCells="1">
                  <from>
                    <xdr:col>26</xdr:col>
                    <xdr:colOff>0</xdr:colOff>
                    <xdr:row>19</xdr:row>
                    <xdr:rowOff>152400</xdr:rowOff>
                  </from>
                  <to>
                    <xdr:col>26</xdr:col>
                    <xdr:colOff>0</xdr:colOff>
                    <xdr:row>21</xdr:row>
                    <xdr:rowOff>19050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sizeWithCells="1">
                  <from>
                    <xdr:col>26</xdr:col>
                    <xdr:colOff>0</xdr:colOff>
                    <xdr:row>20</xdr:row>
                    <xdr:rowOff>142875</xdr:rowOff>
                  </from>
                  <to>
                    <xdr:col>26</xdr:col>
                    <xdr:colOff>0</xdr:colOff>
                    <xdr:row>22</xdr:row>
                    <xdr:rowOff>19050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sizeWithCells="1">
                  <from>
                    <xdr:col>26</xdr:col>
                    <xdr:colOff>0</xdr:colOff>
                    <xdr:row>22</xdr:row>
                    <xdr:rowOff>142875</xdr:rowOff>
                  </from>
                  <to>
                    <xdr:col>26</xdr:col>
                    <xdr:colOff>0</xdr:colOff>
                    <xdr:row>24</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sizeWithCells="1">
                  <from>
                    <xdr:col>26</xdr:col>
                    <xdr:colOff>0</xdr:colOff>
                    <xdr:row>23</xdr:row>
                    <xdr:rowOff>142875</xdr:rowOff>
                  </from>
                  <to>
                    <xdr:col>26</xdr:col>
                    <xdr:colOff>0</xdr:colOff>
                    <xdr:row>24</xdr:row>
                    <xdr:rowOff>0</xdr:rowOff>
                  </to>
                </anchor>
              </controlPr>
            </control>
          </mc:Choice>
        </mc:AlternateContent>
        <mc:AlternateContent xmlns:mc="http://schemas.openxmlformats.org/markup-compatibility/2006">
          <mc:Choice Requires="x14">
            <control shapeId="16401" r:id="rId19" name="Check Box 17">
              <controlPr defaultSize="0" autoFill="0" autoLine="0" autoPict="0">
                <anchor moveWithCells="1" sizeWithCells="1">
                  <from>
                    <xdr:col>26</xdr:col>
                    <xdr:colOff>0</xdr:colOff>
                    <xdr:row>24</xdr:row>
                    <xdr:rowOff>0</xdr:rowOff>
                  </from>
                  <to>
                    <xdr:col>26</xdr:col>
                    <xdr:colOff>0</xdr:colOff>
                    <xdr:row>24</xdr:row>
                    <xdr:rowOff>0</xdr:rowOff>
                  </to>
                </anchor>
              </controlPr>
            </control>
          </mc:Choice>
        </mc:AlternateContent>
        <mc:AlternateContent xmlns:mc="http://schemas.openxmlformats.org/markup-compatibility/2006">
          <mc:Choice Requires="x14">
            <control shapeId="16402" r:id="rId20" name="Check Box 18">
              <controlPr defaultSize="0" autoFill="0" autoLine="0" autoPict="0">
                <anchor moveWithCells="1" sizeWithCells="1">
                  <from>
                    <xdr:col>26</xdr:col>
                    <xdr:colOff>0</xdr:colOff>
                    <xdr:row>24</xdr:row>
                    <xdr:rowOff>0</xdr:rowOff>
                  </from>
                  <to>
                    <xdr:col>26</xdr:col>
                    <xdr:colOff>0</xdr:colOff>
                    <xdr:row>24</xdr:row>
                    <xdr:rowOff>0</xdr:rowOff>
                  </to>
                </anchor>
              </controlPr>
            </control>
          </mc:Choice>
        </mc:AlternateContent>
        <mc:AlternateContent xmlns:mc="http://schemas.openxmlformats.org/markup-compatibility/2006">
          <mc:Choice Requires="x14">
            <control shapeId="16403" r:id="rId21" name="Check Box 19">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04" r:id="rId22" name="Check Box 20">
              <controlPr defaultSize="0" autoFill="0" autoLine="0" autoPict="0">
                <anchor moveWithCells="1" sizeWithCells="1">
                  <from>
                    <xdr:col>26</xdr:col>
                    <xdr:colOff>0</xdr:colOff>
                    <xdr:row>16</xdr:row>
                    <xdr:rowOff>142875</xdr:rowOff>
                  </from>
                  <to>
                    <xdr:col>26</xdr:col>
                    <xdr:colOff>0</xdr:colOff>
                    <xdr:row>18</xdr:row>
                    <xdr:rowOff>19050</xdr:rowOff>
                  </to>
                </anchor>
              </controlPr>
            </control>
          </mc:Choice>
        </mc:AlternateContent>
        <mc:AlternateContent xmlns:mc="http://schemas.openxmlformats.org/markup-compatibility/2006">
          <mc:Choice Requires="x14">
            <control shapeId="16405" r:id="rId23" name="Check Box 21">
              <controlPr defaultSize="0" autoFill="0" autoLine="0" autoPict="0">
                <anchor moveWithCells="1" sizeWithCells="1">
                  <from>
                    <xdr:col>26</xdr:col>
                    <xdr:colOff>0</xdr:colOff>
                    <xdr:row>17</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06" r:id="rId24" name="Check Box 22">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07" r:id="rId25" name="Check Box 23">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08" r:id="rId26" name="Check Box 24">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09" r:id="rId27" name="Check Box 25">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10" r:id="rId28" name="Check Box 26">
              <controlPr defaultSize="0" autoFill="0" autoLine="0" autoPict="0">
                <anchor moveWithCells="1" sizeWithCells="1">
                  <from>
                    <xdr:col>26</xdr:col>
                    <xdr:colOff>0</xdr:colOff>
                    <xdr:row>19</xdr:row>
                    <xdr:rowOff>152400</xdr:rowOff>
                  </from>
                  <to>
                    <xdr:col>26</xdr:col>
                    <xdr:colOff>0</xdr:colOff>
                    <xdr:row>21</xdr:row>
                    <xdr:rowOff>19050</xdr:rowOff>
                  </to>
                </anchor>
              </controlPr>
            </control>
          </mc:Choice>
        </mc:AlternateContent>
        <mc:AlternateContent xmlns:mc="http://schemas.openxmlformats.org/markup-compatibility/2006">
          <mc:Choice Requires="x14">
            <control shapeId="16411" r:id="rId29" name="Check Box 27">
              <controlPr defaultSize="0" autoFill="0" autoLine="0" autoPict="0">
                <anchor moveWithCells="1" sizeWithCells="1">
                  <from>
                    <xdr:col>26</xdr:col>
                    <xdr:colOff>0</xdr:colOff>
                    <xdr:row>20</xdr:row>
                    <xdr:rowOff>142875</xdr:rowOff>
                  </from>
                  <to>
                    <xdr:col>26</xdr:col>
                    <xdr:colOff>0</xdr:colOff>
                    <xdr:row>22</xdr:row>
                    <xdr:rowOff>19050</xdr:rowOff>
                  </to>
                </anchor>
              </controlPr>
            </control>
          </mc:Choice>
        </mc:AlternateContent>
        <mc:AlternateContent xmlns:mc="http://schemas.openxmlformats.org/markup-compatibility/2006">
          <mc:Choice Requires="x14">
            <control shapeId="16412" r:id="rId30" name="Check Box 28">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13" r:id="rId31" name="Check Box 29">
              <controlPr defaultSize="0" autoFill="0" autoLine="0" autoPict="0">
                <anchor moveWithCells="1" sizeWithCells="1">
                  <from>
                    <xdr:col>26</xdr:col>
                    <xdr:colOff>0</xdr:colOff>
                    <xdr:row>22</xdr:row>
                    <xdr:rowOff>142875</xdr:rowOff>
                  </from>
                  <to>
                    <xdr:col>26</xdr:col>
                    <xdr:colOff>0</xdr:colOff>
                    <xdr:row>24</xdr:row>
                    <xdr:rowOff>0</xdr:rowOff>
                  </to>
                </anchor>
              </controlPr>
            </control>
          </mc:Choice>
        </mc:AlternateContent>
        <mc:AlternateContent xmlns:mc="http://schemas.openxmlformats.org/markup-compatibility/2006">
          <mc:Choice Requires="x14">
            <control shapeId="16414" r:id="rId32" name="Check Box 30">
              <controlPr defaultSize="0" autoFill="0" autoLine="0" autoPict="0">
                <anchor moveWithCells="1" sizeWithCells="1">
                  <from>
                    <xdr:col>26</xdr:col>
                    <xdr:colOff>0</xdr:colOff>
                    <xdr:row>23</xdr:row>
                    <xdr:rowOff>142875</xdr:rowOff>
                  </from>
                  <to>
                    <xdr:col>26</xdr:col>
                    <xdr:colOff>0</xdr:colOff>
                    <xdr:row>24</xdr:row>
                    <xdr:rowOff>0</xdr:rowOff>
                  </to>
                </anchor>
              </controlPr>
            </control>
          </mc:Choice>
        </mc:AlternateContent>
        <mc:AlternateContent xmlns:mc="http://schemas.openxmlformats.org/markup-compatibility/2006">
          <mc:Choice Requires="x14">
            <control shapeId="16416" r:id="rId33" name="Check Box 32">
              <controlPr defaultSize="0" autoFill="0" autoLine="0" autoPict="0">
                <anchor moveWithCells="1" sizeWithCells="1">
                  <from>
                    <xdr:col>26</xdr:col>
                    <xdr:colOff>0</xdr:colOff>
                    <xdr:row>24</xdr:row>
                    <xdr:rowOff>0</xdr:rowOff>
                  </from>
                  <to>
                    <xdr:col>26</xdr:col>
                    <xdr:colOff>0</xdr:colOff>
                    <xdr:row>24</xdr:row>
                    <xdr:rowOff>0</xdr:rowOff>
                  </to>
                </anchor>
              </controlPr>
            </control>
          </mc:Choice>
        </mc:AlternateContent>
        <mc:AlternateContent xmlns:mc="http://schemas.openxmlformats.org/markup-compatibility/2006">
          <mc:Choice Requires="x14">
            <control shapeId="16417" r:id="rId34" name="Check Box 33">
              <controlPr defaultSize="0" autoFill="0" autoLine="0" autoPict="0">
                <anchor moveWithCells="1" sizeWithCells="1">
                  <from>
                    <xdr:col>26</xdr:col>
                    <xdr:colOff>0</xdr:colOff>
                    <xdr:row>24</xdr:row>
                    <xdr:rowOff>0</xdr:rowOff>
                  </from>
                  <to>
                    <xdr:col>26</xdr:col>
                    <xdr:colOff>0</xdr:colOff>
                    <xdr:row>24</xdr:row>
                    <xdr:rowOff>0</xdr:rowOff>
                  </to>
                </anchor>
              </controlPr>
            </control>
          </mc:Choice>
        </mc:AlternateContent>
        <mc:AlternateContent xmlns:mc="http://schemas.openxmlformats.org/markup-compatibility/2006">
          <mc:Choice Requires="x14">
            <control shapeId="16418" r:id="rId35" name="Check Box 34">
              <controlPr defaultSize="0" autoFill="0" autoLine="0" autoPict="0">
                <anchor moveWithCells="1" sizeWithCells="1">
                  <from>
                    <xdr:col>26</xdr:col>
                    <xdr:colOff>0</xdr:colOff>
                    <xdr:row>18</xdr:row>
                    <xdr:rowOff>161925</xdr:rowOff>
                  </from>
                  <to>
                    <xdr:col>26</xdr:col>
                    <xdr:colOff>0</xdr:colOff>
                    <xdr:row>19</xdr:row>
                    <xdr:rowOff>0</xdr:rowOff>
                  </to>
                </anchor>
              </controlPr>
            </control>
          </mc:Choice>
        </mc:AlternateContent>
        <mc:AlternateContent xmlns:mc="http://schemas.openxmlformats.org/markup-compatibility/2006">
          <mc:Choice Requires="x14">
            <control shapeId="16419" r:id="rId36" name="Check Box 35">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20" r:id="rId37" name="Check Box 36">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21" r:id="rId38" name="Check Box 37">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22" r:id="rId39" name="Check Box 38">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23" r:id="rId40" name="Check Box 39">
              <controlPr defaultSize="0" autoFill="0" autoLine="0" autoPict="0">
                <anchor moveWithCells="1" sizeWithCells="1">
                  <from>
                    <xdr:col>26</xdr:col>
                    <xdr:colOff>0</xdr:colOff>
                    <xdr:row>18</xdr:row>
                    <xdr:rowOff>57150</xdr:rowOff>
                  </from>
                  <to>
                    <xdr:col>26</xdr:col>
                    <xdr:colOff>0</xdr:colOff>
                    <xdr:row>19</xdr:row>
                    <xdr:rowOff>0</xdr:rowOff>
                  </to>
                </anchor>
              </controlPr>
            </control>
          </mc:Choice>
        </mc:AlternateContent>
        <mc:AlternateContent xmlns:mc="http://schemas.openxmlformats.org/markup-compatibility/2006">
          <mc:Choice Requires="x14">
            <control shapeId="16424" r:id="rId41" name="Check Box 40">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25" r:id="rId42" name="Check Box 41">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26" r:id="rId43" name="Check Box 42">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27" r:id="rId44" name="Check Box 43">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28" r:id="rId45" name="Check Box 44">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29" r:id="rId46" name="Check Box 45">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30" r:id="rId47" name="Check Box 46">
              <controlPr defaultSize="0" autoFill="0" autoLine="0" autoPict="0">
                <anchor moveWithCells="1" sizeWithCells="1">
                  <from>
                    <xdr:col>26</xdr:col>
                    <xdr:colOff>0</xdr:colOff>
                    <xdr:row>49</xdr:row>
                    <xdr:rowOff>152400</xdr:rowOff>
                  </from>
                  <to>
                    <xdr:col>26</xdr:col>
                    <xdr:colOff>0</xdr:colOff>
                    <xdr:row>51</xdr:row>
                    <xdr:rowOff>19050</xdr:rowOff>
                  </to>
                </anchor>
              </controlPr>
            </control>
          </mc:Choice>
        </mc:AlternateContent>
        <mc:AlternateContent xmlns:mc="http://schemas.openxmlformats.org/markup-compatibility/2006">
          <mc:Choice Requires="x14">
            <control shapeId="16431" r:id="rId48" name="Check Box 47">
              <controlPr defaultSize="0" autoFill="0" autoLine="0" autoPict="0">
                <anchor moveWithCells="1" sizeWithCells="1">
                  <from>
                    <xdr:col>26</xdr:col>
                    <xdr:colOff>0</xdr:colOff>
                    <xdr:row>50</xdr:row>
                    <xdr:rowOff>152400</xdr:rowOff>
                  </from>
                  <to>
                    <xdr:col>26</xdr:col>
                    <xdr:colOff>0</xdr:colOff>
                    <xdr:row>52</xdr:row>
                    <xdr:rowOff>19050</xdr:rowOff>
                  </to>
                </anchor>
              </controlPr>
            </control>
          </mc:Choice>
        </mc:AlternateContent>
        <mc:AlternateContent xmlns:mc="http://schemas.openxmlformats.org/markup-compatibility/2006">
          <mc:Choice Requires="x14">
            <control shapeId="16432" r:id="rId49" name="Check Box 48">
              <controlPr defaultSize="0" autoFill="0" autoLine="0" autoPict="0">
                <anchor moveWithCells="1" sizeWithCells="1">
                  <from>
                    <xdr:col>26</xdr:col>
                    <xdr:colOff>0</xdr:colOff>
                    <xdr:row>5</xdr:row>
                    <xdr:rowOff>266700</xdr:rowOff>
                  </from>
                  <to>
                    <xdr:col>26</xdr:col>
                    <xdr:colOff>0</xdr:colOff>
                    <xdr:row>7</xdr:row>
                    <xdr:rowOff>95250</xdr:rowOff>
                  </to>
                </anchor>
              </controlPr>
            </control>
          </mc:Choice>
        </mc:AlternateContent>
        <mc:AlternateContent xmlns:mc="http://schemas.openxmlformats.org/markup-compatibility/2006">
          <mc:Choice Requires="x14">
            <control shapeId="16433" r:id="rId50" name="Check Box 49">
              <controlPr defaultSize="0" autoFill="0" autoLine="0" autoPict="0">
                <anchor moveWithCells="1" sizeWithCells="1">
                  <from>
                    <xdr:col>26</xdr:col>
                    <xdr:colOff>0</xdr:colOff>
                    <xdr:row>6</xdr:row>
                    <xdr:rowOff>142875</xdr:rowOff>
                  </from>
                  <to>
                    <xdr:col>26</xdr:col>
                    <xdr:colOff>0</xdr:colOff>
                    <xdr:row>8</xdr:row>
                    <xdr:rowOff>19050</xdr:rowOff>
                  </to>
                </anchor>
              </controlPr>
            </control>
          </mc:Choice>
        </mc:AlternateContent>
        <mc:AlternateContent xmlns:mc="http://schemas.openxmlformats.org/markup-compatibility/2006">
          <mc:Choice Requires="x14">
            <control shapeId="16434" r:id="rId51" name="Check Box 50">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5" r:id="rId52" name="Check Box 51">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6" r:id="rId53" name="Check Box 52">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7" r:id="rId54" name="Check Box 53">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38" r:id="rId55" name="Check Box 54">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39" r:id="rId56" name="Check Box 55">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42" r:id="rId57" name="Check Box 58">
              <controlPr defaultSize="0" autoFill="0" autoLine="0" autoPict="0">
                <anchor moveWithCells="1" sizeWithCells="1">
                  <from>
                    <xdr:col>26</xdr:col>
                    <xdr:colOff>0</xdr:colOff>
                    <xdr:row>18</xdr:row>
                    <xdr:rowOff>161925</xdr:rowOff>
                  </from>
                  <to>
                    <xdr:col>26</xdr:col>
                    <xdr:colOff>0</xdr:colOff>
                    <xdr:row>19</xdr:row>
                    <xdr:rowOff>0</xdr:rowOff>
                  </to>
                </anchor>
              </controlPr>
            </control>
          </mc:Choice>
        </mc:AlternateContent>
        <mc:AlternateContent xmlns:mc="http://schemas.openxmlformats.org/markup-compatibility/2006">
          <mc:Choice Requires="x14">
            <control shapeId="16443" r:id="rId58" name="Check Box 59">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44" r:id="rId59" name="Check Box 60">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45" r:id="rId60" name="Check Box 61">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46" r:id="rId61" name="Check Box 62">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47" r:id="rId62" name="Check Box 63">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48" r:id="rId63" name="Check Box 64">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49" r:id="rId64" name="Check Box 65">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50" r:id="rId65" name="Check Box 66">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51" r:id="rId66" name="Check Box 67">
              <controlPr defaultSize="0" autoFill="0" autoLine="0" autoPict="0">
                <anchor moveWithCells="1">
                  <from>
                    <xdr:col>26</xdr:col>
                    <xdr:colOff>0</xdr:colOff>
                    <xdr:row>3</xdr:row>
                    <xdr:rowOff>114300</xdr:rowOff>
                  </from>
                  <to>
                    <xdr:col>28</xdr:col>
                    <xdr:colOff>19050</xdr:colOff>
                    <xdr:row>4</xdr:row>
                    <xdr:rowOff>66675</xdr:rowOff>
                  </to>
                </anchor>
              </controlPr>
            </control>
          </mc:Choice>
        </mc:AlternateContent>
        <mc:AlternateContent xmlns:mc="http://schemas.openxmlformats.org/markup-compatibility/2006">
          <mc:Choice Requires="x14">
            <control shapeId="16452" r:id="rId67" name="Check Box 68">
              <controlPr defaultSize="0" autoFill="0" autoLine="0" autoPict="0">
                <anchor moveWithCells="1" sizeWithCells="1">
                  <from>
                    <xdr:col>0</xdr:col>
                    <xdr:colOff>76200</xdr:colOff>
                    <xdr:row>3</xdr:row>
                    <xdr:rowOff>9525</xdr:rowOff>
                  </from>
                  <to>
                    <xdr:col>1</xdr:col>
                    <xdr:colOff>104775</xdr:colOff>
                    <xdr:row>3</xdr:row>
                    <xdr:rowOff>228600</xdr:rowOff>
                  </to>
                </anchor>
              </controlPr>
            </control>
          </mc:Choice>
        </mc:AlternateContent>
        <mc:AlternateContent xmlns:mc="http://schemas.openxmlformats.org/markup-compatibility/2006">
          <mc:Choice Requires="x14">
            <control shapeId="16453" r:id="rId68" name="Check Box 69">
              <controlPr locked="0" defaultSize="0" autoFill="0" autoLine="0" autoPict="0">
                <anchor moveWithCells="1" sizeWithCells="1">
                  <from>
                    <xdr:col>8</xdr:col>
                    <xdr:colOff>76200</xdr:colOff>
                    <xdr:row>3</xdr:row>
                    <xdr:rowOff>0</xdr:rowOff>
                  </from>
                  <to>
                    <xdr:col>9</xdr:col>
                    <xdr:colOff>104775</xdr:colOff>
                    <xdr:row>3</xdr:row>
                    <xdr:rowOff>219075</xdr:rowOff>
                  </to>
                </anchor>
              </controlPr>
            </control>
          </mc:Choice>
        </mc:AlternateContent>
        <mc:AlternateContent xmlns:mc="http://schemas.openxmlformats.org/markup-compatibility/2006">
          <mc:Choice Requires="x14">
            <control shapeId="16454" r:id="rId69" name="Check Box 70">
              <controlPr defaultSize="0" autoFill="0" autoLine="0" autoPict="0">
                <anchor moveWithCells="1" sizeWithCells="1">
                  <from>
                    <xdr:col>26</xdr:col>
                    <xdr:colOff>85725</xdr:colOff>
                    <xdr:row>10</xdr:row>
                    <xdr:rowOff>0</xdr:rowOff>
                  </from>
                  <to>
                    <xdr:col>27</xdr:col>
                    <xdr:colOff>114300</xdr:colOff>
                    <xdr:row>11</xdr:row>
                    <xdr:rowOff>28575</xdr:rowOff>
                  </to>
                </anchor>
              </controlPr>
            </control>
          </mc:Choice>
        </mc:AlternateContent>
        <mc:AlternateContent xmlns:mc="http://schemas.openxmlformats.org/markup-compatibility/2006">
          <mc:Choice Requires="x14">
            <control shapeId="16455" r:id="rId70" name="Check Box 71">
              <controlPr defaultSize="0" autoFill="0" autoLine="0" autoPict="0">
                <anchor moveWithCells="1" sizeWithCells="1">
                  <from>
                    <xdr:col>26</xdr:col>
                    <xdr:colOff>85725</xdr:colOff>
                    <xdr:row>10</xdr:row>
                    <xdr:rowOff>152400</xdr:rowOff>
                  </from>
                  <to>
                    <xdr:col>27</xdr:col>
                    <xdr:colOff>114300</xdr:colOff>
                    <xdr:row>12</xdr:row>
                    <xdr:rowOff>38100</xdr:rowOff>
                  </to>
                </anchor>
              </controlPr>
            </control>
          </mc:Choice>
        </mc:AlternateContent>
        <mc:AlternateContent xmlns:mc="http://schemas.openxmlformats.org/markup-compatibility/2006">
          <mc:Choice Requires="x14">
            <control shapeId="16456" r:id="rId71" name="Check Box 72">
              <controlPr defaultSize="0" autoFill="0" autoLine="0" autoPict="0">
                <anchor moveWithCells="1" sizeWithCells="1">
                  <from>
                    <xdr:col>26</xdr:col>
                    <xdr:colOff>76200</xdr:colOff>
                    <xdr:row>3</xdr:row>
                    <xdr:rowOff>9525</xdr:rowOff>
                  </from>
                  <to>
                    <xdr:col>27</xdr:col>
                    <xdr:colOff>104775</xdr:colOff>
                    <xdr:row>3</xdr:row>
                    <xdr:rowOff>228600</xdr:rowOff>
                  </to>
                </anchor>
              </controlPr>
            </control>
          </mc:Choice>
        </mc:AlternateContent>
        <mc:AlternateContent xmlns:mc="http://schemas.openxmlformats.org/markup-compatibility/2006">
          <mc:Choice Requires="x14">
            <control shapeId="16457" r:id="rId72" name="Check Box 73">
              <controlPr defaultSize="0" autoFill="0" autoLine="0" autoPict="0">
                <anchor moveWithCells="1" sizeWithCells="1">
                  <from>
                    <xdr:col>34</xdr:col>
                    <xdr:colOff>76200</xdr:colOff>
                    <xdr:row>3</xdr:row>
                    <xdr:rowOff>0</xdr:rowOff>
                  </from>
                  <to>
                    <xdr:col>35</xdr:col>
                    <xdr:colOff>104775</xdr:colOff>
                    <xdr:row>3</xdr:row>
                    <xdr:rowOff>219075</xdr:rowOff>
                  </to>
                </anchor>
              </controlPr>
            </control>
          </mc:Choice>
        </mc:AlternateContent>
        <mc:AlternateContent xmlns:mc="http://schemas.openxmlformats.org/markup-compatibility/2006">
          <mc:Choice Requires="x14">
            <control shapeId="16458" r:id="rId73" name="Check Box 74">
              <controlPr defaultSize="0" autoFill="0" autoLine="0" autoPict="0">
                <anchor moveWithCells="1" sizeWithCells="1">
                  <from>
                    <xdr:col>40</xdr:col>
                    <xdr:colOff>85725</xdr:colOff>
                    <xdr:row>14</xdr:row>
                    <xdr:rowOff>0</xdr:rowOff>
                  </from>
                  <to>
                    <xdr:col>41</xdr:col>
                    <xdr:colOff>114300</xdr:colOff>
                    <xdr:row>15</xdr:row>
                    <xdr:rowOff>28575</xdr:rowOff>
                  </to>
                </anchor>
              </controlPr>
            </control>
          </mc:Choice>
        </mc:AlternateContent>
        <mc:AlternateContent xmlns:mc="http://schemas.openxmlformats.org/markup-compatibility/2006">
          <mc:Choice Requires="x14">
            <control shapeId="16459" r:id="rId74" name="Check Box 75">
              <controlPr defaultSize="0" autoFill="0" autoLine="0" autoPict="0">
                <anchor moveWithCells="1" sizeWithCells="1">
                  <from>
                    <xdr:col>40</xdr:col>
                    <xdr:colOff>85725</xdr:colOff>
                    <xdr:row>14</xdr:row>
                    <xdr:rowOff>152400</xdr:rowOff>
                  </from>
                  <to>
                    <xdr:col>41</xdr:col>
                    <xdr:colOff>114300</xdr:colOff>
                    <xdr:row>16</xdr:row>
                    <xdr:rowOff>38100</xdr:rowOff>
                  </to>
                </anchor>
              </controlPr>
            </control>
          </mc:Choice>
        </mc:AlternateContent>
        <mc:AlternateContent xmlns:mc="http://schemas.openxmlformats.org/markup-compatibility/2006">
          <mc:Choice Requires="x14">
            <control shapeId="16460" r:id="rId75" name="Check Box 76">
              <controlPr defaultSize="0" autoFill="0" autoLine="0" autoPict="0">
                <anchor moveWithCells="1" sizeWithCells="1">
                  <from>
                    <xdr:col>14</xdr:col>
                    <xdr:colOff>28575</xdr:colOff>
                    <xdr:row>13</xdr:row>
                    <xdr:rowOff>228600</xdr:rowOff>
                  </from>
                  <to>
                    <xdr:col>15</xdr:col>
                    <xdr:colOff>57150</xdr:colOff>
                    <xdr:row>15</xdr:row>
                    <xdr:rowOff>19050</xdr:rowOff>
                  </to>
                </anchor>
              </controlPr>
            </control>
          </mc:Choice>
        </mc:AlternateContent>
        <mc:AlternateContent xmlns:mc="http://schemas.openxmlformats.org/markup-compatibility/2006">
          <mc:Choice Requires="x14">
            <control shapeId="16461" r:id="rId76" name="Check Box 77">
              <controlPr defaultSize="0" autoFill="0" autoLine="0" autoPict="0">
                <anchor moveWithCells="1" sizeWithCells="1">
                  <from>
                    <xdr:col>14</xdr:col>
                    <xdr:colOff>28575</xdr:colOff>
                    <xdr:row>14</xdr:row>
                    <xdr:rowOff>142875</xdr:rowOff>
                  </from>
                  <to>
                    <xdr:col>15</xdr:col>
                    <xdr:colOff>57150</xdr:colOff>
                    <xdr:row>16</xdr:row>
                    <xdr:rowOff>28575</xdr:rowOff>
                  </to>
                </anchor>
              </controlPr>
            </control>
          </mc:Choice>
        </mc:AlternateContent>
        <mc:AlternateContent xmlns:mc="http://schemas.openxmlformats.org/markup-compatibility/2006">
          <mc:Choice Requires="x14">
            <control shapeId="16462" r:id="rId77" name="Check Box 78">
              <controlPr defaultSize="0" autoFill="0" autoLine="0" autoPict="0">
                <anchor moveWithCells="1" sizeWithCells="1">
                  <from>
                    <xdr:col>0</xdr:col>
                    <xdr:colOff>47625</xdr:colOff>
                    <xdr:row>10</xdr:row>
                    <xdr:rowOff>0</xdr:rowOff>
                  </from>
                  <to>
                    <xdr:col>1</xdr:col>
                    <xdr:colOff>76200</xdr:colOff>
                    <xdr:row>10</xdr:row>
                    <xdr:rowOff>152400</xdr:rowOff>
                  </to>
                </anchor>
              </controlPr>
            </control>
          </mc:Choice>
        </mc:AlternateContent>
        <mc:AlternateContent xmlns:mc="http://schemas.openxmlformats.org/markup-compatibility/2006">
          <mc:Choice Requires="x14">
            <control shapeId="16463" r:id="rId78" name="Check Box 79">
              <controlPr defaultSize="0" autoFill="0" autoLine="0" autoPict="0">
                <anchor moveWithCells="1" sizeWithCells="1">
                  <from>
                    <xdr:col>0</xdr:col>
                    <xdr:colOff>47625</xdr:colOff>
                    <xdr:row>10</xdr:row>
                    <xdr:rowOff>161925</xdr:rowOff>
                  </from>
                  <to>
                    <xdr:col>1</xdr:col>
                    <xdr:colOff>76200</xdr:colOff>
                    <xdr:row>11</xdr:row>
                    <xdr:rowOff>161925</xdr:rowOff>
                  </to>
                </anchor>
              </controlPr>
            </control>
          </mc:Choice>
        </mc:AlternateContent>
        <mc:AlternateContent xmlns:mc="http://schemas.openxmlformats.org/markup-compatibility/2006">
          <mc:Choice Requires="x14">
            <control shapeId="16852" r:id="rId79" name="Check Box 468">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53" r:id="rId80" name="Check Box 469">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mc:AlternateContent xmlns:mc="http://schemas.openxmlformats.org/markup-compatibility/2006">
          <mc:Choice Requires="x14">
            <control shapeId="16859" r:id="rId81" name="Check Box 475">
              <controlPr defaultSize="0" autoFill="0" autoLine="0" autoPict="0">
                <anchor moveWithCells="1" sizeWithCells="1">
                  <from>
                    <xdr:col>31</xdr:col>
                    <xdr:colOff>104775</xdr:colOff>
                    <xdr:row>3</xdr:row>
                    <xdr:rowOff>57150</xdr:rowOff>
                  </from>
                  <to>
                    <xdr:col>32</xdr:col>
                    <xdr:colOff>133350</xdr:colOff>
                    <xdr:row>3</xdr:row>
                    <xdr:rowOff>104775</xdr:rowOff>
                  </to>
                </anchor>
              </controlPr>
            </control>
          </mc:Choice>
        </mc:AlternateContent>
        <mc:AlternateContent xmlns:mc="http://schemas.openxmlformats.org/markup-compatibility/2006">
          <mc:Choice Requires="x14">
            <control shapeId="16860" r:id="rId82" name="Check Box 476">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61" r:id="rId83" name="Check Box 477">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sheetPr>
  <dimension ref="A1:CF153"/>
  <sheetViews>
    <sheetView showZeros="0" view="pageBreakPreview" zoomScale="80" zoomScaleNormal="100" zoomScaleSheetLayoutView="80" workbookViewId="0">
      <selection activeCell="C19" sqref="C19:G19"/>
    </sheetView>
  </sheetViews>
  <sheetFormatPr defaultRowHeight="13.5"/>
  <cols>
    <col min="1" max="1" width="6.625" style="3" customWidth="1"/>
    <col min="2" max="2" width="10.625" style="3" customWidth="1"/>
    <col min="3" max="3" width="6.625" style="3" customWidth="1"/>
    <col min="4" max="7" width="3.625" style="3" customWidth="1"/>
    <col min="8" max="8" width="5.125" style="3" customWidth="1"/>
    <col min="9" max="12" width="3.625" style="3" customWidth="1"/>
    <col min="13" max="13" width="5.125" style="3" customWidth="1"/>
    <col min="14" max="17" width="3.625" style="3" customWidth="1"/>
    <col min="18" max="18" width="5.125" style="3" customWidth="1"/>
    <col min="19" max="24" width="3.625" style="3" customWidth="1"/>
    <col min="25" max="25" width="3.625" style="50" customWidth="1"/>
    <col min="26" max="26" width="6.625" style="3" customWidth="1"/>
    <col min="27" max="28" width="3.625" style="3" customWidth="1"/>
    <col min="29" max="29" width="6.625" style="3" customWidth="1"/>
    <col min="30" max="34" width="3.625" style="3" customWidth="1"/>
    <col min="35" max="35" width="5.125" style="3" customWidth="1"/>
    <col min="36" max="39" width="3.625" style="3" customWidth="1"/>
    <col min="40" max="40" width="5.125" style="3" customWidth="1"/>
    <col min="41" max="44" width="3.625" style="3" customWidth="1"/>
    <col min="45" max="45" width="5.125" style="3" customWidth="1"/>
    <col min="46" max="51" width="3.625" style="3" customWidth="1"/>
    <col min="52" max="16384" width="9" style="3"/>
  </cols>
  <sheetData>
    <row r="1" spans="1:84" ht="23.25" customHeight="1">
      <c r="A1" s="1274" t="s">
        <v>123</v>
      </c>
      <c r="B1" s="1274"/>
      <c r="C1" s="1274"/>
      <c r="D1" s="1274"/>
      <c r="E1" s="1274"/>
      <c r="F1" s="1274"/>
      <c r="G1" s="1274"/>
      <c r="H1" s="1274"/>
      <c r="I1" s="1274"/>
      <c r="J1" s="1274"/>
      <c r="K1" s="1274"/>
      <c r="L1" s="1274"/>
      <c r="M1" s="1274"/>
      <c r="N1" s="1274"/>
      <c r="O1" s="1274"/>
      <c r="P1" s="1274"/>
      <c r="Q1" s="1274"/>
      <c r="R1" s="1274"/>
      <c r="S1" s="1274"/>
      <c r="T1" s="1274"/>
      <c r="U1" s="1274"/>
      <c r="V1" s="1274"/>
      <c r="W1" s="1274"/>
      <c r="X1" s="1274"/>
      <c r="Y1" s="759"/>
      <c r="Z1" s="1276" t="s">
        <v>123</v>
      </c>
      <c r="AA1" s="1276"/>
      <c r="AB1" s="1276"/>
      <c r="AC1" s="1276"/>
      <c r="AD1" s="1276"/>
      <c r="AE1" s="1276"/>
      <c r="AF1" s="1276"/>
      <c r="AG1" s="1276"/>
      <c r="AH1" s="1276"/>
      <c r="AI1" s="1276"/>
      <c r="AJ1" s="1276"/>
      <c r="AK1" s="1276"/>
      <c r="AL1" s="1276"/>
      <c r="AM1" s="1276"/>
      <c r="AN1" s="1276"/>
      <c r="AO1" s="1276"/>
      <c r="AP1" s="1276"/>
      <c r="AQ1" s="1276"/>
      <c r="AR1" s="1276"/>
      <c r="AS1" s="1276"/>
      <c r="AT1" s="1276"/>
      <c r="AU1" s="1276"/>
      <c r="AV1" s="1276"/>
      <c r="AW1" s="1276"/>
      <c r="AX1" s="1276"/>
      <c r="AY1" s="1276"/>
      <c r="AZ1" s="80"/>
      <c r="BA1" s="63"/>
      <c r="BB1" s="63"/>
      <c r="BC1" s="63"/>
      <c r="BD1" s="63"/>
      <c r="BE1" s="63"/>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row>
    <row r="2" spans="1:84" ht="13.5" customHeight="1">
      <c r="A2" s="277"/>
      <c r="B2" s="277"/>
      <c r="C2" s="277"/>
      <c r="D2" s="277"/>
      <c r="E2" s="277"/>
      <c r="F2" s="277"/>
      <c r="G2" s="277"/>
      <c r="H2" s="277"/>
      <c r="I2" s="277"/>
      <c r="J2" s="277"/>
      <c r="K2" s="277"/>
      <c r="L2" s="277"/>
      <c r="M2" s="277"/>
      <c r="N2" s="277"/>
      <c r="O2" s="277"/>
      <c r="P2" s="277"/>
      <c r="Q2" s="277"/>
      <c r="R2" s="277"/>
      <c r="S2" s="277"/>
      <c r="T2" s="277"/>
      <c r="U2" s="238" t="s">
        <v>124</v>
      </c>
      <c r="V2" s="278">
        <v>1</v>
      </c>
      <c r="W2" s="279" t="s">
        <v>125</v>
      </c>
      <c r="X2" s="280">
        <v>1</v>
      </c>
      <c r="Y2" s="759"/>
      <c r="Z2" s="295"/>
      <c r="AA2" s="295"/>
      <c r="AB2" s="295"/>
      <c r="AC2" s="295"/>
      <c r="AD2" s="295"/>
      <c r="AE2" s="295"/>
      <c r="AF2" s="295"/>
      <c r="AG2" s="295"/>
      <c r="AH2" s="295"/>
      <c r="AI2" s="295"/>
      <c r="AJ2" s="295"/>
      <c r="AK2" s="295"/>
      <c r="AL2" s="295"/>
      <c r="AM2" s="295"/>
      <c r="AN2" s="295"/>
      <c r="AO2" s="295"/>
      <c r="AP2" s="295"/>
      <c r="AQ2" s="295"/>
      <c r="AR2" s="295"/>
      <c r="AS2" s="295"/>
      <c r="AT2" s="295"/>
      <c r="AU2" s="295"/>
      <c r="AV2" s="296" t="s">
        <v>126</v>
      </c>
      <c r="AW2" s="297">
        <v>1</v>
      </c>
      <c r="AX2" s="298" t="s">
        <v>125</v>
      </c>
      <c r="AY2" s="299">
        <v>1</v>
      </c>
      <c r="AZ2" s="80"/>
      <c r="BA2" s="803" t="s">
        <v>315</v>
      </c>
      <c r="BB2" s="63"/>
      <c r="BC2" s="63"/>
      <c r="BD2" s="63">
        <v>1</v>
      </c>
      <c r="BE2" s="63"/>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row>
    <row r="3" spans="1:84" ht="14.25" customHeight="1" thickBot="1">
      <c r="A3" s="1788" t="s">
        <v>127</v>
      </c>
      <c r="B3" s="1790"/>
      <c r="C3" s="1792" t="s">
        <v>427</v>
      </c>
      <c r="D3" s="1792"/>
      <c r="E3" s="1792"/>
      <c r="F3" s="1792"/>
      <c r="G3" s="1792"/>
      <c r="H3" s="1792"/>
      <c r="I3" s="1792"/>
      <c r="J3" s="1792"/>
      <c r="K3" s="1792"/>
      <c r="L3" s="1792"/>
      <c r="M3" s="1792"/>
      <c r="N3" s="1792"/>
      <c r="O3" s="1773"/>
      <c r="P3" s="1773"/>
      <c r="Q3" s="1773"/>
      <c r="R3" s="1773"/>
      <c r="S3" s="1773"/>
      <c r="T3" s="1773"/>
      <c r="U3" s="238"/>
      <c r="V3" s="238"/>
      <c r="W3" s="238"/>
      <c r="X3" s="238"/>
      <c r="Y3" s="759"/>
      <c r="Z3" s="1793" t="s">
        <v>127</v>
      </c>
      <c r="AA3" s="1794"/>
      <c r="AB3" s="1794"/>
      <c r="AC3" s="1794"/>
      <c r="AD3" s="1792" t="s">
        <v>427</v>
      </c>
      <c r="AE3" s="1792"/>
      <c r="AF3" s="1792"/>
      <c r="AG3" s="1792"/>
      <c r="AH3" s="1792"/>
      <c r="AI3" s="1792"/>
      <c r="AJ3" s="1792"/>
      <c r="AK3" s="1792"/>
      <c r="AL3" s="1792"/>
      <c r="AM3" s="1792"/>
      <c r="AN3" s="1792"/>
      <c r="AO3" s="1792"/>
      <c r="AP3" s="1773"/>
      <c r="AQ3" s="1773"/>
      <c r="AR3" s="1773"/>
      <c r="AS3" s="1773"/>
      <c r="AT3" s="1773"/>
      <c r="AU3" s="1773"/>
      <c r="AV3" s="296"/>
      <c r="AW3" s="296"/>
      <c r="AX3" s="296"/>
      <c r="AY3" s="296"/>
      <c r="AZ3" s="80"/>
      <c r="BA3" s="803" t="s">
        <v>3204</v>
      </c>
      <c r="BB3" s="63"/>
      <c r="BC3" s="63"/>
      <c r="BD3" s="63">
        <v>2</v>
      </c>
      <c r="BE3" s="63"/>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row>
    <row r="4" spans="1:84" ht="14.25" customHeight="1" thickBot="1">
      <c r="A4" s="1791"/>
      <c r="B4" s="1516"/>
      <c r="C4" s="1797" t="s">
        <v>128</v>
      </c>
      <c r="D4" s="1798"/>
      <c r="E4" s="1798"/>
      <c r="F4" s="1798" t="s">
        <v>129</v>
      </c>
      <c r="G4" s="1798"/>
      <c r="H4" s="1798"/>
      <c r="I4" s="1798" t="s">
        <v>130</v>
      </c>
      <c r="J4" s="1798"/>
      <c r="K4" s="1798"/>
      <c r="L4" s="1798" t="s">
        <v>131</v>
      </c>
      <c r="M4" s="1798"/>
      <c r="N4" s="1799"/>
      <c r="O4" s="1800" t="s">
        <v>132</v>
      </c>
      <c r="P4" s="1801"/>
      <c r="Q4" s="1778" t="s">
        <v>133</v>
      </c>
      <c r="R4" s="1801"/>
      <c r="S4" s="1778" t="s">
        <v>134</v>
      </c>
      <c r="T4" s="1801"/>
      <c r="U4" s="238"/>
      <c r="V4" s="1802" t="s">
        <v>135</v>
      </c>
      <c r="W4" s="1789"/>
      <c r="X4" s="1789"/>
      <c r="Y4" s="759"/>
      <c r="Z4" s="1795"/>
      <c r="AA4" s="1796"/>
      <c r="AB4" s="1796"/>
      <c r="AC4" s="1796"/>
      <c r="AD4" s="1797" t="s">
        <v>128</v>
      </c>
      <c r="AE4" s="1798"/>
      <c r="AF4" s="1798"/>
      <c r="AG4" s="1798" t="s">
        <v>129</v>
      </c>
      <c r="AH4" s="1798"/>
      <c r="AI4" s="1798"/>
      <c r="AJ4" s="1798" t="s">
        <v>130</v>
      </c>
      <c r="AK4" s="1798"/>
      <c r="AL4" s="1798"/>
      <c r="AM4" s="1798" t="s">
        <v>131</v>
      </c>
      <c r="AN4" s="1798"/>
      <c r="AO4" s="1799"/>
      <c r="AP4" s="1800" t="s">
        <v>132</v>
      </c>
      <c r="AQ4" s="1801"/>
      <c r="AR4" s="1778" t="s">
        <v>133</v>
      </c>
      <c r="AS4" s="1801"/>
      <c r="AT4" s="1778" t="s">
        <v>134</v>
      </c>
      <c r="AU4" s="1801"/>
      <c r="AV4" s="296"/>
      <c r="AW4" s="1774" t="s">
        <v>135</v>
      </c>
      <c r="AX4" s="1773"/>
      <c r="AY4" s="1773"/>
      <c r="BA4" s="803" t="s">
        <v>2941</v>
      </c>
      <c r="BB4" s="63"/>
      <c r="BC4" s="63"/>
      <c r="BD4" s="63">
        <v>3</v>
      </c>
      <c r="BE4" s="63"/>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row>
    <row r="5" spans="1:84" ht="14.25" customHeight="1" thickBot="1">
      <c r="A5" s="1777" t="s">
        <v>136</v>
      </c>
      <c r="B5" s="1778"/>
      <c r="C5" s="1955" t="s">
        <v>137</v>
      </c>
      <c r="D5" s="1956"/>
      <c r="E5" s="1956"/>
      <c r="F5" s="1956"/>
      <c r="G5" s="1956"/>
      <c r="H5" s="1956"/>
      <c r="I5" s="1956"/>
      <c r="J5" s="1956"/>
      <c r="K5" s="1956"/>
      <c r="L5" s="1956"/>
      <c r="M5" s="1956"/>
      <c r="N5" s="1957"/>
      <c r="O5" s="1779" t="s">
        <v>2973</v>
      </c>
      <c r="P5" s="1779"/>
      <c r="Q5" s="1779"/>
      <c r="R5" s="1779"/>
      <c r="S5" s="1779"/>
      <c r="T5" s="1780"/>
      <c r="U5" s="281"/>
      <c r="V5" s="1803"/>
      <c r="W5" s="1789"/>
      <c r="X5" s="1789"/>
      <c r="Y5" s="759"/>
      <c r="Z5" s="1773" t="s">
        <v>136</v>
      </c>
      <c r="AA5" s="1773"/>
      <c r="AB5" s="1773"/>
      <c r="AC5" s="1786"/>
      <c r="AD5" s="1787" t="s">
        <v>137</v>
      </c>
      <c r="AE5" s="1787"/>
      <c r="AF5" s="1787"/>
      <c r="AG5" s="1787"/>
      <c r="AH5" s="1787"/>
      <c r="AI5" s="1787"/>
      <c r="AJ5" s="1787"/>
      <c r="AK5" s="1787"/>
      <c r="AL5" s="1787"/>
      <c r="AM5" s="1787" t="s">
        <v>138</v>
      </c>
      <c r="AN5" s="1787"/>
      <c r="AO5" s="1787"/>
      <c r="AP5" s="1788" t="s">
        <v>2973</v>
      </c>
      <c r="AQ5" s="1779"/>
      <c r="AR5" s="1779"/>
      <c r="AS5" s="1779"/>
      <c r="AT5" s="1779"/>
      <c r="AU5" s="1780"/>
      <c r="AV5" s="300"/>
      <c r="AW5" s="1775"/>
      <c r="AX5" s="1773"/>
      <c r="AY5" s="1773"/>
      <c r="BA5" s="803" t="s">
        <v>2942</v>
      </c>
      <c r="BB5" s="63"/>
      <c r="BC5" s="63"/>
      <c r="BD5" s="63">
        <v>4</v>
      </c>
      <c r="BE5" s="63"/>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row>
    <row r="6" spans="1:84" ht="13.5" customHeight="1" thickBot="1">
      <c r="A6" s="1813" t="s">
        <v>139</v>
      </c>
      <c r="B6" s="1813"/>
      <c r="C6" s="1809" t="s">
        <v>3201</v>
      </c>
      <c r="D6" s="1810"/>
      <c r="E6" s="1810"/>
      <c r="F6" s="1810"/>
      <c r="G6" s="1810"/>
      <c r="H6" s="1810"/>
      <c r="I6" s="1810"/>
      <c r="J6" s="1810"/>
      <c r="K6" s="1810"/>
      <c r="L6" s="1810"/>
      <c r="M6" s="1810"/>
      <c r="N6" s="1811"/>
      <c r="O6" s="1771"/>
      <c r="P6" s="1771"/>
      <c r="Q6" s="1771"/>
      <c r="R6" s="1771"/>
      <c r="S6" s="1771"/>
      <c r="T6" s="1781"/>
      <c r="U6" s="282"/>
      <c r="V6" s="1803"/>
      <c r="W6" s="1789"/>
      <c r="X6" s="1789"/>
      <c r="Y6" s="759"/>
      <c r="Z6" s="1805" t="s">
        <v>139</v>
      </c>
      <c r="AA6" s="1805"/>
      <c r="AB6" s="1805"/>
      <c r="AC6" s="1806"/>
      <c r="AD6" s="1809" t="s">
        <v>3201</v>
      </c>
      <c r="AE6" s="1810"/>
      <c r="AF6" s="1810"/>
      <c r="AG6" s="1810"/>
      <c r="AH6" s="1810"/>
      <c r="AI6" s="1810"/>
      <c r="AJ6" s="1810"/>
      <c r="AK6" s="1810"/>
      <c r="AL6" s="1810"/>
      <c r="AM6" s="1810"/>
      <c r="AN6" s="1810"/>
      <c r="AO6" s="1811"/>
      <c r="AP6" s="1771"/>
      <c r="AQ6" s="1771"/>
      <c r="AR6" s="1771"/>
      <c r="AS6" s="1771"/>
      <c r="AT6" s="1771"/>
      <c r="AU6" s="1781"/>
      <c r="AV6" s="301"/>
      <c r="AW6" s="1775"/>
      <c r="AX6" s="1773"/>
      <c r="AY6" s="1773"/>
      <c r="BA6" s="803" t="s">
        <v>3205</v>
      </c>
      <c r="BB6" s="63"/>
      <c r="BC6" s="63"/>
      <c r="BD6" s="63">
        <v>5</v>
      </c>
      <c r="BE6" s="63"/>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row>
    <row r="7" spans="1:84" ht="13.5" customHeight="1">
      <c r="A7" s="1810"/>
      <c r="B7" s="1810"/>
      <c r="C7" s="1809"/>
      <c r="D7" s="1810"/>
      <c r="E7" s="1810"/>
      <c r="F7" s="1810"/>
      <c r="G7" s="1810"/>
      <c r="H7" s="1810"/>
      <c r="I7" s="1810"/>
      <c r="J7" s="1810"/>
      <c r="K7" s="1810"/>
      <c r="L7" s="1810"/>
      <c r="M7" s="1810"/>
      <c r="N7" s="1811"/>
      <c r="O7" s="1782"/>
      <c r="P7" s="1782"/>
      <c r="Q7" s="1782"/>
      <c r="R7" s="1782"/>
      <c r="S7" s="1782"/>
      <c r="T7" s="1783"/>
      <c r="U7" s="281"/>
      <c r="V7" s="1803"/>
      <c r="W7" s="1789"/>
      <c r="X7" s="1789"/>
      <c r="Y7" s="759"/>
      <c r="Z7" s="1807"/>
      <c r="AA7" s="1807"/>
      <c r="AB7" s="1807"/>
      <c r="AC7" s="1808"/>
      <c r="AD7" s="1809"/>
      <c r="AE7" s="1810"/>
      <c r="AF7" s="1810"/>
      <c r="AG7" s="1810"/>
      <c r="AH7" s="1810"/>
      <c r="AI7" s="1810"/>
      <c r="AJ7" s="1810"/>
      <c r="AK7" s="1810"/>
      <c r="AL7" s="1810"/>
      <c r="AM7" s="1810"/>
      <c r="AN7" s="1810"/>
      <c r="AO7" s="1811"/>
      <c r="AP7" s="1782"/>
      <c r="AQ7" s="1782"/>
      <c r="AR7" s="1782"/>
      <c r="AS7" s="1782"/>
      <c r="AT7" s="1782"/>
      <c r="AU7" s="1783"/>
      <c r="AV7" s="300"/>
      <c r="AW7" s="1775"/>
      <c r="AX7" s="1773"/>
      <c r="AY7" s="1773"/>
      <c r="AZ7" s="80"/>
      <c r="BA7" s="803" t="s">
        <v>3043</v>
      </c>
      <c r="BB7" s="63"/>
      <c r="BC7" s="63"/>
      <c r="BD7" s="63"/>
      <c r="BE7" s="63"/>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row>
    <row r="8" spans="1:84" ht="13.5" customHeight="1">
      <c r="A8" s="1813"/>
      <c r="B8" s="1813"/>
      <c r="C8" s="1812"/>
      <c r="D8" s="1813"/>
      <c r="E8" s="1813"/>
      <c r="F8" s="1813"/>
      <c r="G8" s="1813"/>
      <c r="H8" s="1813"/>
      <c r="I8" s="1813"/>
      <c r="J8" s="1813"/>
      <c r="K8" s="1813"/>
      <c r="L8" s="1813"/>
      <c r="M8" s="1813"/>
      <c r="N8" s="1814"/>
      <c r="O8" s="1771"/>
      <c r="P8" s="1771"/>
      <c r="Q8" s="1771"/>
      <c r="R8" s="1771"/>
      <c r="S8" s="1771"/>
      <c r="T8" s="1781"/>
      <c r="U8" s="281"/>
      <c r="V8" s="1803"/>
      <c r="W8" s="1789"/>
      <c r="X8" s="1789"/>
      <c r="Y8" s="759"/>
      <c r="Z8" s="1805"/>
      <c r="AA8" s="1805"/>
      <c r="AB8" s="1805"/>
      <c r="AC8" s="1806"/>
      <c r="AD8" s="1812"/>
      <c r="AE8" s="1813"/>
      <c r="AF8" s="1813"/>
      <c r="AG8" s="1813"/>
      <c r="AH8" s="1813"/>
      <c r="AI8" s="1813"/>
      <c r="AJ8" s="1813"/>
      <c r="AK8" s="1813"/>
      <c r="AL8" s="1813"/>
      <c r="AM8" s="1813"/>
      <c r="AN8" s="1813"/>
      <c r="AO8" s="1814"/>
      <c r="AP8" s="1771"/>
      <c r="AQ8" s="1771"/>
      <c r="AR8" s="1771"/>
      <c r="AS8" s="1771"/>
      <c r="AT8" s="1771"/>
      <c r="AU8" s="1781"/>
      <c r="AV8" s="300"/>
      <c r="AW8" s="1775"/>
      <c r="AX8" s="1773"/>
      <c r="AY8" s="1773"/>
      <c r="AZ8" s="80"/>
      <c r="BA8" s="803" t="s">
        <v>3044</v>
      </c>
      <c r="BB8" s="63"/>
      <c r="BC8" s="63"/>
      <c r="BD8" s="63"/>
      <c r="BE8" s="63"/>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row>
    <row r="9" spans="1:84" ht="14.25" customHeight="1" thickBot="1">
      <c r="A9" s="1813"/>
      <c r="B9" s="1813"/>
      <c r="C9" s="1815"/>
      <c r="D9" s="1816"/>
      <c r="E9" s="1816"/>
      <c r="F9" s="1816"/>
      <c r="G9" s="1816"/>
      <c r="H9" s="1816"/>
      <c r="I9" s="1816"/>
      <c r="J9" s="1816"/>
      <c r="K9" s="1816"/>
      <c r="L9" s="1816"/>
      <c r="M9" s="1816"/>
      <c r="N9" s="1817"/>
      <c r="O9" s="1784"/>
      <c r="P9" s="1784"/>
      <c r="Q9" s="1784"/>
      <c r="R9" s="1784"/>
      <c r="S9" s="1784"/>
      <c r="T9" s="1785"/>
      <c r="U9" s="281"/>
      <c r="V9" s="1804"/>
      <c r="W9" s="1789"/>
      <c r="X9" s="1789"/>
      <c r="Y9" s="759"/>
      <c r="Z9" s="1805"/>
      <c r="AA9" s="1805"/>
      <c r="AB9" s="1805"/>
      <c r="AC9" s="1806"/>
      <c r="AD9" s="1815"/>
      <c r="AE9" s="1816"/>
      <c r="AF9" s="1816"/>
      <c r="AG9" s="1816"/>
      <c r="AH9" s="1816"/>
      <c r="AI9" s="1816"/>
      <c r="AJ9" s="1816"/>
      <c r="AK9" s="1816"/>
      <c r="AL9" s="1816"/>
      <c r="AM9" s="1816"/>
      <c r="AN9" s="1816"/>
      <c r="AO9" s="1817"/>
      <c r="AP9" s="1784"/>
      <c r="AQ9" s="1784"/>
      <c r="AR9" s="1784"/>
      <c r="AS9" s="1784"/>
      <c r="AT9" s="1784"/>
      <c r="AU9" s="1785"/>
      <c r="AV9" s="300"/>
      <c r="AW9" s="1776"/>
      <c r="AX9" s="1773"/>
      <c r="AY9" s="1773"/>
      <c r="AZ9" s="80"/>
      <c r="BA9" s="803" t="s">
        <v>3206</v>
      </c>
      <c r="BB9" s="63"/>
      <c r="BC9" s="63"/>
      <c r="BD9" s="63" t="s">
        <v>2971</v>
      </c>
      <c r="BE9" s="63"/>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row>
    <row r="10" spans="1:84" s="167" customFormat="1" ht="13.5" customHeight="1">
      <c r="A10" s="713"/>
      <c r="B10" s="1771" t="s">
        <v>140</v>
      </c>
      <c r="C10" s="1771"/>
      <c r="D10" s="1771"/>
      <c r="E10" s="1771"/>
      <c r="F10" s="1771"/>
      <c r="G10" s="1771"/>
      <c r="H10" s="1771"/>
      <c r="I10" s="1771"/>
      <c r="J10" s="1771"/>
      <c r="K10" s="1771"/>
      <c r="L10" s="1771"/>
      <c r="M10" s="1771"/>
      <c r="N10" s="1771"/>
      <c r="O10" s="1771"/>
      <c r="P10" s="1771"/>
      <c r="Q10" s="1771"/>
      <c r="R10" s="1771"/>
      <c r="S10" s="1771"/>
      <c r="T10" s="1771"/>
      <c r="U10" s="1771"/>
      <c r="V10" s="717"/>
      <c r="W10" s="710"/>
      <c r="X10" s="710"/>
      <c r="Y10" s="759"/>
      <c r="Z10" s="714"/>
      <c r="AA10" s="714"/>
      <c r="AB10" s="714"/>
      <c r="AC10" s="714"/>
      <c r="AD10" s="711"/>
      <c r="AE10" s="711"/>
      <c r="AF10" s="711"/>
      <c r="AG10" s="711"/>
      <c r="AH10" s="711"/>
      <c r="AI10" s="711"/>
      <c r="AJ10" s="711"/>
      <c r="AK10" s="711"/>
      <c r="AL10" s="711"/>
      <c r="AM10" s="711"/>
      <c r="AN10" s="711"/>
      <c r="AO10" s="711"/>
      <c r="AP10" s="713"/>
      <c r="AQ10" s="713"/>
      <c r="AR10" s="713"/>
      <c r="AS10" s="713"/>
      <c r="AT10" s="713"/>
      <c r="AU10" s="713"/>
      <c r="AV10" s="300"/>
      <c r="AW10" s="718"/>
      <c r="AX10" s="712"/>
      <c r="AY10" s="712"/>
      <c r="AZ10" s="80"/>
      <c r="BA10" s="803" t="s">
        <v>3207</v>
      </c>
      <c r="BB10" s="63"/>
      <c r="BC10" s="63"/>
      <c r="BD10" s="63"/>
      <c r="BE10" s="63"/>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row>
    <row r="11" spans="1:84" ht="13.5" customHeight="1">
      <c r="A11" s="713"/>
      <c r="B11" s="1772"/>
      <c r="C11" s="1772"/>
      <c r="D11" s="1772"/>
      <c r="E11" s="1772"/>
      <c r="F11" s="1772"/>
      <c r="G11" s="1772"/>
      <c r="H11" s="1772"/>
      <c r="I11" s="1772"/>
      <c r="J11" s="1772"/>
      <c r="K11" s="1772"/>
      <c r="L11" s="1772"/>
      <c r="M11" s="1772"/>
      <c r="N11" s="1772"/>
      <c r="O11" s="1772"/>
      <c r="P11" s="1772"/>
      <c r="Q11" s="1772"/>
      <c r="R11" s="1772"/>
      <c r="S11" s="1772"/>
      <c r="T11" s="1772"/>
      <c r="U11" s="1772"/>
      <c r="V11" s="238"/>
      <c r="W11" s="238"/>
      <c r="X11" s="238"/>
      <c r="Y11" s="759"/>
      <c r="Z11" s="1827" t="s">
        <v>140</v>
      </c>
      <c r="AA11" s="1827"/>
      <c r="AB11" s="1827"/>
      <c r="AC11" s="1827"/>
      <c r="AD11" s="1827"/>
      <c r="AE11" s="1827"/>
      <c r="AF11" s="1827"/>
      <c r="AG11" s="1827"/>
      <c r="AH11" s="1827"/>
      <c r="AI11" s="1827"/>
      <c r="AJ11" s="1827"/>
      <c r="AK11" s="1827"/>
      <c r="AL11" s="1827"/>
      <c r="AM11" s="1827"/>
      <c r="AN11" s="1827"/>
      <c r="AO11" s="1827"/>
      <c r="AP11" s="1827"/>
      <c r="AQ11" s="1827"/>
      <c r="AR11" s="1827"/>
      <c r="AS11" s="1827"/>
      <c r="AT11" s="1827"/>
      <c r="AU11" s="1827"/>
      <c r="AV11" s="296"/>
      <c r="AW11" s="302"/>
      <c r="AX11" s="303"/>
      <c r="AY11" s="304"/>
      <c r="AZ11" s="80"/>
      <c r="BA11" s="803" t="s">
        <v>3208</v>
      </c>
      <c r="BB11" s="63"/>
      <c r="BC11" s="63"/>
      <c r="BD11" s="63" t="s">
        <v>2972</v>
      </c>
      <c r="BE11" s="63"/>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row>
    <row r="12" spans="1:84" ht="27" customHeight="1">
      <c r="A12" s="1162" t="s">
        <v>84</v>
      </c>
      <c r="B12" s="1162"/>
      <c r="C12" s="1828">
        <f>'01 使用承認申請書'!D4</f>
        <v>0</v>
      </c>
      <c r="D12" s="1828"/>
      <c r="E12" s="1828"/>
      <c r="F12" s="1828"/>
      <c r="G12" s="1828"/>
      <c r="H12" s="1828"/>
      <c r="I12" s="1828"/>
      <c r="J12" s="1828"/>
      <c r="K12" s="1828"/>
      <c r="L12" s="1828"/>
      <c r="M12" s="1828"/>
      <c r="N12" s="1828"/>
      <c r="O12" s="1828"/>
      <c r="P12" s="1828"/>
      <c r="Q12" s="1828"/>
      <c r="R12" s="1828"/>
      <c r="S12" s="283"/>
      <c r="T12" s="284"/>
      <c r="U12" s="284"/>
      <c r="V12" s="284"/>
      <c r="W12" s="238"/>
      <c r="X12" s="285"/>
      <c r="Y12" s="759"/>
      <c r="Z12" s="305" t="s">
        <v>84</v>
      </c>
      <c r="AA12" s="305"/>
      <c r="AB12" s="305"/>
      <c r="AC12" s="1829" t="s">
        <v>83</v>
      </c>
      <c r="AD12" s="1829"/>
      <c r="AE12" s="1829"/>
      <c r="AF12" s="1829"/>
      <c r="AG12" s="1829"/>
      <c r="AH12" s="1829"/>
      <c r="AI12" s="1829"/>
      <c r="AJ12" s="1829"/>
      <c r="AK12" s="1829"/>
      <c r="AL12" s="1829"/>
      <c r="AM12" s="1829"/>
      <c r="AN12" s="1829"/>
      <c r="AO12" s="1829"/>
      <c r="AP12" s="1829"/>
      <c r="AQ12" s="1829"/>
      <c r="AR12" s="1829"/>
      <c r="AS12" s="1829"/>
      <c r="AT12" s="306"/>
      <c r="AU12" s="307"/>
      <c r="AV12" s="307"/>
      <c r="AW12" s="307"/>
      <c r="AX12" s="296"/>
      <c r="AY12" s="308"/>
      <c r="AZ12" s="80"/>
      <c r="BA12" s="803"/>
      <c r="BB12" s="63"/>
      <c r="BC12" s="63"/>
      <c r="BD12" s="63"/>
      <c r="BE12" s="63"/>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row>
    <row r="13" spans="1:84" ht="13.5" customHeight="1">
      <c r="A13" s="1830" t="s">
        <v>82</v>
      </c>
      <c r="B13" s="1830"/>
      <c r="C13" s="1823" t="str">
        <f>CONCATENATE('01 使用承認申請書'!B12)</f>
        <v/>
      </c>
      <c r="D13" s="1516" t="s">
        <v>16</v>
      </c>
      <c r="E13" s="1823" t="str">
        <f>CONCATENATE('01 使用承認申請書'!C14)</f>
        <v/>
      </c>
      <c r="F13" s="1790" t="s">
        <v>15</v>
      </c>
      <c r="G13" s="1823" t="str">
        <f>CONCATENATE('01 使用承認申請書'!F14)</f>
        <v/>
      </c>
      <c r="H13" s="1790" t="s">
        <v>14</v>
      </c>
      <c r="I13" s="1790" t="s">
        <v>81</v>
      </c>
      <c r="J13" s="1823" t="str">
        <f>CONCATENATE('01 使用承認申請書'!J14)</f>
        <v/>
      </c>
      <c r="K13" s="1790" t="s">
        <v>41</v>
      </c>
      <c r="L13" s="1790" t="s">
        <v>98</v>
      </c>
      <c r="M13" s="1823" t="str">
        <f>CONCATENATE('01 使用承認申請書'!C16)</f>
        <v/>
      </c>
      <c r="N13" s="1790" t="s">
        <v>15</v>
      </c>
      <c r="O13" s="1823" t="str">
        <f>CONCATENATE('01 使用承認申請書'!F16)</f>
        <v/>
      </c>
      <c r="P13" s="1790" t="s">
        <v>14</v>
      </c>
      <c r="Q13" s="1790" t="s">
        <v>42</v>
      </c>
      <c r="R13" s="1823" t="str">
        <f>CONCATENATE('01 使用承認申請書'!J16)</f>
        <v/>
      </c>
      <c r="S13" s="1516" t="s">
        <v>43</v>
      </c>
      <c r="T13" s="286"/>
      <c r="U13" s="287" t="str">
        <f>CONCATENATE('01 使用承認申請書'!L13)</f>
        <v/>
      </c>
      <c r="V13" s="238" t="s">
        <v>46</v>
      </c>
      <c r="W13" s="287" t="str">
        <f>CONCATENATE('01 使用承認申請書'!Q13)</f>
        <v/>
      </c>
      <c r="X13" s="238" t="s">
        <v>14</v>
      </c>
      <c r="Y13" s="759"/>
      <c r="Z13" s="1831" t="s">
        <v>82</v>
      </c>
      <c r="AA13" s="1831"/>
      <c r="AB13" s="1831"/>
      <c r="AC13" s="1825" t="s">
        <v>3088</v>
      </c>
      <c r="AD13" s="1794" t="s">
        <v>16</v>
      </c>
      <c r="AE13" s="1825" t="s">
        <v>481</v>
      </c>
      <c r="AF13" s="1794" t="s">
        <v>15</v>
      </c>
      <c r="AG13" s="1825" t="s">
        <v>39</v>
      </c>
      <c r="AH13" s="1794" t="s">
        <v>14</v>
      </c>
      <c r="AI13" s="1794" t="s">
        <v>81</v>
      </c>
      <c r="AJ13" s="1825" t="s">
        <v>492</v>
      </c>
      <c r="AK13" s="1794" t="s">
        <v>56</v>
      </c>
      <c r="AL13" s="1794" t="s">
        <v>98</v>
      </c>
      <c r="AM13" s="1825" t="s">
        <v>481</v>
      </c>
      <c r="AN13" s="1794" t="s">
        <v>15</v>
      </c>
      <c r="AO13" s="1825" t="s">
        <v>2943</v>
      </c>
      <c r="AP13" s="1794" t="s">
        <v>14</v>
      </c>
      <c r="AQ13" s="1794" t="s">
        <v>81</v>
      </c>
      <c r="AR13" s="1825" t="s">
        <v>381</v>
      </c>
      <c r="AS13" s="1794" t="s">
        <v>41</v>
      </c>
      <c r="AT13" s="296"/>
      <c r="AU13" s="303"/>
      <c r="AV13" s="309" t="s">
        <v>482</v>
      </c>
      <c r="AW13" s="296" t="s">
        <v>46</v>
      </c>
      <c r="AX13" s="309" t="s">
        <v>483</v>
      </c>
      <c r="AY13" s="296" t="s">
        <v>14</v>
      </c>
      <c r="AZ13" s="80"/>
      <c r="BA13" s="803"/>
      <c r="BB13" s="63"/>
      <c r="BC13" s="63"/>
      <c r="BD13" s="63"/>
      <c r="BE13" s="63"/>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row>
    <row r="14" spans="1:84" ht="13.5" customHeight="1">
      <c r="A14" s="1162"/>
      <c r="B14" s="1162"/>
      <c r="C14" s="1824"/>
      <c r="D14" s="1517"/>
      <c r="E14" s="1824"/>
      <c r="F14" s="1517"/>
      <c r="G14" s="1824"/>
      <c r="H14" s="1517"/>
      <c r="I14" s="1517"/>
      <c r="J14" s="1824"/>
      <c r="K14" s="1517"/>
      <c r="L14" s="1517"/>
      <c r="M14" s="1824"/>
      <c r="N14" s="1517"/>
      <c r="O14" s="1824"/>
      <c r="P14" s="1517"/>
      <c r="Q14" s="1517"/>
      <c r="R14" s="1824"/>
      <c r="S14" s="1517"/>
      <c r="T14" s="279"/>
      <c r="U14" s="1517" t="s">
        <v>47</v>
      </c>
      <c r="V14" s="1517"/>
      <c r="W14" s="288" t="str">
        <f>CONCATENATE('01 使用承認申請書'!V13)</f>
        <v/>
      </c>
      <c r="X14" s="289" t="s">
        <v>14</v>
      </c>
      <c r="Y14" s="759"/>
      <c r="Z14" s="1456"/>
      <c r="AA14" s="1456"/>
      <c r="AB14" s="1456"/>
      <c r="AC14" s="1826"/>
      <c r="AD14" s="1454"/>
      <c r="AE14" s="1826"/>
      <c r="AF14" s="1454"/>
      <c r="AG14" s="1826"/>
      <c r="AH14" s="1454"/>
      <c r="AI14" s="1454"/>
      <c r="AJ14" s="1826"/>
      <c r="AK14" s="1454"/>
      <c r="AL14" s="1454"/>
      <c r="AM14" s="1826"/>
      <c r="AN14" s="1454"/>
      <c r="AO14" s="1826"/>
      <c r="AP14" s="1454"/>
      <c r="AQ14" s="1454"/>
      <c r="AR14" s="1826"/>
      <c r="AS14" s="1454"/>
      <c r="AT14" s="310"/>
      <c r="AU14" s="298"/>
      <c r="AV14" s="1454" t="s">
        <v>47</v>
      </c>
      <c r="AW14" s="1454"/>
      <c r="AX14" s="311"/>
      <c r="AY14" s="310" t="s">
        <v>14</v>
      </c>
      <c r="AZ14" s="80"/>
      <c r="BA14" s="803"/>
      <c r="BB14" s="63"/>
      <c r="BC14" s="63"/>
      <c r="BD14" s="63"/>
      <c r="BE14" s="63"/>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row>
    <row r="15" spans="1:84" ht="9.9499999999999993" customHeight="1">
      <c r="A15" s="290"/>
      <c r="B15" s="290"/>
      <c r="C15" s="291"/>
      <c r="D15" s="291"/>
      <c r="E15" s="291"/>
      <c r="F15" s="291"/>
      <c r="G15" s="291"/>
      <c r="H15" s="291"/>
      <c r="I15" s="291"/>
      <c r="J15" s="291"/>
      <c r="K15" s="291"/>
      <c r="L15" s="291"/>
      <c r="M15" s="291"/>
      <c r="N15" s="291"/>
      <c r="O15" s="291"/>
      <c r="P15" s="291"/>
      <c r="Q15" s="291"/>
      <c r="R15" s="291"/>
      <c r="S15" s="292"/>
      <c r="T15" s="291"/>
      <c r="U15" s="293"/>
      <c r="V15" s="293"/>
      <c r="W15" s="293"/>
      <c r="X15" s="293"/>
      <c r="Y15" s="759"/>
      <c r="Z15" s="312"/>
      <c r="AA15" s="312"/>
      <c r="AB15" s="312"/>
      <c r="AC15" s="313"/>
      <c r="AD15" s="313"/>
      <c r="AE15" s="313"/>
      <c r="AF15" s="313"/>
      <c r="AG15" s="313"/>
      <c r="AH15" s="313"/>
      <c r="AI15" s="313"/>
      <c r="AJ15" s="313"/>
      <c r="AK15" s="313"/>
      <c r="AL15" s="313"/>
      <c r="AM15" s="313"/>
      <c r="AN15" s="313"/>
      <c r="AO15" s="313"/>
      <c r="AP15" s="313"/>
      <c r="AQ15" s="313"/>
      <c r="AR15" s="313"/>
      <c r="AS15" s="313"/>
      <c r="AT15" s="314"/>
      <c r="AU15" s="313"/>
      <c r="AV15" s="315"/>
      <c r="AW15" s="315"/>
      <c r="AX15" s="315"/>
      <c r="AY15" s="315"/>
      <c r="AZ15" s="80"/>
      <c r="BA15" s="63"/>
      <c r="BB15" s="63"/>
      <c r="BC15" s="63"/>
      <c r="BD15" s="63"/>
      <c r="BE15" s="63"/>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row>
    <row r="16" spans="1:84" ht="24" customHeight="1" thickBot="1">
      <c r="A16" s="1821" t="s">
        <v>2940</v>
      </c>
      <c r="B16" s="1821"/>
      <c r="C16" s="1821"/>
      <c r="D16" s="1821"/>
      <c r="E16" s="1821"/>
      <c r="F16" s="1821"/>
      <c r="G16" s="1821"/>
      <c r="H16" s="1821"/>
      <c r="I16" s="1821"/>
      <c r="J16" s="1821"/>
      <c r="K16" s="1821"/>
      <c r="L16" s="1821"/>
      <c r="M16" s="1821"/>
      <c r="N16" s="1821"/>
      <c r="O16" s="1821"/>
      <c r="P16" s="1821"/>
      <c r="Q16" s="1821"/>
      <c r="R16" s="1821"/>
      <c r="S16" s="1821"/>
      <c r="T16" s="1821"/>
      <c r="U16" s="1821"/>
      <c r="V16" s="1821"/>
      <c r="W16" s="1821"/>
      <c r="X16" s="1821"/>
      <c r="Y16" s="759"/>
      <c r="Z16" s="1822" t="s">
        <v>2940</v>
      </c>
      <c r="AA16" s="1822"/>
      <c r="AB16" s="1822"/>
      <c r="AC16" s="1822"/>
      <c r="AD16" s="1822"/>
      <c r="AE16" s="1822"/>
      <c r="AF16" s="1822"/>
      <c r="AG16" s="1822"/>
      <c r="AH16" s="1822"/>
      <c r="AI16" s="1822"/>
      <c r="AJ16" s="1822"/>
      <c r="AK16" s="1822"/>
      <c r="AL16" s="1822"/>
      <c r="AM16" s="1822"/>
      <c r="AN16" s="1822"/>
      <c r="AO16" s="1822"/>
      <c r="AP16" s="1822"/>
      <c r="AQ16" s="1822"/>
      <c r="AR16" s="1822"/>
      <c r="AS16" s="1822"/>
      <c r="AT16" s="1822"/>
      <c r="AU16" s="1822"/>
      <c r="AV16" s="1822"/>
      <c r="AW16" s="1822"/>
      <c r="AX16" s="1822"/>
      <c r="AY16" s="1822"/>
      <c r="AZ16" s="80"/>
      <c r="BA16" s="63"/>
      <c r="BB16" s="63"/>
      <c r="BC16" s="63"/>
      <c r="BD16" s="63"/>
      <c r="BE16" s="63"/>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row>
    <row r="17" spans="1:84" ht="24.95" customHeight="1" thickBot="1">
      <c r="A17" s="1818" t="s">
        <v>142</v>
      </c>
      <c r="B17" s="1832" t="s">
        <v>3018</v>
      </c>
      <c r="C17" s="1851" t="s">
        <v>2991</v>
      </c>
      <c r="D17" s="1849"/>
      <c r="E17" s="1849"/>
      <c r="F17" s="1849"/>
      <c r="G17" s="1850"/>
      <c r="H17" s="1848" t="s">
        <v>2990</v>
      </c>
      <c r="I17" s="1849"/>
      <c r="J17" s="1849"/>
      <c r="K17" s="1849"/>
      <c r="L17" s="1850"/>
      <c r="M17" s="1848" t="s">
        <v>2989</v>
      </c>
      <c r="N17" s="1849"/>
      <c r="O17" s="1849"/>
      <c r="P17" s="1849"/>
      <c r="Q17" s="1850"/>
      <c r="R17" s="1849" t="s">
        <v>2991</v>
      </c>
      <c r="S17" s="1849"/>
      <c r="T17" s="1849"/>
      <c r="U17" s="1849"/>
      <c r="V17" s="1852"/>
      <c r="W17" s="1857" t="s">
        <v>112</v>
      </c>
      <c r="X17" s="1858"/>
      <c r="Y17" s="759"/>
      <c r="Z17" s="1835" t="s">
        <v>142</v>
      </c>
      <c r="AA17" s="1871" t="s">
        <v>3019</v>
      </c>
      <c r="AB17" s="1872"/>
      <c r="AC17" s="1832"/>
      <c r="AD17" s="1851" t="s">
        <v>2991</v>
      </c>
      <c r="AE17" s="1849"/>
      <c r="AF17" s="1849"/>
      <c r="AG17" s="1849"/>
      <c r="AH17" s="1850"/>
      <c r="AI17" s="1848" t="s">
        <v>2990</v>
      </c>
      <c r="AJ17" s="1849"/>
      <c r="AK17" s="1849"/>
      <c r="AL17" s="1849"/>
      <c r="AM17" s="1850"/>
      <c r="AN17" s="1848" t="s">
        <v>2989</v>
      </c>
      <c r="AO17" s="1849"/>
      <c r="AP17" s="1849"/>
      <c r="AQ17" s="1849"/>
      <c r="AR17" s="1850"/>
      <c r="AS17" s="1849" t="s">
        <v>2991</v>
      </c>
      <c r="AT17" s="1849"/>
      <c r="AU17" s="1849"/>
      <c r="AV17" s="1849"/>
      <c r="AW17" s="1852"/>
      <c r="AX17" s="1958" t="s">
        <v>112</v>
      </c>
      <c r="AY17" s="1959"/>
      <c r="AZ17" s="80"/>
      <c r="BA17" s="63"/>
      <c r="BB17" s="63"/>
      <c r="BC17" s="63"/>
      <c r="BD17" s="63"/>
      <c r="BE17" s="63"/>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row>
    <row r="18" spans="1:84" ht="34.5" customHeight="1">
      <c r="A18" s="1819"/>
      <c r="B18" s="1833"/>
      <c r="C18" s="1837" t="str">
        <f>G13</f>
        <v/>
      </c>
      <c r="D18" s="1529"/>
      <c r="E18" s="608" t="s">
        <v>143</v>
      </c>
      <c r="F18" s="631" t="str">
        <f>J13</f>
        <v/>
      </c>
      <c r="G18" s="606" t="s">
        <v>2988</v>
      </c>
      <c r="H18" s="1838" t="str">
        <f>G13</f>
        <v/>
      </c>
      <c r="I18" s="1529"/>
      <c r="J18" s="608" t="s">
        <v>143</v>
      </c>
      <c r="K18" s="631" t="str">
        <f>J13</f>
        <v/>
      </c>
      <c r="L18" s="606" t="s">
        <v>2988</v>
      </c>
      <c r="M18" s="1838" t="str">
        <f>O13</f>
        <v/>
      </c>
      <c r="N18" s="1529"/>
      <c r="O18" s="608" t="s">
        <v>143</v>
      </c>
      <c r="P18" s="631" t="str">
        <f>R13</f>
        <v/>
      </c>
      <c r="Q18" s="606" t="s">
        <v>2988</v>
      </c>
      <c r="R18" s="1838" t="str">
        <f>O13</f>
        <v/>
      </c>
      <c r="S18" s="1529"/>
      <c r="T18" s="608" t="s">
        <v>143</v>
      </c>
      <c r="U18" s="631" t="str">
        <f>R13</f>
        <v/>
      </c>
      <c r="V18" s="632" t="s">
        <v>2988</v>
      </c>
      <c r="W18" s="1859"/>
      <c r="X18" s="1860"/>
      <c r="Y18" s="759"/>
      <c r="Z18" s="1836"/>
      <c r="AA18" s="1873"/>
      <c r="AB18" s="1874"/>
      <c r="AC18" s="1833"/>
      <c r="AD18" s="1509">
        <v>10</v>
      </c>
      <c r="AE18" s="1509"/>
      <c r="AF18" s="607" t="s">
        <v>143</v>
      </c>
      <c r="AG18" s="311" t="s">
        <v>14</v>
      </c>
      <c r="AH18" s="634" t="s">
        <v>2988</v>
      </c>
      <c r="AI18" s="1855">
        <v>10</v>
      </c>
      <c r="AJ18" s="1509"/>
      <c r="AK18" s="607" t="s">
        <v>143</v>
      </c>
      <c r="AL18" s="311" t="s">
        <v>14</v>
      </c>
      <c r="AM18" s="634" t="s">
        <v>2988</v>
      </c>
      <c r="AN18" s="1855">
        <v>11</v>
      </c>
      <c r="AO18" s="1509"/>
      <c r="AP18" s="607" t="s">
        <v>143</v>
      </c>
      <c r="AQ18" s="311" t="s">
        <v>2836</v>
      </c>
      <c r="AR18" s="634" t="s">
        <v>2988</v>
      </c>
      <c r="AS18" s="1855">
        <v>11</v>
      </c>
      <c r="AT18" s="1509"/>
      <c r="AU18" s="607" t="s">
        <v>143</v>
      </c>
      <c r="AV18" s="311" t="s">
        <v>2836</v>
      </c>
      <c r="AW18" s="538" t="s">
        <v>2988</v>
      </c>
      <c r="AX18" s="1960"/>
      <c r="AY18" s="1961"/>
      <c r="AZ18" s="80"/>
      <c r="BA18" s="63"/>
      <c r="BB18" s="63"/>
      <c r="BC18" s="63"/>
      <c r="BD18" s="63"/>
      <c r="BE18" s="63"/>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row>
    <row r="19" spans="1:84" ht="32.1" customHeight="1" thickBot="1">
      <c r="A19" s="1819"/>
      <c r="B19" s="1833"/>
      <c r="C19" s="1846"/>
      <c r="D19" s="1846"/>
      <c r="E19" s="1846"/>
      <c r="F19" s="1846"/>
      <c r="G19" s="1847"/>
      <c r="H19" s="1846"/>
      <c r="I19" s="1846"/>
      <c r="J19" s="1846"/>
      <c r="K19" s="1846"/>
      <c r="L19" s="1847"/>
      <c r="M19" s="1846"/>
      <c r="N19" s="1846"/>
      <c r="O19" s="1846"/>
      <c r="P19" s="1846"/>
      <c r="Q19" s="1847"/>
      <c r="R19" s="1846"/>
      <c r="S19" s="1846"/>
      <c r="T19" s="1846"/>
      <c r="U19" s="1846"/>
      <c r="V19" s="1847"/>
      <c r="W19" s="1859"/>
      <c r="X19" s="1860"/>
      <c r="Y19" s="759"/>
      <c r="Z19" s="1836"/>
      <c r="AA19" s="1873"/>
      <c r="AB19" s="1874"/>
      <c r="AC19" s="1833"/>
      <c r="AD19" s="1854" t="s">
        <v>145</v>
      </c>
      <c r="AE19" s="1854"/>
      <c r="AF19" s="1854"/>
      <c r="AG19" s="1854"/>
      <c r="AH19" s="1869"/>
      <c r="AI19" s="1870" t="s">
        <v>145</v>
      </c>
      <c r="AJ19" s="1854"/>
      <c r="AK19" s="1854"/>
      <c r="AL19" s="1854"/>
      <c r="AM19" s="1869"/>
      <c r="AN19" s="1870" t="s">
        <v>145</v>
      </c>
      <c r="AO19" s="1854"/>
      <c r="AP19" s="1854"/>
      <c r="AQ19" s="1854"/>
      <c r="AR19" s="1869"/>
      <c r="AS19" s="1853" t="s">
        <v>2944</v>
      </c>
      <c r="AT19" s="1854"/>
      <c r="AU19" s="1854"/>
      <c r="AV19" s="1854"/>
      <c r="AW19" s="1854"/>
      <c r="AX19" s="1960"/>
      <c r="AY19" s="1961"/>
      <c r="AZ19" s="80"/>
      <c r="BA19" s="63"/>
      <c r="BB19" s="63"/>
      <c r="BC19" s="63"/>
      <c r="BD19" s="63"/>
      <c r="BE19" s="63"/>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row>
    <row r="20" spans="1:84" s="167" customFormat="1" ht="32.1" customHeight="1" thickTop="1" thickBot="1">
      <c r="A20" s="1819"/>
      <c r="B20" s="1833"/>
      <c r="C20" s="1841" t="str">
        <f>IFERROR(_xlfn.IFS($BB$20="土通常食",$BD$11,$BB$20="日通常食",$BD$9),"")</f>
        <v/>
      </c>
      <c r="D20" s="1841"/>
      <c r="E20" s="1841"/>
      <c r="F20" s="1841"/>
      <c r="G20" s="1842"/>
      <c r="H20" s="1843" t="str">
        <f>IFERROR(_xlfn.IFS($BB$21="土通常食",$BD$11,$BB$21="日通常食",$BD$9),"")</f>
        <v/>
      </c>
      <c r="I20" s="1841"/>
      <c r="J20" s="1841"/>
      <c r="K20" s="1841"/>
      <c r="L20" s="1842"/>
      <c r="M20" s="1843" t="str">
        <f>IFERROR(_xlfn.IFS($BB$22="土通常食",$BD$11,$BB$22="日通常食",$BD$9),"")</f>
        <v/>
      </c>
      <c r="N20" s="1841"/>
      <c r="O20" s="1841"/>
      <c r="P20" s="1841"/>
      <c r="Q20" s="1842"/>
      <c r="R20" s="1844" t="str">
        <f>IFERROR(_xlfn.IFS($BB$23="土通常食",$BD$11,$BB$23="日通常食",$BD$9),"")</f>
        <v/>
      </c>
      <c r="S20" s="1844"/>
      <c r="T20" s="1844"/>
      <c r="U20" s="1844"/>
      <c r="V20" s="1845"/>
      <c r="W20" s="1859"/>
      <c r="X20" s="1860"/>
      <c r="Y20" s="759"/>
      <c r="Z20" s="1836"/>
      <c r="AA20" s="1873"/>
      <c r="AB20" s="1874"/>
      <c r="AC20" s="1833"/>
      <c r="AD20" s="1863" t="str">
        <f>IFERROR(_xlfn.IFS($AG$18="土",$BD$11,$AG$18="日",$BD$9),"")</f>
        <v>日曜メニュー</v>
      </c>
      <c r="AE20" s="1863"/>
      <c r="AF20" s="1863"/>
      <c r="AG20" s="1863"/>
      <c r="AH20" s="1864"/>
      <c r="AI20" s="1865" t="str">
        <f>IFERROR(_xlfn.IFS($AL$18="土",$BD$11,$AL$18="日",$BD$9),"")</f>
        <v>日曜メニュー</v>
      </c>
      <c r="AJ20" s="1863"/>
      <c r="AK20" s="1863"/>
      <c r="AL20" s="1863"/>
      <c r="AM20" s="1864"/>
      <c r="AN20" s="1866"/>
      <c r="AO20" s="1867"/>
      <c r="AP20" s="1867"/>
      <c r="AQ20" s="1867"/>
      <c r="AR20" s="1868"/>
      <c r="AS20" s="1867"/>
      <c r="AT20" s="1867"/>
      <c r="AU20" s="1867"/>
      <c r="AV20" s="1867"/>
      <c r="AW20" s="1867"/>
      <c r="AX20" s="1960"/>
      <c r="AY20" s="1961"/>
      <c r="AZ20" s="80"/>
      <c r="BA20" s="63"/>
      <c r="BB20" s="63" t="str">
        <f>F18&amp;C19</f>
        <v/>
      </c>
      <c r="BC20" s="63"/>
      <c r="BD20" s="63"/>
      <c r="BE20" s="63"/>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row>
    <row r="21" spans="1:84" ht="15.95" customHeight="1" thickTop="1" thickBot="1">
      <c r="A21" s="1820"/>
      <c r="B21" s="1834"/>
      <c r="C21" s="1839" t="s">
        <v>146</v>
      </c>
      <c r="D21" s="1839"/>
      <c r="E21" s="1839"/>
      <c r="F21" s="1839"/>
      <c r="G21" s="1839"/>
      <c r="H21" s="1839"/>
      <c r="I21" s="1839"/>
      <c r="J21" s="1839"/>
      <c r="K21" s="1839"/>
      <c r="L21" s="1839"/>
      <c r="M21" s="1839"/>
      <c r="N21" s="1839"/>
      <c r="O21" s="1839"/>
      <c r="P21" s="1839"/>
      <c r="Q21" s="1839"/>
      <c r="R21" s="1839"/>
      <c r="S21" s="1839"/>
      <c r="T21" s="1839"/>
      <c r="U21" s="1839"/>
      <c r="V21" s="1840"/>
      <c r="W21" s="1861"/>
      <c r="X21" s="1862"/>
      <c r="Y21" s="759"/>
      <c r="Z21" s="1836"/>
      <c r="AA21" s="1873"/>
      <c r="AB21" s="1874"/>
      <c r="AC21" s="1833"/>
      <c r="AD21" s="1856" t="s">
        <v>146</v>
      </c>
      <c r="AE21" s="1856"/>
      <c r="AF21" s="1856"/>
      <c r="AG21" s="1856"/>
      <c r="AH21" s="1856"/>
      <c r="AI21" s="1856"/>
      <c r="AJ21" s="1856"/>
      <c r="AK21" s="1856"/>
      <c r="AL21" s="1856"/>
      <c r="AM21" s="1856"/>
      <c r="AN21" s="1856"/>
      <c r="AO21" s="1856"/>
      <c r="AP21" s="1856"/>
      <c r="AQ21" s="1856"/>
      <c r="AR21" s="1856"/>
      <c r="AS21" s="1856"/>
      <c r="AT21" s="1856"/>
      <c r="AU21" s="1856"/>
      <c r="AV21" s="1856"/>
      <c r="AW21" s="1856"/>
      <c r="AX21" s="1951"/>
      <c r="AY21" s="1953"/>
      <c r="AZ21" s="80"/>
      <c r="BA21" s="63"/>
      <c r="BB21" s="63" t="str">
        <f>K18&amp;H19</f>
        <v/>
      </c>
      <c r="BC21" s="63"/>
      <c r="BD21" s="63"/>
      <c r="BE21" s="63"/>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row>
    <row r="22" spans="1:84" ht="15.95" customHeight="1">
      <c r="A22" s="1935"/>
      <c r="B22" s="1910" t="s">
        <v>422</v>
      </c>
      <c r="C22" s="1911"/>
      <c r="D22" s="1912"/>
      <c r="E22" s="1912"/>
      <c r="F22" s="1912"/>
      <c r="G22" s="1912"/>
      <c r="H22" s="1917"/>
      <c r="I22" s="1917"/>
      <c r="J22" s="1917"/>
      <c r="K22" s="1917"/>
      <c r="L22" s="1917"/>
      <c r="M22" s="1917"/>
      <c r="N22" s="1917"/>
      <c r="O22" s="1917"/>
      <c r="P22" s="1917"/>
      <c r="Q22" s="1917"/>
      <c r="R22" s="1917"/>
      <c r="S22" s="1917"/>
      <c r="T22" s="1917"/>
      <c r="U22" s="1917"/>
      <c r="V22" s="1919"/>
      <c r="W22" s="1893"/>
      <c r="X22" s="1894"/>
      <c r="Y22" s="759"/>
      <c r="Z22" s="1897" t="s">
        <v>147</v>
      </c>
      <c r="AA22" s="1900" t="s">
        <v>128</v>
      </c>
      <c r="AB22" s="1901"/>
      <c r="AC22" s="1902"/>
      <c r="AD22" s="1906"/>
      <c r="AE22" s="1906"/>
      <c r="AF22" s="1906"/>
      <c r="AG22" s="1906"/>
      <c r="AH22" s="1906"/>
      <c r="AI22" s="1909"/>
      <c r="AJ22" s="1909"/>
      <c r="AK22" s="1909"/>
      <c r="AL22" s="1909"/>
      <c r="AM22" s="1909"/>
      <c r="AN22" s="1909"/>
      <c r="AO22" s="1909"/>
      <c r="AP22" s="1909"/>
      <c r="AQ22" s="1909"/>
      <c r="AR22" s="1909"/>
      <c r="AS22" s="1909"/>
      <c r="AT22" s="1909"/>
      <c r="AU22" s="1909"/>
      <c r="AV22" s="1909"/>
      <c r="AW22" s="1934"/>
      <c r="AX22" s="1875"/>
      <c r="AY22" s="1876"/>
      <c r="AZ22" s="80"/>
      <c r="BA22" s="804" t="s">
        <v>422</v>
      </c>
      <c r="BB22" s="63" t="str">
        <f>P18&amp;M19</f>
        <v/>
      </c>
      <c r="BC22" s="63"/>
      <c r="BD22" s="63"/>
      <c r="BE22" s="63"/>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row>
    <row r="23" spans="1:84" ht="15.95" customHeight="1">
      <c r="A23" s="1925"/>
      <c r="B23" s="1880"/>
      <c r="C23" s="1913"/>
      <c r="D23" s="1914"/>
      <c r="E23" s="1914"/>
      <c r="F23" s="1914"/>
      <c r="G23" s="1914"/>
      <c r="H23" s="1918"/>
      <c r="I23" s="1918"/>
      <c r="J23" s="1918"/>
      <c r="K23" s="1918"/>
      <c r="L23" s="1918"/>
      <c r="M23" s="1918"/>
      <c r="N23" s="1918"/>
      <c r="O23" s="1918"/>
      <c r="P23" s="1918"/>
      <c r="Q23" s="1918"/>
      <c r="R23" s="1918"/>
      <c r="S23" s="1918"/>
      <c r="T23" s="1918"/>
      <c r="U23" s="1918"/>
      <c r="V23" s="1920"/>
      <c r="W23" s="1895"/>
      <c r="X23" s="1896"/>
      <c r="Y23" s="759"/>
      <c r="Z23" s="1898"/>
      <c r="AA23" s="1903"/>
      <c r="AB23" s="1904"/>
      <c r="AC23" s="1905"/>
      <c r="AD23" s="1907"/>
      <c r="AE23" s="1907"/>
      <c r="AF23" s="1907"/>
      <c r="AG23" s="1907"/>
      <c r="AH23" s="1907"/>
      <c r="AI23" s="1878"/>
      <c r="AJ23" s="1878"/>
      <c r="AK23" s="1878"/>
      <c r="AL23" s="1878"/>
      <c r="AM23" s="1878"/>
      <c r="AN23" s="1878"/>
      <c r="AO23" s="1878"/>
      <c r="AP23" s="1878"/>
      <c r="AQ23" s="1878"/>
      <c r="AR23" s="1878"/>
      <c r="AS23" s="1878"/>
      <c r="AT23" s="1878"/>
      <c r="AU23" s="1878"/>
      <c r="AV23" s="1878"/>
      <c r="AW23" s="1922"/>
      <c r="AX23" s="1877"/>
      <c r="AY23" s="1878"/>
      <c r="AZ23" s="80"/>
      <c r="BA23" s="804" t="s">
        <v>423</v>
      </c>
      <c r="BB23" s="63" t="str">
        <f>U18&amp;R19</f>
        <v/>
      </c>
      <c r="BC23" s="63"/>
      <c r="BD23" s="63"/>
      <c r="BE23" s="63"/>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row>
    <row r="24" spans="1:84" ht="15.95" customHeight="1">
      <c r="A24" s="1925"/>
      <c r="B24" s="1879" t="s">
        <v>424</v>
      </c>
      <c r="C24" s="1913"/>
      <c r="D24" s="1914"/>
      <c r="E24" s="1914"/>
      <c r="F24" s="1914"/>
      <c r="G24" s="1914"/>
      <c r="H24" s="1918"/>
      <c r="I24" s="1918"/>
      <c r="J24" s="1918"/>
      <c r="K24" s="1918"/>
      <c r="L24" s="1918"/>
      <c r="M24" s="1918"/>
      <c r="N24" s="1918"/>
      <c r="O24" s="1918"/>
      <c r="P24" s="1918"/>
      <c r="Q24" s="1918"/>
      <c r="R24" s="1918"/>
      <c r="S24" s="1918"/>
      <c r="T24" s="1918"/>
      <c r="U24" s="1918"/>
      <c r="V24" s="1920"/>
      <c r="W24" s="1895"/>
      <c r="X24" s="1896"/>
      <c r="Y24" s="759"/>
      <c r="Z24" s="1898"/>
      <c r="AA24" s="1881" t="s">
        <v>129</v>
      </c>
      <c r="AB24" s="1882"/>
      <c r="AC24" s="1883"/>
      <c r="AD24" s="1907"/>
      <c r="AE24" s="1907"/>
      <c r="AF24" s="1907"/>
      <c r="AG24" s="1907"/>
      <c r="AH24" s="1907"/>
      <c r="AI24" s="1878"/>
      <c r="AJ24" s="1878"/>
      <c r="AK24" s="1878"/>
      <c r="AL24" s="1878"/>
      <c r="AM24" s="1878"/>
      <c r="AN24" s="1878"/>
      <c r="AO24" s="1878"/>
      <c r="AP24" s="1878"/>
      <c r="AQ24" s="1878"/>
      <c r="AR24" s="1878"/>
      <c r="AS24" s="1878"/>
      <c r="AT24" s="1878"/>
      <c r="AU24" s="1878"/>
      <c r="AV24" s="1878"/>
      <c r="AW24" s="1922"/>
      <c r="AX24" s="1877"/>
      <c r="AY24" s="1878"/>
      <c r="AZ24" s="80"/>
      <c r="BA24" s="63" t="s">
        <v>424</v>
      </c>
      <c r="BB24" s="63"/>
      <c r="BC24" s="63"/>
      <c r="BD24" s="63"/>
      <c r="BE24" s="63"/>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row>
    <row r="25" spans="1:84" ht="15.95" customHeight="1">
      <c r="A25" s="1925"/>
      <c r="B25" s="1880"/>
      <c r="C25" s="1913"/>
      <c r="D25" s="1914"/>
      <c r="E25" s="1914"/>
      <c r="F25" s="1914"/>
      <c r="G25" s="1914"/>
      <c r="H25" s="1918"/>
      <c r="I25" s="1918"/>
      <c r="J25" s="1918"/>
      <c r="K25" s="1918"/>
      <c r="L25" s="1918"/>
      <c r="M25" s="1918"/>
      <c r="N25" s="1918"/>
      <c r="O25" s="1918"/>
      <c r="P25" s="1918"/>
      <c r="Q25" s="1918"/>
      <c r="R25" s="1918"/>
      <c r="S25" s="1918"/>
      <c r="T25" s="1918"/>
      <c r="U25" s="1918"/>
      <c r="V25" s="1920"/>
      <c r="W25" s="1895"/>
      <c r="X25" s="1896"/>
      <c r="Y25" s="759"/>
      <c r="Z25" s="1898"/>
      <c r="AA25" s="1884"/>
      <c r="AB25" s="1885"/>
      <c r="AC25" s="1886"/>
      <c r="AD25" s="1907"/>
      <c r="AE25" s="1907"/>
      <c r="AF25" s="1907"/>
      <c r="AG25" s="1907"/>
      <c r="AH25" s="1907"/>
      <c r="AI25" s="1878"/>
      <c r="AJ25" s="1878"/>
      <c r="AK25" s="1878"/>
      <c r="AL25" s="1878"/>
      <c r="AM25" s="1878"/>
      <c r="AN25" s="1878"/>
      <c r="AO25" s="1878"/>
      <c r="AP25" s="1878"/>
      <c r="AQ25" s="1878"/>
      <c r="AR25" s="1878"/>
      <c r="AS25" s="1878"/>
      <c r="AT25" s="1878"/>
      <c r="AU25" s="1878"/>
      <c r="AV25" s="1878"/>
      <c r="AW25" s="1922"/>
      <c r="AX25" s="1877"/>
      <c r="AY25" s="1878"/>
      <c r="AZ25" s="80"/>
      <c r="BA25" s="63" t="s">
        <v>423</v>
      </c>
      <c r="BB25" s="63"/>
      <c r="BC25" s="63"/>
      <c r="BD25" s="63"/>
      <c r="BE25" s="63"/>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row>
    <row r="26" spans="1:84" ht="15.95" customHeight="1">
      <c r="A26" s="1925"/>
      <c r="B26" s="1887" t="s">
        <v>130</v>
      </c>
      <c r="C26" s="1913"/>
      <c r="D26" s="1914"/>
      <c r="E26" s="1914"/>
      <c r="F26" s="1914"/>
      <c r="G26" s="1914"/>
      <c r="H26" s="1918"/>
      <c r="I26" s="1918"/>
      <c r="J26" s="1918"/>
      <c r="K26" s="1918"/>
      <c r="L26" s="1918"/>
      <c r="M26" s="1918"/>
      <c r="N26" s="1918"/>
      <c r="O26" s="1918"/>
      <c r="P26" s="1918"/>
      <c r="Q26" s="1918"/>
      <c r="R26" s="1918"/>
      <c r="S26" s="1918"/>
      <c r="T26" s="1918"/>
      <c r="U26" s="1918"/>
      <c r="V26" s="1920"/>
      <c r="W26" s="1895"/>
      <c r="X26" s="1896"/>
      <c r="Y26" s="759"/>
      <c r="Z26" s="1898"/>
      <c r="AA26" s="1889" t="s">
        <v>149</v>
      </c>
      <c r="AB26" s="1794"/>
      <c r="AC26" s="1890"/>
      <c r="AD26" s="1907"/>
      <c r="AE26" s="1907"/>
      <c r="AF26" s="1907"/>
      <c r="AG26" s="1907"/>
      <c r="AH26" s="1907"/>
      <c r="AI26" s="1878"/>
      <c r="AJ26" s="1878"/>
      <c r="AK26" s="1878"/>
      <c r="AL26" s="1878"/>
      <c r="AM26" s="1878"/>
      <c r="AN26" s="1878"/>
      <c r="AO26" s="1878"/>
      <c r="AP26" s="1878"/>
      <c r="AQ26" s="1878"/>
      <c r="AR26" s="1878"/>
      <c r="AS26" s="1878"/>
      <c r="AT26" s="1878"/>
      <c r="AU26" s="1878"/>
      <c r="AV26" s="1878"/>
      <c r="AW26" s="1922"/>
      <c r="AX26" s="1877"/>
      <c r="AY26" s="1878"/>
      <c r="AZ26" s="80"/>
      <c r="BA26" s="63" t="s">
        <v>425</v>
      </c>
      <c r="BB26" s="63"/>
      <c r="BC26" s="63"/>
      <c r="BD26" s="63"/>
      <c r="BE26" s="63"/>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row>
    <row r="27" spans="1:84" ht="15.95" customHeight="1">
      <c r="A27" s="1925"/>
      <c r="B27" s="1888"/>
      <c r="C27" s="1913"/>
      <c r="D27" s="1914"/>
      <c r="E27" s="1914"/>
      <c r="F27" s="1914"/>
      <c r="G27" s="1914"/>
      <c r="H27" s="1918"/>
      <c r="I27" s="1918"/>
      <c r="J27" s="1918"/>
      <c r="K27" s="1918"/>
      <c r="L27" s="1918"/>
      <c r="M27" s="1918"/>
      <c r="N27" s="1918"/>
      <c r="O27" s="1918"/>
      <c r="P27" s="1918"/>
      <c r="Q27" s="1918"/>
      <c r="R27" s="1918"/>
      <c r="S27" s="1918"/>
      <c r="T27" s="1918"/>
      <c r="U27" s="1918"/>
      <c r="V27" s="1920"/>
      <c r="W27" s="1895"/>
      <c r="X27" s="1896"/>
      <c r="Y27" s="759"/>
      <c r="Z27" s="1898"/>
      <c r="AA27" s="1891"/>
      <c r="AB27" s="1454"/>
      <c r="AC27" s="1892"/>
      <c r="AD27" s="1907"/>
      <c r="AE27" s="1907"/>
      <c r="AF27" s="1907"/>
      <c r="AG27" s="1907"/>
      <c r="AH27" s="1907"/>
      <c r="AI27" s="1878"/>
      <c r="AJ27" s="1878"/>
      <c r="AK27" s="1878"/>
      <c r="AL27" s="1878"/>
      <c r="AM27" s="1878"/>
      <c r="AN27" s="1878"/>
      <c r="AO27" s="1878"/>
      <c r="AP27" s="1878"/>
      <c r="AQ27" s="1878"/>
      <c r="AR27" s="1878"/>
      <c r="AS27" s="1878"/>
      <c r="AT27" s="1878"/>
      <c r="AU27" s="1878"/>
      <c r="AV27" s="1878"/>
      <c r="AW27" s="1922"/>
      <c r="AX27" s="1877"/>
      <c r="AY27" s="1878"/>
      <c r="AZ27" s="80"/>
      <c r="BA27" s="63" t="s">
        <v>423</v>
      </c>
      <c r="BB27" s="63"/>
      <c r="BC27" s="63"/>
      <c r="BD27" s="63"/>
      <c r="BE27" s="63"/>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row>
    <row r="28" spans="1:84" ht="15.95" customHeight="1">
      <c r="A28" s="1925"/>
      <c r="B28" s="1887" t="s">
        <v>426</v>
      </c>
      <c r="C28" s="1913"/>
      <c r="D28" s="1914"/>
      <c r="E28" s="1914"/>
      <c r="F28" s="1914"/>
      <c r="G28" s="1914"/>
      <c r="H28" s="1918"/>
      <c r="I28" s="1918"/>
      <c r="J28" s="1918"/>
      <c r="K28" s="1918"/>
      <c r="L28" s="1918"/>
      <c r="M28" s="1918"/>
      <c r="N28" s="1918"/>
      <c r="O28" s="1918"/>
      <c r="P28" s="1918"/>
      <c r="Q28" s="1918"/>
      <c r="R28" s="1918"/>
      <c r="S28" s="1918"/>
      <c r="T28" s="1918"/>
      <c r="U28" s="1918"/>
      <c r="V28" s="1920"/>
      <c r="W28" s="1895"/>
      <c r="X28" s="1896"/>
      <c r="Y28" s="759"/>
      <c r="Z28" s="1898"/>
      <c r="AA28" s="1889" t="s">
        <v>131</v>
      </c>
      <c r="AB28" s="1794"/>
      <c r="AC28" s="1890"/>
      <c r="AD28" s="1907"/>
      <c r="AE28" s="1907"/>
      <c r="AF28" s="1907"/>
      <c r="AG28" s="1907"/>
      <c r="AH28" s="1907"/>
      <c r="AI28" s="1878"/>
      <c r="AJ28" s="1878"/>
      <c r="AK28" s="1878"/>
      <c r="AL28" s="1878"/>
      <c r="AM28" s="1878"/>
      <c r="AN28" s="1878"/>
      <c r="AO28" s="1878"/>
      <c r="AP28" s="1878"/>
      <c r="AQ28" s="1878"/>
      <c r="AR28" s="1878"/>
      <c r="AS28" s="1878"/>
      <c r="AT28" s="1878"/>
      <c r="AU28" s="1878"/>
      <c r="AV28" s="1878"/>
      <c r="AW28" s="1922"/>
      <c r="AX28" s="1877"/>
      <c r="AY28" s="1878"/>
      <c r="AZ28" s="80"/>
      <c r="BA28" s="63" t="s">
        <v>426</v>
      </c>
      <c r="BB28" s="63"/>
      <c r="BC28" s="63"/>
      <c r="BD28" s="63"/>
      <c r="BE28" s="63"/>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row>
    <row r="29" spans="1:84" ht="15.95" customHeight="1">
      <c r="A29" s="1927"/>
      <c r="B29" s="1888"/>
      <c r="C29" s="1915"/>
      <c r="D29" s="1916"/>
      <c r="E29" s="1916"/>
      <c r="F29" s="1916"/>
      <c r="G29" s="1916"/>
      <c r="H29" s="1918"/>
      <c r="I29" s="1918"/>
      <c r="J29" s="1918"/>
      <c r="K29" s="1918"/>
      <c r="L29" s="1918"/>
      <c r="M29" s="1918"/>
      <c r="N29" s="1918"/>
      <c r="O29" s="1918"/>
      <c r="P29" s="1918"/>
      <c r="Q29" s="1918"/>
      <c r="R29" s="1918"/>
      <c r="S29" s="1918"/>
      <c r="T29" s="1918"/>
      <c r="U29" s="1918"/>
      <c r="V29" s="1920"/>
      <c r="W29" s="1895"/>
      <c r="X29" s="1896"/>
      <c r="Y29" s="759"/>
      <c r="Z29" s="1899"/>
      <c r="AA29" s="1891"/>
      <c r="AB29" s="1454"/>
      <c r="AC29" s="1892"/>
      <c r="AD29" s="1908"/>
      <c r="AE29" s="1908"/>
      <c r="AF29" s="1908"/>
      <c r="AG29" s="1908"/>
      <c r="AH29" s="1908"/>
      <c r="AI29" s="1878"/>
      <c r="AJ29" s="1878"/>
      <c r="AK29" s="1878"/>
      <c r="AL29" s="1878"/>
      <c r="AM29" s="1878"/>
      <c r="AN29" s="1878"/>
      <c r="AO29" s="1878"/>
      <c r="AP29" s="1878"/>
      <c r="AQ29" s="1878"/>
      <c r="AR29" s="1878"/>
      <c r="AS29" s="1878"/>
      <c r="AT29" s="1878"/>
      <c r="AU29" s="1878"/>
      <c r="AV29" s="1878"/>
      <c r="AW29" s="1922"/>
      <c r="AX29" s="1877"/>
      <c r="AY29" s="1878"/>
      <c r="AZ29" s="80"/>
      <c r="BA29" s="63" t="s">
        <v>423</v>
      </c>
      <c r="BB29" s="63"/>
      <c r="BC29" s="63"/>
      <c r="BD29" s="63"/>
      <c r="BE29" s="63"/>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row>
    <row r="30" spans="1:84" ht="15.95" customHeight="1">
      <c r="A30" s="1924"/>
      <c r="B30" s="1879" t="s">
        <v>422</v>
      </c>
      <c r="C30" s="1928"/>
      <c r="D30" s="1929"/>
      <c r="E30" s="1929"/>
      <c r="F30" s="1929"/>
      <c r="G30" s="1929"/>
      <c r="H30" s="1918"/>
      <c r="I30" s="1918"/>
      <c r="J30" s="1918"/>
      <c r="K30" s="1918"/>
      <c r="L30" s="1918"/>
      <c r="M30" s="1918"/>
      <c r="N30" s="1918"/>
      <c r="O30" s="1918"/>
      <c r="P30" s="1918"/>
      <c r="Q30" s="1918"/>
      <c r="R30" s="1918"/>
      <c r="S30" s="1918"/>
      <c r="T30" s="1918"/>
      <c r="U30" s="1918"/>
      <c r="V30" s="1920"/>
      <c r="W30" s="1895"/>
      <c r="X30" s="1896"/>
      <c r="Y30" s="759"/>
      <c r="Z30" s="1936" t="s">
        <v>150</v>
      </c>
      <c r="AA30" s="1881" t="s">
        <v>128</v>
      </c>
      <c r="AB30" s="1882"/>
      <c r="AC30" s="1883"/>
      <c r="AD30" s="1987"/>
      <c r="AE30" s="1987"/>
      <c r="AF30" s="1987"/>
      <c r="AG30" s="1987"/>
      <c r="AH30" s="1987"/>
      <c r="AI30" s="1878"/>
      <c r="AJ30" s="1878"/>
      <c r="AK30" s="1878"/>
      <c r="AL30" s="1878"/>
      <c r="AM30" s="1878"/>
      <c r="AN30" s="1878"/>
      <c r="AO30" s="1878"/>
      <c r="AP30" s="1878"/>
      <c r="AQ30" s="1878"/>
      <c r="AR30" s="1878"/>
      <c r="AS30" s="1878"/>
      <c r="AT30" s="1878"/>
      <c r="AU30" s="1878"/>
      <c r="AV30" s="1878"/>
      <c r="AW30" s="1922"/>
      <c r="AX30" s="1877"/>
      <c r="AY30" s="1878"/>
      <c r="AZ30" s="80"/>
      <c r="BA30" s="63"/>
      <c r="BB30" s="63"/>
      <c r="BC30" s="63"/>
      <c r="BD30" s="63"/>
      <c r="BE30" s="63"/>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row>
    <row r="31" spans="1:84" ht="15.95" customHeight="1">
      <c r="A31" s="1925"/>
      <c r="B31" s="1880"/>
      <c r="C31" s="1913"/>
      <c r="D31" s="1914"/>
      <c r="E31" s="1914"/>
      <c r="F31" s="1914"/>
      <c r="G31" s="1914"/>
      <c r="H31" s="1918"/>
      <c r="I31" s="1918"/>
      <c r="J31" s="1918"/>
      <c r="K31" s="1918"/>
      <c r="L31" s="1918"/>
      <c r="M31" s="1918"/>
      <c r="N31" s="1918"/>
      <c r="O31" s="1918"/>
      <c r="P31" s="1918"/>
      <c r="Q31" s="1918"/>
      <c r="R31" s="1918"/>
      <c r="S31" s="1918"/>
      <c r="T31" s="1918"/>
      <c r="U31" s="1918"/>
      <c r="V31" s="1920"/>
      <c r="W31" s="1895"/>
      <c r="X31" s="1896"/>
      <c r="Y31" s="759"/>
      <c r="Z31" s="1898"/>
      <c r="AA31" s="1884"/>
      <c r="AB31" s="1885"/>
      <c r="AC31" s="1886"/>
      <c r="AD31" s="1907"/>
      <c r="AE31" s="1907"/>
      <c r="AF31" s="1907"/>
      <c r="AG31" s="1907"/>
      <c r="AH31" s="1907"/>
      <c r="AI31" s="1878"/>
      <c r="AJ31" s="1878"/>
      <c r="AK31" s="1878"/>
      <c r="AL31" s="1878"/>
      <c r="AM31" s="1878"/>
      <c r="AN31" s="1878"/>
      <c r="AO31" s="1878"/>
      <c r="AP31" s="1878"/>
      <c r="AQ31" s="1878"/>
      <c r="AR31" s="1878"/>
      <c r="AS31" s="1878"/>
      <c r="AT31" s="1878"/>
      <c r="AU31" s="1878"/>
      <c r="AV31" s="1878"/>
      <c r="AW31" s="1922"/>
      <c r="AX31" s="1877"/>
      <c r="AY31" s="1878"/>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row>
    <row r="32" spans="1:84" ht="15.95" customHeight="1">
      <c r="A32" s="1925"/>
      <c r="B32" s="1879" t="s">
        <v>424</v>
      </c>
      <c r="C32" s="1913"/>
      <c r="D32" s="1914"/>
      <c r="E32" s="1914"/>
      <c r="F32" s="1914"/>
      <c r="G32" s="1914"/>
      <c r="H32" s="1918"/>
      <c r="I32" s="1918"/>
      <c r="J32" s="1918"/>
      <c r="K32" s="1918"/>
      <c r="L32" s="1918"/>
      <c r="M32" s="1918"/>
      <c r="N32" s="1918"/>
      <c r="O32" s="1918"/>
      <c r="P32" s="1918"/>
      <c r="Q32" s="1918"/>
      <c r="R32" s="1918"/>
      <c r="S32" s="1918"/>
      <c r="T32" s="1918"/>
      <c r="U32" s="1918"/>
      <c r="V32" s="1920"/>
      <c r="W32" s="1895"/>
      <c r="X32" s="1896"/>
      <c r="Y32" s="759"/>
      <c r="Z32" s="1898"/>
      <c r="AA32" s="1881" t="s">
        <v>129</v>
      </c>
      <c r="AB32" s="1882"/>
      <c r="AC32" s="1883"/>
      <c r="AD32" s="1907"/>
      <c r="AE32" s="1907"/>
      <c r="AF32" s="1907"/>
      <c r="AG32" s="1907"/>
      <c r="AH32" s="1907"/>
      <c r="AI32" s="1878"/>
      <c r="AJ32" s="1878"/>
      <c r="AK32" s="1878"/>
      <c r="AL32" s="1878"/>
      <c r="AM32" s="1878"/>
      <c r="AN32" s="1878"/>
      <c r="AO32" s="1878"/>
      <c r="AP32" s="1878"/>
      <c r="AQ32" s="1878"/>
      <c r="AR32" s="1878"/>
      <c r="AS32" s="1878"/>
      <c r="AT32" s="1878"/>
      <c r="AU32" s="1878"/>
      <c r="AV32" s="1878"/>
      <c r="AW32" s="1922"/>
      <c r="AX32" s="1877"/>
      <c r="AY32" s="1878"/>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row>
    <row r="33" spans="1:84" ht="15.95" customHeight="1" thickBot="1">
      <c r="A33" s="1926"/>
      <c r="B33" s="1880"/>
      <c r="C33" s="1930"/>
      <c r="D33" s="1931"/>
      <c r="E33" s="1931"/>
      <c r="F33" s="1931"/>
      <c r="G33" s="1931"/>
      <c r="H33" s="1932"/>
      <c r="I33" s="1932"/>
      <c r="J33" s="1932"/>
      <c r="K33" s="1932"/>
      <c r="L33" s="1932"/>
      <c r="M33" s="1932"/>
      <c r="N33" s="1932"/>
      <c r="O33" s="1932"/>
      <c r="P33" s="1932"/>
      <c r="Q33" s="1932"/>
      <c r="R33" s="1932"/>
      <c r="S33" s="1932"/>
      <c r="T33" s="1932"/>
      <c r="U33" s="1932"/>
      <c r="V33" s="1933"/>
      <c r="W33" s="1895"/>
      <c r="X33" s="1896"/>
      <c r="Y33" s="759"/>
      <c r="Z33" s="1898"/>
      <c r="AA33" s="1884"/>
      <c r="AB33" s="1885"/>
      <c r="AC33" s="1886"/>
      <c r="AD33" s="1988"/>
      <c r="AE33" s="1988"/>
      <c r="AF33" s="1988"/>
      <c r="AG33" s="1988"/>
      <c r="AH33" s="1988"/>
      <c r="AI33" s="1921"/>
      <c r="AJ33" s="1921"/>
      <c r="AK33" s="1921"/>
      <c r="AL33" s="1921"/>
      <c r="AM33" s="1921"/>
      <c r="AN33" s="1921"/>
      <c r="AO33" s="1921"/>
      <c r="AP33" s="1921"/>
      <c r="AQ33" s="1921"/>
      <c r="AR33" s="1921"/>
      <c r="AS33" s="1921"/>
      <c r="AT33" s="1921"/>
      <c r="AU33" s="1921"/>
      <c r="AV33" s="1921"/>
      <c r="AW33" s="1923"/>
      <c r="AX33" s="1986"/>
      <c r="AY33" s="1921"/>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row>
    <row r="34" spans="1:84" ht="15.95" customHeight="1">
      <c r="A34" s="1925"/>
      <c r="B34" s="1887" t="s">
        <v>130</v>
      </c>
      <c r="C34" s="1913"/>
      <c r="D34" s="1914"/>
      <c r="E34" s="1914"/>
      <c r="F34" s="1914"/>
      <c r="G34" s="1914"/>
      <c r="H34" s="1918"/>
      <c r="I34" s="1918"/>
      <c r="J34" s="1918"/>
      <c r="K34" s="1918"/>
      <c r="L34" s="1918"/>
      <c r="M34" s="1918"/>
      <c r="N34" s="1918"/>
      <c r="O34" s="1918"/>
      <c r="P34" s="1918"/>
      <c r="Q34" s="1918"/>
      <c r="R34" s="1918"/>
      <c r="S34" s="1918"/>
      <c r="T34" s="1918"/>
      <c r="U34" s="1918"/>
      <c r="V34" s="1920"/>
      <c r="W34" s="1895"/>
      <c r="X34" s="1896"/>
      <c r="Y34" s="759"/>
      <c r="Z34" s="1898"/>
      <c r="AA34" s="1889" t="s">
        <v>149</v>
      </c>
      <c r="AB34" s="1794"/>
      <c r="AC34" s="1890"/>
      <c r="AD34" s="1907"/>
      <c r="AE34" s="1907"/>
      <c r="AF34" s="1907"/>
      <c r="AG34" s="1907"/>
      <c r="AH34" s="1907"/>
      <c r="AI34" s="1878"/>
      <c r="AJ34" s="1878"/>
      <c r="AK34" s="1878"/>
      <c r="AL34" s="1878"/>
      <c r="AM34" s="1878"/>
      <c r="AN34" s="1878"/>
      <c r="AO34" s="1878"/>
      <c r="AP34" s="1878"/>
      <c r="AQ34" s="1878"/>
      <c r="AR34" s="1878"/>
      <c r="AS34" s="1878"/>
      <c r="AT34" s="1878"/>
      <c r="AU34" s="1878"/>
      <c r="AV34" s="1878"/>
      <c r="AW34" s="1922"/>
      <c r="AX34" s="1877"/>
      <c r="AY34" s="1878"/>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row>
    <row r="35" spans="1:84" ht="15.95" customHeight="1">
      <c r="A35" s="1925"/>
      <c r="B35" s="1888"/>
      <c r="C35" s="1913"/>
      <c r="D35" s="1914"/>
      <c r="E35" s="1914"/>
      <c r="F35" s="1914"/>
      <c r="G35" s="1914"/>
      <c r="H35" s="1918"/>
      <c r="I35" s="1918"/>
      <c r="J35" s="1918"/>
      <c r="K35" s="1918"/>
      <c r="L35" s="1918"/>
      <c r="M35" s="1918"/>
      <c r="N35" s="1918"/>
      <c r="O35" s="1918"/>
      <c r="P35" s="1918"/>
      <c r="Q35" s="1918"/>
      <c r="R35" s="1918"/>
      <c r="S35" s="1918"/>
      <c r="T35" s="1918"/>
      <c r="U35" s="1918"/>
      <c r="V35" s="1920"/>
      <c r="W35" s="1895"/>
      <c r="X35" s="1896"/>
      <c r="Y35" s="759"/>
      <c r="Z35" s="1898"/>
      <c r="AA35" s="1891"/>
      <c r="AB35" s="1454"/>
      <c r="AC35" s="1892"/>
      <c r="AD35" s="1907"/>
      <c r="AE35" s="1907"/>
      <c r="AF35" s="1907"/>
      <c r="AG35" s="1907"/>
      <c r="AH35" s="1907"/>
      <c r="AI35" s="1878"/>
      <c r="AJ35" s="1878"/>
      <c r="AK35" s="1878"/>
      <c r="AL35" s="1878"/>
      <c r="AM35" s="1878"/>
      <c r="AN35" s="1878"/>
      <c r="AO35" s="1878"/>
      <c r="AP35" s="1878"/>
      <c r="AQ35" s="1878"/>
      <c r="AR35" s="1878"/>
      <c r="AS35" s="1878"/>
      <c r="AT35" s="1878"/>
      <c r="AU35" s="1878"/>
      <c r="AV35" s="1878"/>
      <c r="AW35" s="1922"/>
      <c r="AX35" s="1877"/>
      <c r="AY35" s="1878"/>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row>
    <row r="36" spans="1:84" ht="15.95" customHeight="1">
      <c r="A36" s="1925"/>
      <c r="B36" s="1887" t="s">
        <v>426</v>
      </c>
      <c r="C36" s="1913"/>
      <c r="D36" s="1914"/>
      <c r="E36" s="1914"/>
      <c r="F36" s="1914"/>
      <c r="G36" s="1914"/>
      <c r="H36" s="1918"/>
      <c r="I36" s="1918"/>
      <c r="J36" s="1918"/>
      <c r="K36" s="1918"/>
      <c r="L36" s="1918"/>
      <c r="M36" s="1918"/>
      <c r="N36" s="1918"/>
      <c r="O36" s="1918"/>
      <c r="P36" s="1918"/>
      <c r="Q36" s="1918"/>
      <c r="R36" s="1918"/>
      <c r="S36" s="1918"/>
      <c r="T36" s="1918"/>
      <c r="U36" s="1918"/>
      <c r="V36" s="1920"/>
      <c r="W36" s="1895"/>
      <c r="X36" s="1896"/>
      <c r="Y36" s="759"/>
      <c r="Z36" s="1898"/>
      <c r="AA36" s="1889" t="s">
        <v>131</v>
      </c>
      <c r="AB36" s="1794"/>
      <c r="AC36" s="1890"/>
      <c r="AD36" s="1907"/>
      <c r="AE36" s="1907"/>
      <c r="AF36" s="1907"/>
      <c r="AG36" s="1907"/>
      <c r="AH36" s="1907"/>
      <c r="AI36" s="1878"/>
      <c r="AJ36" s="1878"/>
      <c r="AK36" s="1878"/>
      <c r="AL36" s="1878"/>
      <c r="AM36" s="1878"/>
      <c r="AN36" s="1878"/>
      <c r="AO36" s="1878"/>
      <c r="AP36" s="1878"/>
      <c r="AQ36" s="1878"/>
      <c r="AR36" s="1878"/>
      <c r="AS36" s="1878"/>
      <c r="AT36" s="1878"/>
      <c r="AU36" s="1878"/>
      <c r="AV36" s="1878"/>
      <c r="AW36" s="1922"/>
      <c r="AX36" s="1877"/>
      <c r="AY36" s="1878"/>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row>
    <row r="37" spans="1:84" ht="15.95" customHeight="1">
      <c r="A37" s="1927"/>
      <c r="B37" s="1888"/>
      <c r="C37" s="1915"/>
      <c r="D37" s="1916"/>
      <c r="E37" s="1916"/>
      <c r="F37" s="1916"/>
      <c r="G37" s="1916"/>
      <c r="H37" s="1918"/>
      <c r="I37" s="1918"/>
      <c r="J37" s="1918"/>
      <c r="K37" s="1918"/>
      <c r="L37" s="1918"/>
      <c r="M37" s="1918"/>
      <c r="N37" s="1918"/>
      <c r="O37" s="1918"/>
      <c r="P37" s="1918"/>
      <c r="Q37" s="1918"/>
      <c r="R37" s="1918"/>
      <c r="S37" s="1918"/>
      <c r="T37" s="1918"/>
      <c r="U37" s="1918"/>
      <c r="V37" s="1920"/>
      <c r="W37" s="1895"/>
      <c r="X37" s="1896"/>
      <c r="Y37" s="759"/>
      <c r="Z37" s="1899"/>
      <c r="AA37" s="1891"/>
      <c r="AB37" s="1454"/>
      <c r="AC37" s="1892"/>
      <c r="AD37" s="1908"/>
      <c r="AE37" s="1908"/>
      <c r="AF37" s="1908"/>
      <c r="AG37" s="1908"/>
      <c r="AH37" s="1908"/>
      <c r="AI37" s="1878"/>
      <c r="AJ37" s="1878"/>
      <c r="AK37" s="1878"/>
      <c r="AL37" s="1878"/>
      <c r="AM37" s="1878"/>
      <c r="AN37" s="1878"/>
      <c r="AO37" s="1878"/>
      <c r="AP37" s="1878"/>
      <c r="AQ37" s="1878"/>
      <c r="AR37" s="1878"/>
      <c r="AS37" s="1878"/>
      <c r="AT37" s="1878"/>
      <c r="AU37" s="1878"/>
      <c r="AV37" s="1878"/>
      <c r="AW37" s="1922"/>
      <c r="AX37" s="1877"/>
      <c r="AY37" s="1878"/>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row>
    <row r="38" spans="1:84" ht="15.95" customHeight="1">
      <c r="A38" s="1924"/>
      <c r="B38" s="1879" t="s">
        <v>422</v>
      </c>
      <c r="C38" s="1928"/>
      <c r="D38" s="1929"/>
      <c r="E38" s="1929"/>
      <c r="F38" s="1929"/>
      <c r="G38" s="1929"/>
      <c r="H38" s="1918"/>
      <c r="I38" s="1918"/>
      <c r="J38" s="1918"/>
      <c r="K38" s="1918"/>
      <c r="L38" s="1918"/>
      <c r="M38" s="1918"/>
      <c r="N38" s="1918"/>
      <c r="O38" s="1918"/>
      <c r="P38" s="1918"/>
      <c r="Q38" s="1918"/>
      <c r="R38" s="1918"/>
      <c r="S38" s="1918"/>
      <c r="T38" s="1918"/>
      <c r="U38" s="1918"/>
      <c r="V38" s="1920"/>
      <c r="W38" s="1895"/>
      <c r="X38" s="1896"/>
      <c r="Y38" s="759"/>
      <c r="Z38" s="1936" t="s">
        <v>151</v>
      </c>
      <c r="AA38" s="1881" t="s">
        <v>128</v>
      </c>
      <c r="AB38" s="1882"/>
      <c r="AC38" s="1883"/>
      <c r="AD38" s="1943"/>
      <c r="AE38" s="1944"/>
      <c r="AF38" s="1944"/>
      <c r="AG38" s="1944"/>
      <c r="AH38" s="1944"/>
      <c r="AI38" s="1878"/>
      <c r="AJ38" s="1878"/>
      <c r="AK38" s="1878"/>
      <c r="AL38" s="1878"/>
      <c r="AM38" s="1878"/>
      <c r="AN38" s="1878"/>
      <c r="AO38" s="1878"/>
      <c r="AP38" s="1878"/>
      <c r="AQ38" s="1878"/>
      <c r="AR38" s="1878"/>
      <c r="AS38" s="1878"/>
      <c r="AT38" s="1878"/>
      <c r="AU38" s="1878"/>
      <c r="AV38" s="1878"/>
      <c r="AW38" s="1922"/>
      <c r="AX38" s="1877"/>
      <c r="AY38" s="1878"/>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row>
    <row r="39" spans="1:84" ht="15.75" customHeight="1">
      <c r="A39" s="1925"/>
      <c r="B39" s="1880"/>
      <c r="C39" s="1913"/>
      <c r="D39" s="1914"/>
      <c r="E39" s="1914"/>
      <c r="F39" s="1914"/>
      <c r="G39" s="1914"/>
      <c r="H39" s="1918"/>
      <c r="I39" s="1918"/>
      <c r="J39" s="1918"/>
      <c r="K39" s="1918"/>
      <c r="L39" s="1918"/>
      <c r="M39" s="1918"/>
      <c r="N39" s="1918"/>
      <c r="O39" s="1918"/>
      <c r="P39" s="1918"/>
      <c r="Q39" s="1918"/>
      <c r="R39" s="1918"/>
      <c r="S39" s="1918"/>
      <c r="T39" s="1918"/>
      <c r="U39" s="1918"/>
      <c r="V39" s="1920"/>
      <c r="W39" s="1895"/>
      <c r="X39" s="1896"/>
      <c r="Y39" s="759"/>
      <c r="Z39" s="1898"/>
      <c r="AA39" s="1884"/>
      <c r="AB39" s="1885"/>
      <c r="AC39" s="1886"/>
      <c r="AD39" s="1945"/>
      <c r="AE39" s="1945"/>
      <c r="AF39" s="1945"/>
      <c r="AG39" s="1945"/>
      <c r="AH39" s="1945"/>
      <c r="AI39" s="1878"/>
      <c r="AJ39" s="1878"/>
      <c r="AK39" s="1878"/>
      <c r="AL39" s="1878"/>
      <c r="AM39" s="1878"/>
      <c r="AN39" s="1878"/>
      <c r="AO39" s="1878"/>
      <c r="AP39" s="1878"/>
      <c r="AQ39" s="1878"/>
      <c r="AR39" s="1878"/>
      <c r="AS39" s="1878"/>
      <c r="AT39" s="1878"/>
      <c r="AU39" s="1878"/>
      <c r="AV39" s="1878"/>
      <c r="AW39" s="1922"/>
      <c r="AX39" s="1877"/>
      <c r="AY39" s="1878"/>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row>
    <row r="40" spans="1:84" ht="15.95" customHeight="1">
      <c r="A40" s="1925"/>
      <c r="B40" s="1879" t="s">
        <v>424</v>
      </c>
      <c r="C40" s="1913"/>
      <c r="D40" s="1914"/>
      <c r="E40" s="1914"/>
      <c r="F40" s="1914"/>
      <c r="G40" s="1914"/>
      <c r="H40" s="1918"/>
      <c r="I40" s="1918"/>
      <c r="J40" s="1918"/>
      <c r="K40" s="1918"/>
      <c r="L40" s="1918"/>
      <c r="M40" s="1918"/>
      <c r="N40" s="1918"/>
      <c r="O40" s="1918"/>
      <c r="P40" s="1918"/>
      <c r="Q40" s="1918"/>
      <c r="R40" s="1918"/>
      <c r="S40" s="1918"/>
      <c r="T40" s="1918"/>
      <c r="U40" s="1918"/>
      <c r="V40" s="1920"/>
      <c r="W40" s="1895"/>
      <c r="X40" s="1896"/>
      <c r="Y40" s="759"/>
      <c r="Z40" s="1898"/>
      <c r="AA40" s="1881" t="s">
        <v>129</v>
      </c>
      <c r="AB40" s="1882"/>
      <c r="AC40" s="1883"/>
      <c r="AD40" s="1945"/>
      <c r="AE40" s="1945"/>
      <c r="AF40" s="1945"/>
      <c r="AG40" s="1945"/>
      <c r="AH40" s="1945"/>
      <c r="AI40" s="1878"/>
      <c r="AJ40" s="1878"/>
      <c r="AK40" s="1878"/>
      <c r="AL40" s="1878"/>
      <c r="AM40" s="1878"/>
      <c r="AN40" s="1878"/>
      <c r="AO40" s="1878"/>
      <c r="AP40" s="1878"/>
      <c r="AQ40" s="1878"/>
      <c r="AR40" s="1878"/>
      <c r="AS40" s="1878"/>
      <c r="AT40" s="1878"/>
      <c r="AU40" s="1878"/>
      <c r="AV40" s="1878"/>
      <c r="AW40" s="1922"/>
      <c r="AX40" s="1877"/>
      <c r="AY40" s="1878"/>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row>
    <row r="41" spans="1:84" ht="15.95" customHeight="1">
      <c r="A41" s="1925"/>
      <c r="B41" s="1880"/>
      <c r="C41" s="1913"/>
      <c r="D41" s="1914"/>
      <c r="E41" s="1914"/>
      <c r="F41" s="1914"/>
      <c r="G41" s="1914"/>
      <c r="H41" s="1918"/>
      <c r="I41" s="1918"/>
      <c r="J41" s="1918"/>
      <c r="K41" s="1918"/>
      <c r="L41" s="1918"/>
      <c r="M41" s="1918"/>
      <c r="N41" s="1918"/>
      <c r="O41" s="1918"/>
      <c r="P41" s="1918"/>
      <c r="Q41" s="1918"/>
      <c r="R41" s="1918"/>
      <c r="S41" s="1918"/>
      <c r="T41" s="1918"/>
      <c r="U41" s="1918"/>
      <c r="V41" s="1920"/>
      <c r="W41" s="1895"/>
      <c r="X41" s="1896"/>
      <c r="Y41" s="759"/>
      <c r="Z41" s="1898"/>
      <c r="AA41" s="1884"/>
      <c r="AB41" s="1885"/>
      <c r="AC41" s="1886"/>
      <c r="AD41" s="1945"/>
      <c r="AE41" s="1945"/>
      <c r="AF41" s="1945"/>
      <c r="AG41" s="1945"/>
      <c r="AH41" s="1945"/>
      <c r="AI41" s="1878"/>
      <c r="AJ41" s="1878"/>
      <c r="AK41" s="1878"/>
      <c r="AL41" s="1878"/>
      <c r="AM41" s="1878"/>
      <c r="AN41" s="1878"/>
      <c r="AO41" s="1878"/>
      <c r="AP41" s="1878"/>
      <c r="AQ41" s="1878"/>
      <c r="AR41" s="1878"/>
      <c r="AS41" s="1878"/>
      <c r="AT41" s="1878"/>
      <c r="AU41" s="1878"/>
      <c r="AV41" s="1878"/>
      <c r="AW41" s="1922"/>
      <c r="AX41" s="1877"/>
      <c r="AY41" s="1878"/>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row>
    <row r="42" spans="1:84" ht="15.95" customHeight="1">
      <c r="A42" s="1925"/>
      <c r="B42" s="1887" t="s">
        <v>130</v>
      </c>
      <c r="C42" s="1913"/>
      <c r="D42" s="1914"/>
      <c r="E42" s="1914"/>
      <c r="F42" s="1914"/>
      <c r="G42" s="1914"/>
      <c r="H42" s="1918"/>
      <c r="I42" s="1918"/>
      <c r="J42" s="1918"/>
      <c r="K42" s="1918"/>
      <c r="L42" s="1918"/>
      <c r="M42" s="1918"/>
      <c r="N42" s="1918"/>
      <c r="O42" s="1918"/>
      <c r="P42" s="1918"/>
      <c r="Q42" s="1918"/>
      <c r="R42" s="1918"/>
      <c r="S42" s="1918"/>
      <c r="T42" s="1918"/>
      <c r="U42" s="1918"/>
      <c r="V42" s="1920"/>
      <c r="W42" s="1895"/>
      <c r="X42" s="1896"/>
      <c r="Y42" s="759"/>
      <c r="Z42" s="1898"/>
      <c r="AA42" s="1937" t="s">
        <v>148</v>
      </c>
      <c r="AB42" s="1938"/>
      <c r="AC42" s="1939"/>
      <c r="AD42" s="1945"/>
      <c r="AE42" s="1945"/>
      <c r="AF42" s="1945"/>
      <c r="AG42" s="1945"/>
      <c r="AH42" s="1945"/>
      <c r="AI42" s="1878"/>
      <c r="AJ42" s="1878"/>
      <c r="AK42" s="1878"/>
      <c r="AL42" s="1878"/>
      <c r="AM42" s="1878"/>
      <c r="AN42" s="1878"/>
      <c r="AO42" s="1878"/>
      <c r="AP42" s="1878"/>
      <c r="AQ42" s="1878"/>
      <c r="AR42" s="1878"/>
      <c r="AS42" s="1878"/>
      <c r="AT42" s="1878"/>
      <c r="AU42" s="1878"/>
      <c r="AV42" s="1878"/>
      <c r="AW42" s="1922"/>
      <c r="AX42" s="1877"/>
      <c r="AY42" s="1878"/>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row>
    <row r="43" spans="1:84" ht="15.95" customHeight="1">
      <c r="A43" s="1925"/>
      <c r="B43" s="1888"/>
      <c r="C43" s="1913"/>
      <c r="D43" s="1914"/>
      <c r="E43" s="1914"/>
      <c r="F43" s="1914"/>
      <c r="G43" s="1914"/>
      <c r="H43" s="1918"/>
      <c r="I43" s="1918"/>
      <c r="J43" s="1918"/>
      <c r="K43" s="1918"/>
      <c r="L43" s="1918"/>
      <c r="M43" s="1918"/>
      <c r="N43" s="1918"/>
      <c r="O43" s="1918"/>
      <c r="P43" s="1918"/>
      <c r="Q43" s="1918"/>
      <c r="R43" s="1918"/>
      <c r="S43" s="1918"/>
      <c r="T43" s="1918"/>
      <c r="U43" s="1918"/>
      <c r="V43" s="1920"/>
      <c r="W43" s="1895"/>
      <c r="X43" s="1896"/>
      <c r="Y43" s="759"/>
      <c r="Z43" s="1898"/>
      <c r="AA43" s="1940"/>
      <c r="AB43" s="1941"/>
      <c r="AC43" s="1942"/>
      <c r="AD43" s="1945"/>
      <c r="AE43" s="1945"/>
      <c r="AF43" s="1945"/>
      <c r="AG43" s="1945"/>
      <c r="AH43" s="1945"/>
      <c r="AI43" s="1878"/>
      <c r="AJ43" s="1878"/>
      <c r="AK43" s="1878"/>
      <c r="AL43" s="1878"/>
      <c r="AM43" s="1878"/>
      <c r="AN43" s="1878"/>
      <c r="AO43" s="1878"/>
      <c r="AP43" s="1878"/>
      <c r="AQ43" s="1878"/>
      <c r="AR43" s="1878"/>
      <c r="AS43" s="1878"/>
      <c r="AT43" s="1878"/>
      <c r="AU43" s="1878"/>
      <c r="AV43" s="1878"/>
      <c r="AW43" s="1922"/>
      <c r="AX43" s="1877"/>
      <c r="AY43" s="1878"/>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row>
    <row r="44" spans="1:84" ht="15.95" customHeight="1">
      <c r="A44" s="1925"/>
      <c r="B44" s="1887" t="s">
        <v>426</v>
      </c>
      <c r="C44" s="1913"/>
      <c r="D44" s="1914"/>
      <c r="E44" s="1914"/>
      <c r="F44" s="1914"/>
      <c r="G44" s="1914"/>
      <c r="H44" s="1918"/>
      <c r="I44" s="1918"/>
      <c r="J44" s="1918"/>
      <c r="K44" s="1918"/>
      <c r="L44" s="1918"/>
      <c r="M44" s="1918"/>
      <c r="N44" s="1918"/>
      <c r="O44" s="1918"/>
      <c r="P44" s="1918"/>
      <c r="Q44" s="1918"/>
      <c r="R44" s="1918"/>
      <c r="S44" s="1918"/>
      <c r="T44" s="1918"/>
      <c r="U44" s="1918"/>
      <c r="V44" s="1920"/>
      <c r="W44" s="1895"/>
      <c r="X44" s="1896"/>
      <c r="Y44" s="759"/>
      <c r="Z44" s="1898"/>
      <c r="AA44" s="1937" t="s">
        <v>131</v>
      </c>
      <c r="AB44" s="1938"/>
      <c r="AC44" s="1939"/>
      <c r="AD44" s="1945"/>
      <c r="AE44" s="1945"/>
      <c r="AF44" s="1945"/>
      <c r="AG44" s="1945"/>
      <c r="AH44" s="1945"/>
      <c r="AI44" s="1878"/>
      <c r="AJ44" s="1878"/>
      <c r="AK44" s="1878"/>
      <c r="AL44" s="1878"/>
      <c r="AM44" s="1878"/>
      <c r="AN44" s="1878"/>
      <c r="AO44" s="1878"/>
      <c r="AP44" s="1878"/>
      <c r="AQ44" s="1878"/>
      <c r="AR44" s="1878"/>
      <c r="AS44" s="1878"/>
      <c r="AT44" s="1878"/>
      <c r="AU44" s="1878"/>
      <c r="AV44" s="1878"/>
      <c r="AW44" s="1922"/>
      <c r="AX44" s="1877"/>
      <c r="AY44" s="1878"/>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row>
    <row r="45" spans="1:84" ht="15.95" customHeight="1">
      <c r="A45" s="1927"/>
      <c r="B45" s="1888"/>
      <c r="C45" s="1915"/>
      <c r="D45" s="1916"/>
      <c r="E45" s="1916"/>
      <c r="F45" s="1916"/>
      <c r="G45" s="1916"/>
      <c r="H45" s="1918"/>
      <c r="I45" s="1918"/>
      <c r="J45" s="1918"/>
      <c r="K45" s="1918"/>
      <c r="L45" s="1918"/>
      <c r="M45" s="1918"/>
      <c r="N45" s="1918"/>
      <c r="O45" s="1918"/>
      <c r="P45" s="1918"/>
      <c r="Q45" s="1918"/>
      <c r="R45" s="1918"/>
      <c r="S45" s="1918"/>
      <c r="T45" s="1918"/>
      <c r="U45" s="1918"/>
      <c r="V45" s="1920"/>
      <c r="W45" s="1895"/>
      <c r="X45" s="1896"/>
      <c r="Y45" s="759"/>
      <c r="Z45" s="1899"/>
      <c r="AA45" s="1940"/>
      <c r="AB45" s="1941"/>
      <c r="AC45" s="1942"/>
      <c r="AD45" s="1946"/>
      <c r="AE45" s="1946"/>
      <c r="AF45" s="1946"/>
      <c r="AG45" s="1946"/>
      <c r="AH45" s="1946"/>
      <c r="AI45" s="1878"/>
      <c r="AJ45" s="1878"/>
      <c r="AK45" s="1878"/>
      <c r="AL45" s="1878"/>
      <c r="AM45" s="1878"/>
      <c r="AN45" s="1878"/>
      <c r="AO45" s="1878"/>
      <c r="AP45" s="1878"/>
      <c r="AQ45" s="1878"/>
      <c r="AR45" s="1878"/>
      <c r="AS45" s="1878"/>
      <c r="AT45" s="1878"/>
      <c r="AU45" s="1878"/>
      <c r="AV45" s="1878"/>
      <c r="AW45" s="1922"/>
      <c r="AX45" s="1877"/>
      <c r="AY45" s="1878"/>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row>
    <row r="46" spans="1:84" ht="15.95" customHeight="1">
      <c r="A46" s="1924"/>
      <c r="B46" s="1879" t="s">
        <v>422</v>
      </c>
      <c r="C46" s="1928"/>
      <c r="D46" s="1929"/>
      <c r="E46" s="1929"/>
      <c r="F46" s="1929"/>
      <c r="G46" s="1929"/>
      <c r="H46" s="1918"/>
      <c r="I46" s="1918"/>
      <c r="J46" s="1918"/>
      <c r="K46" s="1918"/>
      <c r="L46" s="1918"/>
      <c r="M46" s="1918"/>
      <c r="N46" s="1918"/>
      <c r="O46" s="1918"/>
      <c r="P46" s="1918"/>
      <c r="Q46" s="1918"/>
      <c r="R46" s="1918"/>
      <c r="S46" s="1918"/>
      <c r="T46" s="1918"/>
      <c r="U46" s="1918"/>
      <c r="V46" s="1920"/>
      <c r="W46" s="1895"/>
      <c r="X46" s="1896"/>
      <c r="Y46" s="759"/>
      <c r="Z46" s="1936" t="s">
        <v>152</v>
      </c>
      <c r="AA46" s="1947" t="s">
        <v>128</v>
      </c>
      <c r="AB46" s="1948"/>
      <c r="AC46" s="1949"/>
      <c r="AD46" s="1943"/>
      <c r="AE46" s="1944"/>
      <c r="AF46" s="1944"/>
      <c r="AG46" s="1944"/>
      <c r="AH46" s="1944"/>
      <c r="AI46" s="1878"/>
      <c r="AJ46" s="1878"/>
      <c r="AK46" s="1878"/>
      <c r="AL46" s="1878"/>
      <c r="AM46" s="1878"/>
      <c r="AN46" s="1878"/>
      <c r="AO46" s="1878"/>
      <c r="AP46" s="1878"/>
      <c r="AQ46" s="1878"/>
      <c r="AR46" s="1878"/>
      <c r="AS46" s="1878"/>
      <c r="AT46" s="1878"/>
      <c r="AU46" s="1878"/>
      <c r="AV46" s="1878"/>
      <c r="AW46" s="1922"/>
      <c r="AX46" s="1982" t="s">
        <v>153</v>
      </c>
      <c r="AY46" s="1983"/>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row>
    <row r="47" spans="1:84" ht="15.95" customHeight="1">
      <c r="A47" s="1925"/>
      <c r="B47" s="1880"/>
      <c r="C47" s="1913"/>
      <c r="D47" s="1914"/>
      <c r="E47" s="1914"/>
      <c r="F47" s="1914"/>
      <c r="G47" s="1914"/>
      <c r="H47" s="1918"/>
      <c r="I47" s="1918"/>
      <c r="J47" s="1918"/>
      <c r="K47" s="1918"/>
      <c r="L47" s="1918"/>
      <c r="M47" s="1918"/>
      <c r="N47" s="1918"/>
      <c r="O47" s="1918"/>
      <c r="P47" s="1918"/>
      <c r="Q47" s="1918"/>
      <c r="R47" s="1918"/>
      <c r="S47" s="1918"/>
      <c r="T47" s="1918"/>
      <c r="U47" s="1918"/>
      <c r="V47" s="1920"/>
      <c r="W47" s="1895"/>
      <c r="X47" s="1896"/>
      <c r="Y47" s="759"/>
      <c r="Z47" s="1898"/>
      <c r="AA47" s="1903"/>
      <c r="AB47" s="1904"/>
      <c r="AC47" s="1905"/>
      <c r="AD47" s="1945"/>
      <c r="AE47" s="1945"/>
      <c r="AF47" s="1945"/>
      <c r="AG47" s="1945"/>
      <c r="AH47" s="1945"/>
      <c r="AI47" s="1878"/>
      <c r="AJ47" s="1878"/>
      <c r="AK47" s="1878"/>
      <c r="AL47" s="1878"/>
      <c r="AM47" s="1878"/>
      <c r="AN47" s="1878"/>
      <c r="AO47" s="1878"/>
      <c r="AP47" s="1878"/>
      <c r="AQ47" s="1878"/>
      <c r="AR47" s="1878"/>
      <c r="AS47" s="1878"/>
      <c r="AT47" s="1878"/>
      <c r="AU47" s="1878"/>
      <c r="AV47" s="1878"/>
      <c r="AW47" s="1922"/>
      <c r="AX47" s="1984"/>
      <c r="AY47" s="1983"/>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row>
    <row r="48" spans="1:84" ht="15.95" customHeight="1">
      <c r="A48" s="1925"/>
      <c r="B48" s="1879" t="s">
        <v>424</v>
      </c>
      <c r="C48" s="1913"/>
      <c r="D48" s="1914"/>
      <c r="E48" s="1914"/>
      <c r="F48" s="1914"/>
      <c r="G48" s="1914"/>
      <c r="H48" s="1918"/>
      <c r="I48" s="1918"/>
      <c r="J48" s="1918"/>
      <c r="K48" s="1918"/>
      <c r="L48" s="1918"/>
      <c r="M48" s="1918"/>
      <c r="N48" s="1918"/>
      <c r="O48" s="1918"/>
      <c r="P48" s="1918"/>
      <c r="Q48" s="1918"/>
      <c r="R48" s="1918"/>
      <c r="S48" s="1918"/>
      <c r="T48" s="1918"/>
      <c r="U48" s="1918"/>
      <c r="V48" s="1920"/>
      <c r="W48" s="1895"/>
      <c r="X48" s="1896"/>
      <c r="Y48" s="759"/>
      <c r="Z48" s="1898"/>
      <c r="AA48" s="1947" t="s">
        <v>129</v>
      </c>
      <c r="AB48" s="1948"/>
      <c r="AC48" s="1949"/>
      <c r="AD48" s="1945"/>
      <c r="AE48" s="1945"/>
      <c r="AF48" s="1945"/>
      <c r="AG48" s="1945"/>
      <c r="AH48" s="1945"/>
      <c r="AI48" s="1878"/>
      <c r="AJ48" s="1878"/>
      <c r="AK48" s="1878"/>
      <c r="AL48" s="1878"/>
      <c r="AM48" s="1878"/>
      <c r="AN48" s="1878"/>
      <c r="AO48" s="1878"/>
      <c r="AP48" s="1878"/>
      <c r="AQ48" s="1878"/>
      <c r="AR48" s="1878"/>
      <c r="AS48" s="1878"/>
      <c r="AT48" s="1878"/>
      <c r="AU48" s="1878"/>
      <c r="AV48" s="1878"/>
      <c r="AW48" s="1922"/>
      <c r="AX48" s="1984"/>
      <c r="AY48" s="1983"/>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row>
    <row r="49" spans="1:84" ht="15.95" customHeight="1">
      <c r="A49" s="1925"/>
      <c r="B49" s="1880"/>
      <c r="C49" s="1913"/>
      <c r="D49" s="1914"/>
      <c r="E49" s="1914"/>
      <c r="F49" s="1914"/>
      <c r="G49" s="1914"/>
      <c r="H49" s="1918"/>
      <c r="I49" s="1918"/>
      <c r="J49" s="1918"/>
      <c r="K49" s="1918"/>
      <c r="L49" s="1918"/>
      <c r="M49" s="1918"/>
      <c r="N49" s="1918"/>
      <c r="O49" s="1918"/>
      <c r="P49" s="1918"/>
      <c r="Q49" s="1918"/>
      <c r="R49" s="1918"/>
      <c r="S49" s="1918"/>
      <c r="T49" s="1918"/>
      <c r="U49" s="1918"/>
      <c r="V49" s="1920"/>
      <c r="W49" s="1895"/>
      <c r="X49" s="1896"/>
      <c r="Y49" s="759"/>
      <c r="Z49" s="1898"/>
      <c r="AA49" s="1903"/>
      <c r="AB49" s="1904"/>
      <c r="AC49" s="1905"/>
      <c r="AD49" s="1945"/>
      <c r="AE49" s="1945"/>
      <c r="AF49" s="1945"/>
      <c r="AG49" s="1945"/>
      <c r="AH49" s="1945"/>
      <c r="AI49" s="1878"/>
      <c r="AJ49" s="1878"/>
      <c r="AK49" s="1878"/>
      <c r="AL49" s="1878"/>
      <c r="AM49" s="1878"/>
      <c r="AN49" s="1878"/>
      <c r="AO49" s="1878"/>
      <c r="AP49" s="1878"/>
      <c r="AQ49" s="1878"/>
      <c r="AR49" s="1878"/>
      <c r="AS49" s="1878"/>
      <c r="AT49" s="1878"/>
      <c r="AU49" s="1878"/>
      <c r="AV49" s="1878"/>
      <c r="AW49" s="1922"/>
      <c r="AX49" s="1984"/>
      <c r="AY49" s="1983"/>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row>
    <row r="50" spans="1:84" ht="15.95" customHeight="1">
      <c r="A50" s="1925"/>
      <c r="B50" s="1887" t="s">
        <v>130</v>
      </c>
      <c r="C50" s="1913"/>
      <c r="D50" s="1914"/>
      <c r="E50" s="1914"/>
      <c r="F50" s="1914"/>
      <c r="G50" s="1914"/>
      <c r="H50" s="1918"/>
      <c r="I50" s="1918"/>
      <c r="J50" s="1918"/>
      <c r="K50" s="1918"/>
      <c r="L50" s="1918"/>
      <c r="M50" s="1918"/>
      <c r="N50" s="1918"/>
      <c r="O50" s="1918"/>
      <c r="P50" s="1918"/>
      <c r="Q50" s="1918"/>
      <c r="R50" s="1918"/>
      <c r="S50" s="1918"/>
      <c r="T50" s="1918"/>
      <c r="U50" s="1918"/>
      <c r="V50" s="1920"/>
      <c r="W50" s="1895"/>
      <c r="X50" s="1896"/>
      <c r="Y50" s="759"/>
      <c r="Z50" s="1898"/>
      <c r="AA50" s="1889" t="s">
        <v>148</v>
      </c>
      <c r="AB50" s="1794"/>
      <c r="AC50" s="1890"/>
      <c r="AD50" s="1945"/>
      <c r="AE50" s="1945"/>
      <c r="AF50" s="1945"/>
      <c r="AG50" s="1945"/>
      <c r="AH50" s="1945"/>
      <c r="AI50" s="1878"/>
      <c r="AJ50" s="1878"/>
      <c r="AK50" s="1878"/>
      <c r="AL50" s="1878"/>
      <c r="AM50" s="1878"/>
      <c r="AN50" s="1878"/>
      <c r="AO50" s="1878"/>
      <c r="AP50" s="1878"/>
      <c r="AQ50" s="1878"/>
      <c r="AR50" s="1878"/>
      <c r="AS50" s="1878"/>
      <c r="AT50" s="1878"/>
      <c r="AU50" s="1878"/>
      <c r="AV50" s="1878"/>
      <c r="AW50" s="1922"/>
      <c r="AX50" s="1984"/>
      <c r="AY50" s="1983"/>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row>
    <row r="51" spans="1:84" ht="15.95" customHeight="1">
      <c r="A51" s="1925"/>
      <c r="B51" s="1888"/>
      <c r="C51" s="1913"/>
      <c r="D51" s="1914"/>
      <c r="E51" s="1914"/>
      <c r="F51" s="1914"/>
      <c r="G51" s="1914"/>
      <c r="H51" s="1918"/>
      <c r="I51" s="1918"/>
      <c r="J51" s="1918"/>
      <c r="K51" s="1918"/>
      <c r="L51" s="1918"/>
      <c r="M51" s="1918"/>
      <c r="N51" s="1918"/>
      <c r="O51" s="1918"/>
      <c r="P51" s="1918"/>
      <c r="Q51" s="1918"/>
      <c r="R51" s="1918"/>
      <c r="S51" s="1918"/>
      <c r="T51" s="1918"/>
      <c r="U51" s="1918"/>
      <c r="V51" s="1920"/>
      <c r="W51" s="1895"/>
      <c r="X51" s="1896"/>
      <c r="Y51" s="759"/>
      <c r="Z51" s="1898"/>
      <c r="AA51" s="1891"/>
      <c r="AB51" s="1454"/>
      <c r="AC51" s="1892"/>
      <c r="AD51" s="1945"/>
      <c r="AE51" s="1945"/>
      <c r="AF51" s="1945"/>
      <c r="AG51" s="1945"/>
      <c r="AH51" s="1945"/>
      <c r="AI51" s="1878"/>
      <c r="AJ51" s="1878"/>
      <c r="AK51" s="1878"/>
      <c r="AL51" s="1878"/>
      <c r="AM51" s="1878"/>
      <c r="AN51" s="1878"/>
      <c r="AO51" s="1878"/>
      <c r="AP51" s="1878"/>
      <c r="AQ51" s="1878"/>
      <c r="AR51" s="1878"/>
      <c r="AS51" s="1878"/>
      <c r="AT51" s="1878"/>
      <c r="AU51" s="1878"/>
      <c r="AV51" s="1878"/>
      <c r="AW51" s="1922"/>
      <c r="AX51" s="1984"/>
      <c r="AY51" s="1983"/>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row>
    <row r="52" spans="1:84" ht="15.95" customHeight="1">
      <c r="A52" s="1925"/>
      <c r="B52" s="1887" t="s">
        <v>426</v>
      </c>
      <c r="C52" s="1913"/>
      <c r="D52" s="1914"/>
      <c r="E52" s="1914"/>
      <c r="F52" s="1914"/>
      <c r="G52" s="1914"/>
      <c r="H52" s="1918"/>
      <c r="I52" s="1918"/>
      <c r="J52" s="1918"/>
      <c r="K52" s="1918"/>
      <c r="L52" s="1918"/>
      <c r="M52" s="1918"/>
      <c r="N52" s="1918"/>
      <c r="O52" s="1918"/>
      <c r="P52" s="1918"/>
      <c r="Q52" s="1918"/>
      <c r="R52" s="1918"/>
      <c r="S52" s="1918"/>
      <c r="T52" s="1918"/>
      <c r="U52" s="1918"/>
      <c r="V52" s="1920"/>
      <c r="W52" s="1895"/>
      <c r="X52" s="1896"/>
      <c r="Y52" s="759"/>
      <c r="Z52" s="1898"/>
      <c r="AA52" s="1889" t="s">
        <v>131</v>
      </c>
      <c r="AB52" s="1794"/>
      <c r="AC52" s="1890"/>
      <c r="AD52" s="1945"/>
      <c r="AE52" s="1945"/>
      <c r="AF52" s="1945"/>
      <c r="AG52" s="1945"/>
      <c r="AH52" s="1945"/>
      <c r="AI52" s="1878"/>
      <c r="AJ52" s="1878"/>
      <c r="AK52" s="1878"/>
      <c r="AL52" s="1878"/>
      <c r="AM52" s="1878"/>
      <c r="AN52" s="1878"/>
      <c r="AO52" s="1878"/>
      <c r="AP52" s="1878"/>
      <c r="AQ52" s="1878"/>
      <c r="AR52" s="1878"/>
      <c r="AS52" s="1878"/>
      <c r="AT52" s="1878"/>
      <c r="AU52" s="1878"/>
      <c r="AV52" s="1878"/>
      <c r="AW52" s="1922"/>
      <c r="AX52" s="1984"/>
      <c r="AY52" s="1983"/>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row>
    <row r="53" spans="1:84" ht="15.95" customHeight="1" thickBot="1">
      <c r="A53" s="1926"/>
      <c r="B53" s="1950"/>
      <c r="C53" s="1930"/>
      <c r="D53" s="1931"/>
      <c r="E53" s="1931"/>
      <c r="F53" s="1931"/>
      <c r="G53" s="1931"/>
      <c r="H53" s="1932"/>
      <c r="I53" s="1932"/>
      <c r="J53" s="1932"/>
      <c r="K53" s="1932"/>
      <c r="L53" s="1932"/>
      <c r="M53" s="1932"/>
      <c r="N53" s="1932"/>
      <c r="O53" s="1932"/>
      <c r="P53" s="1932"/>
      <c r="Q53" s="1932"/>
      <c r="R53" s="1932"/>
      <c r="S53" s="1932"/>
      <c r="T53" s="1932"/>
      <c r="U53" s="1932"/>
      <c r="V53" s="1933"/>
      <c r="W53" s="1895"/>
      <c r="X53" s="1896"/>
      <c r="Y53" s="759"/>
      <c r="Z53" s="1954"/>
      <c r="AA53" s="1951"/>
      <c r="AB53" s="1952"/>
      <c r="AC53" s="1953"/>
      <c r="AD53" s="1985"/>
      <c r="AE53" s="1985"/>
      <c r="AF53" s="1985"/>
      <c r="AG53" s="1985"/>
      <c r="AH53" s="1985"/>
      <c r="AI53" s="1921"/>
      <c r="AJ53" s="1921"/>
      <c r="AK53" s="1921"/>
      <c r="AL53" s="1921"/>
      <c r="AM53" s="1921"/>
      <c r="AN53" s="1921"/>
      <c r="AO53" s="1921"/>
      <c r="AP53" s="1921"/>
      <c r="AQ53" s="1921"/>
      <c r="AR53" s="1921"/>
      <c r="AS53" s="1921"/>
      <c r="AT53" s="1921"/>
      <c r="AU53" s="1921"/>
      <c r="AV53" s="1921"/>
      <c r="AW53" s="1923"/>
      <c r="AX53" s="1984"/>
      <c r="AY53" s="1983"/>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row>
    <row r="54" spans="1:84" ht="14.25" customHeight="1" thickBot="1">
      <c r="A54" s="294"/>
      <c r="B54" s="633"/>
      <c r="C54" s="1647" t="s">
        <v>3138</v>
      </c>
      <c r="D54" s="1647"/>
      <c r="E54" s="1647"/>
      <c r="F54" s="1647"/>
      <c r="G54" s="1647"/>
      <c r="H54" s="1647"/>
      <c r="I54" s="1647"/>
      <c r="J54" s="1647"/>
      <c r="K54" s="1647"/>
      <c r="L54" s="1647"/>
      <c r="M54" s="1647"/>
      <c r="N54" s="1647"/>
      <c r="O54" s="1647"/>
      <c r="P54" s="1647"/>
      <c r="Q54" s="1647"/>
      <c r="R54" s="1647"/>
      <c r="S54" s="1647"/>
      <c r="T54" s="1647"/>
      <c r="U54" s="1647"/>
      <c r="V54" s="1647"/>
      <c r="W54" s="1647"/>
      <c r="X54" s="1647"/>
      <c r="Y54" s="759"/>
      <c r="Z54" s="252"/>
      <c r="AA54" s="252"/>
      <c r="AB54" s="252"/>
      <c r="AC54" s="252"/>
      <c r="AD54" s="1647" t="s">
        <v>3138</v>
      </c>
      <c r="AE54" s="1647"/>
      <c r="AF54" s="1647"/>
      <c r="AG54" s="1647"/>
      <c r="AH54" s="1647"/>
      <c r="AI54" s="1647"/>
      <c r="AJ54" s="1647"/>
      <c r="AK54" s="1647"/>
      <c r="AL54" s="1647"/>
      <c r="AM54" s="1647"/>
      <c r="AN54" s="1647"/>
      <c r="AO54" s="1647"/>
      <c r="AP54" s="1647"/>
      <c r="AQ54" s="1647"/>
      <c r="AR54" s="1647"/>
      <c r="AS54" s="1647"/>
      <c r="AT54" s="1647"/>
      <c r="AU54" s="1647"/>
      <c r="AV54" s="1647"/>
      <c r="AW54" s="1647"/>
      <c r="AX54" s="1647"/>
      <c r="AY54" s="1647"/>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row>
    <row r="55" spans="1:84" ht="14.25" customHeight="1" thickTop="1">
      <c r="A55" s="294"/>
      <c r="B55" s="294"/>
      <c r="C55" s="1969" t="s">
        <v>154</v>
      </c>
      <c r="D55" s="1970"/>
      <c r="E55" s="1970"/>
      <c r="F55" s="1970"/>
      <c r="G55" s="1970"/>
      <c r="H55" s="1973"/>
      <c r="I55" s="1974"/>
      <c r="J55" s="1974"/>
      <c r="K55" s="1974"/>
      <c r="L55" s="1975"/>
      <c r="M55" s="294"/>
      <c r="N55" s="294"/>
      <c r="O55" s="294"/>
      <c r="P55" s="294"/>
      <c r="Q55" s="1968" t="s">
        <v>155</v>
      </c>
      <c r="R55" s="1968"/>
      <c r="S55" s="1968"/>
      <c r="T55" s="1770"/>
      <c r="U55" s="1516" t="s">
        <v>125</v>
      </c>
      <c r="V55" s="1516"/>
      <c r="W55" s="1516"/>
      <c r="X55" s="1516"/>
      <c r="Y55" s="879"/>
      <c r="Z55" s="252"/>
      <c r="AA55" s="252"/>
      <c r="AB55" s="252"/>
      <c r="AC55" s="252"/>
      <c r="AD55" s="1979" t="s">
        <v>154</v>
      </c>
      <c r="AE55" s="1856"/>
      <c r="AF55" s="1856"/>
      <c r="AG55" s="1856"/>
      <c r="AH55" s="1856"/>
      <c r="AI55" s="1962" t="s">
        <v>157</v>
      </c>
      <c r="AJ55" s="1963"/>
      <c r="AK55" s="1963"/>
      <c r="AL55" s="1963"/>
      <c r="AM55" s="1964"/>
      <c r="AN55" s="252"/>
      <c r="AO55" s="252"/>
      <c r="AP55" s="252"/>
      <c r="AQ55" s="252"/>
      <c r="AR55" s="1968" t="s">
        <v>155</v>
      </c>
      <c r="AS55" s="1968"/>
      <c r="AT55" s="1968"/>
      <c r="AU55" s="1453"/>
      <c r="AV55" s="1453"/>
      <c r="AW55" s="1453"/>
      <c r="AX55" s="1453" t="s">
        <v>156</v>
      </c>
      <c r="AY55" s="1453"/>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row>
    <row r="56" spans="1:84" ht="14.25" customHeight="1" thickBot="1">
      <c r="A56" s="294"/>
      <c r="B56" s="294"/>
      <c r="C56" s="1971"/>
      <c r="D56" s="1972"/>
      <c r="E56" s="1972"/>
      <c r="F56" s="1972"/>
      <c r="G56" s="1972"/>
      <c r="H56" s="1976"/>
      <c r="I56" s="1977"/>
      <c r="J56" s="1977"/>
      <c r="K56" s="1977"/>
      <c r="L56" s="1978"/>
      <c r="M56" s="294"/>
      <c r="N56" s="294"/>
      <c r="O56" s="294"/>
      <c r="P56" s="294"/>
      <c r="Q56" s="1968"/>
      <c r="R56" s="1968"/>
      <c r="S56" s="1968"/>
      <c r="T56" s="1770"/>
      <c r="U56" s="1516"/>
      <c r="V56" s="1516"/>
      <c r="W56" s="1516"/>
      <c r="X56" s="1516"/>
      <c r="Y56" s="879"/>
      <c r="Z56" s="252"/>
      <c r="AA56" s="252"/>
      <c r="AB56" s="252"/>
      <c r="AC56" s="252"/>
      <c r="AD56" s="1980"/>
      <c r="AE56" s="1981"/>
      <c r="AF56" s="1981"/>
      <c r="AG56" s="1981"/>
      <c r="AH56" s="1981"/>
      <c r="AI56" s="1965"/>
      <c r="AJ56" s="1966"/>
      <c r="AK56" s="1966"/>
      <c r="AL56" s="1966"/>
      <c r="AM56" s="1967"/>
      <c r="AN56" s="252"/>
      <c r="AO56" s="252"/>
      <c r="AP56" s="252"/>
      <c r="AQ56" s="252"/>
      <c r="AR56" s="1968"/>
      <c r="AS56" s="1968"/>
      <c r="AT56" s="1968"/>
      <c r="AU56" s="1453"/>
      <c r="AV56" s="1453"/>
      <c r="AW56" s="1453"/>
      <c r="AX56" s="1453"/>
      <c r="AY56" s="1453"/>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row>
    <row r="57" spans="1:84" ht="14.25" thickTop="1">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row>
    <row r="58" spans="1:84">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row>
    <row r="59" spans="1:84">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row>
    <row r="60" spans="1:84">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row>
    <row r="61" spans="1:84">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row>
    <row r="62" spans="1:84">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row>
    <row r="63" spans="1:84">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row>
    <row r="64" spans="1:84">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row>
    <row r="65" spans="1:60">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row>
    <row r="66" spans="1:60">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row>
    <row r="67" spans="1:60">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row>
    <row r="68" spans="1:60">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row>
    <row r="69" spans="1:60">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row>
    <row r="70" spans="1:60">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row>
    <row r="71" spans="1:60">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row>
    <row r="72" spans="1:60">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row>
    <row r="73" spans="1:60">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row>
    <row r="74" spans="1:60">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row>
    <row r="141" spans="3:11">
      <c r="C141" s="40"/>
      <c r="D141" s="40"/>
      <c r="E141" s="40"/>
      <c r="F141" s="40"/>
      <c r="G141" s="40"/>
      <c r="H141" s="40"/>
      <c r="I141" s="40"/>
      <c r="J141" s="40"/>
      <c r="K141" s="40"/>
    </row>
    <row r="142" spans="3:11">
      <c r="C142" s="40"/>
      <c r="D142" s="40"/>
      <c r="E142" s="40"/>
      <c r="F142" s="40"/>
      <c r="G142" s="40"/>
      <c r="H142" s="40"/>
      <c r="I142" s="40"/>
      <c r="J142" s="40"/>
      <c r="K142" s="40"/>
    </row>
    <row r="143" spans="3:11">
      <c r="C143" s="40"/>
      <c r="D143" s="40"/>
      <c r="E143" s="40"/>
      <c r="F143" s="40"/>
      <c r="G143" s="40"/>
      <c r="H143" s="40"/>
      <c r="I143" s="40"/>
      <c r="J143" s="40"/>
      <c r="K143" s="40"/>
    </row>
    <row r="144" spans="3:11">
      <c r="C144" s="40"/>
      <c r="D144" s="40"/>
      <c r="E144" s="40"/>
      <c r="F144" s="40"/>
      <c r="G144" s="40"/>
      <c r="H144" s="40"/>
      <c r="I144" s="40"/>
      <c r="J144" s="40"/>
      <c r="K144" s="40"/>
    </row>
    <row r="145" spans="3:11">
      <c r="C145" s="40"/>
      <c r="D145" s="40"/>
      <c r="E145" s="40"/>
      <c r="F145" s="40"/>
      <c r="G145" s="40"/>
      <c r="H145" s="40"/>
      <c r="I145" s="40"/>
      <c r="J145" s="40"/>
      <c r="K145" s="40"/>
    </row>
    <row r="146" spans="3:11">
      <c r="C146" s="40"/>
      <c r="D146" s="40"/>
      <c r="E146" s="40"/>
      <c r="F146" s="40"/>
      <c r="G146" s="40"/>
      <c r="H146" s="40"/>
      <c r="I146" s="40"/>
      <c r="J146" s="40"/>
      <c r="K146" s="40"/>
    </row>
    <row r="147" spans="3:11">
      <c r="C147" s="40"/>
      <c r="D147" s="40"/>
      <c r="E147" s="40"/>
      <c r="F147" s="40"/>
      <c r="G147" s="40"/>
      <c r="H147" s="40"/>
      <c r="I147" s="40"/>
      <c r="J147" s="40"/>
      <c r="K147" s="40"/>
    </row>
    <row r="148" spans="3:11">
      <c r="C148" s="40"/>
      <c r="D148" s="40"/>
      <c r="E148" s="40"/>
      <c r="F148" s="40"/>
      <c r="G148" s="40"/>
      <c r="H148" s="40"/>
      <c r="I148" s="40"/>
      <c r="J148" s="40"/>
      <c r="K148" s="40"/>
    </row>
    <row r="149" spans="3:11">
      <c r="C149" s="40"/>
      <c r="D149" s="40"/>
      <c r="E149" s="40"/>
      <c r="F149" s="40"/>
      <c r="G149" s="40"/>
      <c r="H149" s="40"/>
      <c r="I149" s="40"/>
      <c r="J149" s="40"/>
      <c r="K149" s="40"/>
    </row>
    <row r="150" spans="3:11">
      <c r="C150" s="40"/>
      <c r="D150" s="40"/>
      <c r="E150" s="40"/>
      <c r="F150" s="40"/>
      <c r="G150" s="40"/>
      <c r="H150" s="40"/>
      <c r="I150" s="40"/>
      <c r="J150" s="40"/>
      <c r="K150" s="40"/>
    </row>
    <row r="151" spans="3:11">
      <c r="C151" s="40"/>
      <c r="D151" s="40"/>
      <c r="E151" s="40"/>
      <c r="F151" s="40"/>
      <c r="G151" s="40"/>
      <c r="H151" s="40"/>
      <c r="I151" s="40"/>
      <c r="J151" s="40"/>
      <c r="K151" s="40"/>
    </row>
    <row r="152" spans="3:11">
      <c r="C152" s="40"/>
      <c r="D152" s="40"/>
      <c r="E152" s="40"/>
      <c r="F152" s="40"/>
      <c r="G152" s="40"/>
      <c r="H152" s="40"/>
      <c r="I152" s="40"/>
      <c r="J152" s="40"/>
      <c r="K152" s="40"/>
    </row>
    <row r="153" spans="3:11">
      <c r="C153" s="40"/>
      <c r="D153" s="40"/>
      <c r="E153" s="40"/>
      <c r="F153" s="40"/>
      <c r="G153" s="40"/>
      <c r="H153" s="40"/>
      <c r="I153" s="40"/>
      <c r="J153" s="40"/>
      <c r="K153" s="40"/>
    </row>
  </sheetData>
  <sheetProtection algorithmName="SHA-512" hashValue="H7W7aensh9pY+7DzUIq30R6A/cHnI/sxAXjXfOhBIlRZPw60ko8ubqtFIObtZi/Ebtg65VZ5eaoOBd939sxq6A==" saltValue="oObgXsrg4FefhqesbeoBYg==" spinCount="100000" sheet="1" selectLockedCells="1"/>
  <mergeCells count="219">
    <mergeCell ref="C5:N5"/>
    <mergeCell ref="AX17:AY21"/>
    <mergeCell ref="AI55:AM56"/>
    <mergeCell ref="AR55:AT56"/>
    <mergeCell ref="AU55:AV56"/>
    <mergeCell ref="AW55:AW56"/>
    <mergeCell ref="AX55:AX56"/>
    <mergeCell ref="AY55:AY56"/>
    <mergeCell ref="C54:X54"/>
    <mergeCell ref="AD54:AY54"/>
    <mergeCell ref="C55:G56"/>
    <mergeCell ref="H55:L56"/>
    <mergeCell ref="Q55:S56"/>
    <mergeCell ref="AD55:AH56"/>
    <mergeCell ref="AS46:AW53"/>
    <mergeCell ref="AX46:AY53"/>
    <mergeCell ref="AD46:AH53"/>
    <mergeCell ref="AI46:AM53"/>
    <mergeCell ref="AN46:AR53"/>
    <mergeCell ref="M38:Q45"/>
    <mergeCell ref="R38:V45"/>
    <mergeCell ref="AX30:AY37"/>
    <mergeCell ref="AD30:AH37"/>
    <mergeCell ref="AI30:AM37"/>
    <mergeCell ref="B48:B49"/>
    <mergeCell ref="AA48:AC49"/>
    <mergeCell ref="B50:B51"/>
    <mergeCell ref="AA50:AC51"/>
    <mergeCell ref="B52:B53"/>
    <mergeCell ref="AA52:AC53"/>
    <mergeCell ref="W46:X53"/>
    <mergeCell ref="Z46:Z53"/>
    <mergeCell ref="AA46:AC47"/>
    <mergeCell ref="A46:A53"/>
    <mergeCell ref="B46:B47"/>
    <mergeCell ref="C46:G53"/>
    <mergeCell ref="H46:L53"/>
    <mergeCell ref="M46:Q53"/>
    <mergeCell ref="R46:V53"/>
    <mergeCell ref="AS38:AW45"/>
    <mergeCell ref="AX38:AY45"/>
    <mergeCell ref="B40:B41"/>
    <mergeCell ref="AA40:AC41"/>
    <mergeCell ref="B42:B43"/>
    <mergeCell ref="AA42:AC43"/>
    <mergeCell ref="B44:B45"/>
    <mergeCell ref="AA44:AC45"/>
    <mergeCell ref="W38:X45"/>
    <mergeCell ref="Z38:Z45"/>
    <mergeCell ref="AA38:AC39"/>
    <mergeCell ref="AD38:AH45"/>
    <mergeCell ref="AI38:AM45"/>
    <mergeCell ref="AN38:AR45"/>
    <mergeCell ref="A38:A45"/>
    <mergeCell ref="B38:B39"/>
    <mergeCell ref="C38:G45"/>
    <mergeCell ref="H38:L45"/>
    <mergeCell ref="AN30:AR37"/>
    <mergeCell ref="AS30:AW37"/>
    <mergeCell ref="A30:A37"/>
    <mergeCell ref="B30:B31"/>
    <mergeCell ref="C30:G37"/>
    <mergeCell ref="H30:L37"/>
    <mergeCell ref="M30:Q37"/>
    <mergeCell ref="R30:V37"/>
    <mergeCell ref="AS22:AW29"/>
    <mergeCell ref="A22:A29"/>
    <mergeCell ref="B32:B33"/>
    <mergeCell ref="AA32:AC33"/>
    <mergeCell ref="B34:B35"/>
    <mergeCell ref="AA34:AC35"/>
    <mergeCell ref="B36:B37"/>
    <mergeCell ref="AA36:AC37"/>
    <mergeCell ref="W30:X37"/>
    <mergeCell ref="Z30:Z37"/>
    <mergeCell ref="AA30:AC31"/>
    <mergeCell ref="AX22:AY29"/>
    <mergeCell ref="B24:B25"/>
    <mergeCell ref="AA24:AC25"/>
    <mergeCell ref="B26:B27"/>
    <mergeCell ref="AA26:AC27"/>
    <mergeCell ref="B28:B29"/>
    <mergeCell ref="AA28:AC29"/>
    <mergeCell ref="W22:X29"/>
    <mergeCell ref="Z22:Z29"/>
    <mergeCell ref="AA22:AC23"/>
    <mergeCell ref="AD22:AH29"/>
    <mergeCell ref="AI22:AM29"/>
    <mergeCell ref="AN22:AR29"/>
    <mergeCell ref="B22:B23"/>
    <mergeCell ref="C22:G29"/>
    <mergeCell ref="H22:L29"/>
    <mergeCell ref="M22:Q29"/>
    <mergeCell ref="R22:V29"/>
    <mergeCell ref="AS19:AW19"/>
    <mergeCell ref="AD18:AE18"/>
    <mergeCell ref="AI18:AJ18"/>
    <mergeCell ref="AN18:AO18"/>
    <mergeCell ref="AD21:AW21"/>
    <mergeCell ref="AS18:AT18"/>
    <mergeCell ref="W17:X21"/>
    <mergeCell ref="AD17:AH17"/>
    <mergeCell ref="AI17:AM17"/>
    <mergeCell ref="AN17:AR17"/>
    <mergeCell ref="AS17:AW17"/>
    <mergeCell ref="AD20:AH20"/>
    <mergeCell ref="AI20:AM20"/>
    <mergeCell ref="AN20:AR20"/>
    <mergeCell ref="AS20:AW20"/>
    <mergeCell ref="AD19:AH19"/>
    <mergeCell ref="AI19:AM19"/>
    <mergeCell ref="AN19:AR19"/>
    <mergeCell ref="AA17:AC21"/>
    <mergeCell ref="B17:B21"/>
    <mergeCell ref="Z17:Z21"/>
    <mergeCell ref="AN13:AN14"/>
    <mergeCell ref="AO13:AO14"/>
    <mergeCell ref="C18:D18"/>
    <mergeCell ref="H18:I18"/>
    <mergeCell ref="M18:N18"/>
    <mergeCell ref="R18:S18"/>
    <mergeCell ref="C21:V21"/>
    <mergeCell ref="C20:G20"/>
    <mergeCell ref="H20:L20"/>
    <mergeCell ref="M20:Q20"/>
    <mergeCell ref="R20:V20"/>
    <mergeCell ref="C19:G19"/>
    <mergeCell ref="H19:L19"/>
    <mergeCell ref="M19:Q19"/>
    <mergeCell ref="R19:V19"/>
    <mergeCell ref="M17:Q17"/>
    <mergeCell ref="H17:L17"/>
    <mergeCell ref="C17:G17"/>
    <mergeCell ref="R17:V17"/>
    <mergeCell ref="Z11:AU11"/>
    <mergeCell ref="C12:R12"/>
    <mergeCell ref="AC12:AS12"/>
    <mergeCell ref="A13:B14"/>
    <mergeCell ref="D13:D14"/>
    <mergeCell ref="E13:E14"/>
    <mergeCell ref="F13:F14"/>
    <mergeCell ref="G13:G14"/>
    <mergeCell ref="H13:H14"/>
    <mergeCell ref="K13:K14"/>
    <mergeCell ref="L13:L14"/>
    <mergeCell ref="Z13:AB14"/>
    <mergeCell ref="AC13:AC14"/>
    <mergeCell ref="P13:P14"/>
    <mergeCell ref="AP13:AP14"/>
    <mergeCell ref="AQ13:AQ14"/>
    <mergeCell ref="A12:B12"/>
    <mergeCell ref="C13:C14"/>
    <mergeCell ref="M13:M14"/>
    <mergeCell ref="AL13:AL14"/>
    <mergeCell ref="AM13:AM14"/>
    <mergeCell ref="U14:V14"/>
    <mergeCell ref="N13:N14"/>
    <mergeCell ref="A6:B9"/>
    <mergeCell ref="C6:N9"/>
    <mergeCell ref="A1:X1"/>
    <mergeCell ref="Z1:AY1"/>
    <mergeCell ref="A17:A21"/>
    <mergeCell ref="AV14:AW14"/>
    <mergeCell ref="A16:X16"/>
    <mergeCell ref="Z16:AY16"/>
    <mergeCell ref="O13:O14"/>
    <mergeCell ref="R13:R14"/>
    <mergeCell ref="Q13:Q14"/>
    <mergeCell ref="S13:S14"/>
    <mergeCell ref="AD13:AD14"/>
    <mergeCell ref="AE13:AE14"/>
    <mergeCell ref="AF13:AF14"/>
    <mergeCell ref="AG13:AG14"/>
    <mergeCell ref="AR13:AR14"/>
    <mergeCell ref="AS13:AS14"/>
    <mergeCell ref="AH13:AH14"/>
    <mergeCell ref="AI13:AI14"/>
    <mergeCell ref="AJ13:AJ14"/>
    <mergeCell ref="AK13:AK14"/>
    <mergeCell ref="I13:I14"/>
    <mergeCell ref="J13:J14"/>
    <mergeCell ref="AG4:AI4"/>
    <mergeCell ref="AJ4:AL4"/>
    <mergeCell ref="AM4:AO4"/>
    <mergeCell ref="AP4:AQ4"/>
    <mergeCell ref="AR4:AS4"/>
    <mergeCell ref="AT4:AU4"/>
    <mergeCell ref="O4:P4"/>
    <mergeCell ref="Q4:R4"/>
    <mergeCell ref="S4:T4"/>
    <mergeCell ref="V4:V9"/>
    <mergeCell ref="W4:X6"/>
    <mergeCell ref="AD4:AF4"/>
    <mergeCell ref="Z6:AC9"/>
    <mergeCell ref="AD6:AO9"/>
    <mergeCell ref="V55:V56"/>
    <mergeCell ref="W55:X56"/>
    <mergeCell ref="T55:T56"/>
    <mergeCell ref="U55:U56"/>
    <mergeCell ref="B10:U10"/>
    <mergeCell ref="B11:U11"/>
    <mergeCell ref="AX7:AY9"/>
    <mergeCell ref="AW4:AW9"/>
    <mergeCell ref="AX4:AY6"/>
    <mergeCell ref="A5:B5"/>
    <mergeCell ref="O5:T9"/>
    <mergeCell ref="Z5:AC5"/>
    <mergeCell ref="AD5:AL5"/>
    <mergeCell ref="AM5:AO5"/>
    <mergeCell ref="AP5:AU9"/>
    <mergeCell ref="W7:X9"/>
    <mergeCell ref="A3:B4"/>
    <mergeCell ref="C3:T3"/>
    <mergeCell ref="Z3:AC4"/>
    <mergeCell ref="AD3:AU3"/>
    <mergeCell ref="C4:E4"/>
    <mergeCell ref="F4:H4"/>
    <mergeCell ref="I4:K4"/>
    <mergeCell ref="L4:N4"/>
  </mergeCells>
  <phoneticPr fontId="8"/>
  <conditionalFormatting sqref="V2 X2">
    <cfRule type="cellIs" dxfId="457" priority="26" stopIfTrue="1" operator="equal">
      <formula>""</formula>
    </cfRule>
  </conditionalFormatting>
  <conditionalFormatting sqref="B22:B23">
    <cfRule type="containsText" dxfId="456" priority="22" stopIfTrue="1" operator="containsText" text="対応不要">
      <formula>NOT(ISERROR(SEARCH("対応不要",B22)))</formula>
    </cfRule>
  </conditionalFormatting>
  <conditionalFormatting sqref="B24:B29">
    <cfRule type="containsText" dxfId="455" priority="21" stopIfTrue="1" operator="containsText" text="対応不要">
      <formula>NOT(ISERROR(SEARCH("対応不要",B24)))</formula>
    </cfRule>
  </conditionalFormatting>
  <conditionalFormatting sqref="B30:B31">
    <cfRule type="containsText" dxfId="454" priority="20" stopIfTrue="1" operator="containsText" text="対応不要">
      <formula>NOT(ISERROR(SEARCH("対応不要",B30)))</formula>
    </cfRule>
  </conditionalFormatting>
  <conditionalFormatting sqref="B32:B37">
    <cfRule type="containsText" dxfId="453" priority="19" stopIfTrue="1" operator="containsText" text="対応不要">
      <formula>NOT(ISERROR(SEARCH("対応不要",B32)))</formula>
    </cfRule>
  </conditionalFormatting>
  <conditionalFormatting sqref="B38:B39">
    <cfRule type="containsText" dxfId="452" priority="18" stopIfTrue="1" operator="containsText" text="対応不要">
      <formula>NOT(ISERROR(SEARCH("対応不要",B38)))</formula>
    </cfRule>
  </conditionalFormatting>
  <conditionalFormatting sqref="B40:B45">
    <cfRule type="containsText" dxfId="451" priority="17" stopIfTrue="1" operator="containsText" text="対応不要">
      <formula>NOT(ISERROR(SEARCH("対応不要",B40)))</formula>
    </cfRule>
  </conditionalFormatting>
  <conditionalFormatting sqref="B46:B47">
    <cfRule type="containsText" dxfId="450" priority="16" stopIfTrue="1" operator="containsText" text="対応不要">
      <formula>NOT(ISERROR(SEARCH("対応不要",B46)))</formula>
    </cfRule>
  </conditionalFormatting>
  <conditionalFormatting sqref="B48:B53">
    <cfRule type="containsText" dxfId="449" priority="15" stopIfTrue="1" operator="containsText" text="対応不要">
      <formula>NOT(ISERROR(SEARCH("対応不要",B48)))</formula>
    </cfRule>
  </conditionalFormatting>
  <conditionalFormatting sqref="A22:A53">
    <cfRule type="cellIs" dxfId="448" priority="7" stopIfTrue="1" operator="equal">
      <formula>""</formula>
    </cfRule>
  </conditionalFormatting>
  <conditionalFormatting sqref="C20:V20">
    <cfRule type="containsBlanks" dxfId="447" priority="3">
      <formula>LEN(TRIM(C20))=0</formula>
    </cfRule>
  </conditionalFormatting>
  <conditionalFormatting sqref="AD20:AW20">
    <cfRule type="containsBlanks" dxfId="446" priority="2">
      <formula>LEN(TRIM(AD20))=0</formula>
    </cfRule>
  </conditionalFormatting>
  <conditionalFormatting sqref="C19:V19">
    <cfRule type="containsBlanks" dxfId="445" priority="27">
      <formula>LEN(TRIM(C19))=0</formula>
    </cfRule>
  </conditionalFormatting>
  <dataValidations count="6">
    <dataValidation type="list" allowBlank="1" showInputMessage="1" showErrorMessage="1" sqref="B46 B30 B38 B22:B23" xr:uid="{00000000-0002-0000-0400-000000000000}">
      <formula1>$BA$22:$BA$23</formula1>
    </dataValidation>
    <dataValidation type="list" allowBlank="1" showInputMessage="1" showErrorMessage="1" sqref="B24:B25 B32:B33 B40:B41 B48:B49" xr:uid="{00000000-0002-0000-0400-000001000000}">
      <formula1>$BA$24:$BA$25</formula1>
    </dataValidation>
    <dataValidation type="list" allowBlank="1" showInputMessage="1" showErrorMessage="1" sqref="B26:B27 B34:B35 B42:B43 B50:B51" xr:uid="{00000000-0002-0000-0400-000002000000}">
      <formula1>$BA$26:$BA$27</formula1>
    </dataValidation>
    <dataValidation type="list" allowBlank="1" showInputMessage="1" showErrorMessage="1" sqref="B28:B29 B36:B37 B44:B45 B52:B53" xr:uid="{00000000-0002-0000-0400-000003000000}">
      <formula1>$BA$28:$BA$29</formula1>
    </dataValidation>
    <dataValidation type="list" allowBlank="1" showInputMessage="1" showErrorMessage="1" sqref="V2 X2" xr:uid="{F25B42B9-7577-4D6C-BBD9-0D97292250E9}">
      <formula1>$BD$2:$BD$6</formula1>
    </dataValidation>
    <dataValidation type="list" allowBlank="1" showInputMessage="1" showErrorMessage="1" sqref="H19:V19 C19:G19" xr:uid="{062FF730-3458-4F2D-8594-509678023E2A}">
      <formula1>$BA$2:$BA$11</formula1>
    </dataValidation>
  </dataValidations>
  <printOptions horizontalCentered="1" verticalCentered="1"/>
  <pageMargins left="0.39370078740157483" right="0.39370078740157483" top="0.39370078740157483" bottom="0.39370078740157483" header="0" footer="0"/>
  <pageSetup paperSize="9" scale="90" orientation="portrait" r:id="rId1"/>
  <headerFooter>
    <oddFooter>&amp;R&amp;D &amp;T</oddFooter>
  </headerFooter>
  <colBreaks count="1" manualBreakCount="1">
    <brk id="25" max="54" man="1"/>
  </colBreaks>
  <ignoredErrors>
    <ignoredError sqref="C18 U18 P18 K18 H18 D20:G20 I20:L20 N20:Q20 S20:V20" unlocked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CY333"/>
  <sheetViews>
    <sheetView showZeros="0" view="pageBreakPreview" topLeftCell="D27" zoomScale="80" zoomScaleNormal="100" zoomScaleSheetLayoutView="80" workbookViewId="0">
      <selection activeCell="B55" sqref="B55:G55"/>
    </sheetView>
  </sheetViews>
  <sheetFormatPr defaultRowHeight="13.5"/>
  <cols>
    <col min="1" max="1" width="5.625" style="61" customWidth="1"/>
    <col min="2" max="13" width="4.125" style="61" customWidth="1"/>
    <col min="14" max="14" width="5.625" style="61" customWidth="1"/>
    <col min="15" max="52" width="4.125" style="61" customWidth="1"/>
    <col min="53" max="53" width="4" style="61" customWidth="1"/>
    <col min="54" max="56" width="9" style="61" customWidth="1"/>
    <col min="57" max="57" width="9" style="61"/>
    <col min="58" max="58" width="12.5" style="80" customWidth="1"/>
    <col min="59" max="59" width="12.25" style="61" bestFit="1" customWidth="1"/>
    <col min="60" max="66" width="9" style="61"/>
    <col min="67" max="67" width="13.75" style="61" customWidth="1"/>
    <col min="68" max="70" width="9" style="61"/>
    <col min="71" max="71" width="10.625" style="61" customWidth="1"/>
    <col min="72" max="75" width="9" style="61"/>
    <col min="76" max="78" width="9" style="1"/>
    <col min="79" max="79" width="10.25" style="1" bestFit="1" customWidth="1"/>
    <col min="80" max="80" width="9" style="1"/>
    <col min="81" max="81" width="16.875" style="1" bestFit="1" customWidth="1"/>
    <col min="82" max="82" width="9.5" style="1" bestFit="1" customWidth="1"/>
    <col min="83" max="83" width="10.375" style="1" bestFit="1" customWidth="1"/>
    <col min="84" max="84" width="10.375" style="61" customWidth="1"/>
    <col min="85" max="85" width="9" style="1"/>
    <col min="86" max="86" width="10.375" style="1" bestFit="1" customWidth="1"/>
    <col min="87" max="87" width="10.125" style="166" bestFit="1" customWidth="1"/>
    <col min="88" max="88" width="9.5" style="166" bestFit="1" customWidth="1"/>
    <col min="89" max="16384" width="9" style="1"/>
  </cols>
  <sheetData>
    <row r="1" spans="1:103" s="3" customFormat="1" ht="24" customHeight="1">
      <c r="A1" s="1276" t="s">
        <v>433</v>
      </c>
      <c r="B1" s="1276"/>
      <c r="C1" s="1276"/>
      <c r="D1" s="1276"/>
      <c r="E1" s="1276"/>
      <c r="F1" s="1276"/>
      <c r="G1" s="1276"/>
      <c r="H1" s="1276"/>
      <c r="I1" s="1276"/>
      <c r="J1" s="1276"/>
      <c r="K1" s="1276"/>
      <c r="L1" s="1276"/>
      <c r="M1" s="1276"/>
      <c r="N1" s="1276"/>
      <c r="O1" s="1276"/>
      <c r="P1" s="1276"/>
      <c r="Q1" s="1276"/>
      <c r="R1" s="1276"/>
      <c r="S1" s="1276"/>
      <c r="T1" s="1276"/>
      <c r="U1" s="1276"/>
      <c r="V1" s="1276"/>
      <c r="W1" s="1276"/>
      <c r="X1" s="1276"/>
      <c r="Y1" s="1276"/>
      <c r="Z1" s="1276"/>
      <c r="AA1" s="1276" t="s">
        <v>433</v>
      </c>
      <c r="AB1" s="1276"/>
      <c r="AC1" s="1276"/>
      <c r="AD1" s="1276"/>
      <c r="AE1" s="1276"/>
      <c r="AF1" s="1276"/>
      <c r="AG1" s="1276"/>
      <c r="AH1" s="1276"/>
      <c r="AI1" s="1276"/>
      <c r="AJ1" s="1276"/>
      <c r="AK1" s="1276"/>
      <c r="AL1" s="1276"/>
      <c r="AM1" s="1276"/>
      <c r="AN1" s="1276"/>
      <c r="AO1" s="1276"/>
      <c r="AP1" s="1276"/>
      <c r="AQ1" s="1276"/>
      <c r="AR1" s="1276"/>
      <c r="AS1" s="1276"/>
      <c r="AT1" s="1276"/>
      <c r="AU1" s="1276"/>
      <c r="AV1" s="1276"/>
      <c r="AW1" s="1276"/>
      <c r="AX1" s="1276"/>
      <c r="AY1" s="1276"/>
      <c r="AZ1" s="1276"/>
      <c r="BA1" s="59"/>
      <c r="BB1" s="60"/>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89" t="s">
        <v>1883</v>
      </c>
      <c r="CI1" s="1989"/>
      <c r="CJ1" s="1989"/>
      <c r="CK1" s="1989"/>
      <c r="CL1" s="192"/>
      <c r="CM1" s="1989" t="s">
        <v>1882</v>
      </c>
      <c r="CN1" s="1989"/>
      <c r="CO1" s="1989"/>
      <c r="CP1" s="1989"/>
      <c r="CQ1" s="192"/>
      <c r="CR1" s="192"/>
      <c r="CS1" s="192"/>
      <c r="CT1" s="192"/>
      <c r="CU1" s="192"/>
      <c r="CV1" s="192"/>
      <c r="CW1" s="192"/>
      <c r="CX1" s="192"/>
      <c r="CY1" s="192"/>
    </row>
    <row r="2" spans="1:103" s="3" customFormat="1" ht="24.95" customHeight="1" thickBot="1">
      <c r="A2" s="317">
        <f>COUNTIFS(K13:K22,"a",H13:H22,"&gt;0")</f>
        <v>0</v>
      </c>
      <c r="B2" s="317">
        <f>COUNTIFS(X13:X22,"a",U13:U22,"&gt;0")</f>
        <v>0</v>
      </c>
      <c r="C2" s="317">
        <f>COUNTIFS(K13:K22,"b",H13:H22,"&gt;0")</f>
        <v>0</v>
      </c>
      <c r="D2" s="317">
        <f>COUNTIFS(X13:X22,"b",U13:U22,"&gt;0")</f>
        <v>0</v>
      </c>
      <c r="E2" s="317">
        <f>COUNTIFS(K13:K22,"c",H13:H22,"&gt;0")</f>
        <v>0</v>
      </c>
      <c r="F2" s="317">
        <f>COUNTIFS(X13:X22,"c",U13:U22,"&gt;0")</f>
        <v>0</v>
      </c>
      <c r="G2" s="317">
        <f>COUNTIFS(K13:K22,"d",H13:H22,"&gt;0")</f>
        <v>0</v>
      </c>
      <c r="H2" s="317">
        <f>COUNTIFS(X13:X22,"d",U13:U22,"&gt;0")</f>
        <v>0</v>
      </c>
      <c r="I2" s="317">
        <f>COUNTIFS(K13:K22,"e",H13:H22,"&gt;0")</f>
        <v>0</v>
      </c>
      <c r="J2" s="317">
        <f>COUNTIFS(X13:X22,"e",U13:U22,"&gt;0")</f>
        <v>0</v>
      </c>
      <c r="K2" s="317">
        <f>COUNTIFS(K13:K22,"f",H13:H22,"&gt;0")</f>
        <v>0</v>
      </c>
      <c r="L2" s="317">
        <f>COUNTIFS(X13:X22,"f",U13:U22,"&gt;0")</f>
        <v>0</v>
      </c>
      <c r="M2" s="317">
        <f>COUNTIFS(K13:K22,"g",H13:H22,"&gt;0")</f>
        <v>0</v>
      </c>
      <c r="N2" s="317">
        <f>COUNTIFS(X13:X22,"g",U13:U22,"&gt;0")</f>
        <v>0</v>
      </c>
      <c r="O2" s="317">
        <f>COUNTIFS(K13:K22,"h",H13:H22,"&gt;0")</f>
        <v>0</v>
      </c>
      <c r="P2" s="317">
        <f>COUNTIFS(X13:X22,"h",U13:U22,"&gt;0")</f>
        <v>0</v>
      </c>
      <c r="Q2" s="317">
        <f>COUNTIFS(K13:K22,"i",H13:H22,"&gt;0")</f>
        <v>0</v>
      </c>
      <c r="R2" s="317">
        <f>COUNTIFS(X13:X22,"i",U13:U22,"&gt;0")</f>
        <v>0</v>
      </c>
      <c r="S2" s="318">
        <f>SUM(A2:R2)</f>
        <v>0</v>
      </c>
      <c r="T2" s="308"/>
      <c r="U2" s="308"/>
      <c r="V2" s="308"/>
      <c r="W2" s="2024" t="s">
        <v>434</v>
      </c>
      <c r="X2" s="2024"/>
      <c r="Y2" s="2024">
        <v>1</v>
      </c>
      <c r="Z2" s="2024"/>
      <c r="AA2" s="296"/>
      <c r="AB2" s="296"/>
      <c r="AC2" s="308"/>
      <c r="AD2" s="308"/>
      <c r="AE2" s="308"/>
      <c r="AF2" s="308"/>
      <c r="AG2" s="308"/>
      <c r="AH2" s="308"/>
      <c r="AI2" s="308"/>
      <c r="AJ2" s="308"/>
      <c r="AK2" s="308"/>
      <c r="AL2" s="308"/>
      <c r="AM2" s="308"/>
      <c r="AN2" s="308"/>
      <c r="AO2" s="308"/>
      <c r="AP2" s="308"/>
      <c r="AQ2" s="308"/>
      <c r="AR2" s="308"/>
      <c r="AS2" s="308"/>
      <c r="AT2" s="308"/>
      <c r="AU2" s="308"/>
      <c r="AV2" s="308"/>
      <c r="AW2" s="2024" t="s">
        <v>434</v>
      </c>
      <c r="AX2" s="2024"/>
      <c r="AY2" s="2024">
        <v>1</v>
      </c>
      <c r="AZ2" s="2024"/>
      <c r="BA2" s="11"/>
      <c r="BB2" s="60"/>
      <c r="BC2" s="192"/>
      <c r="BD2" s="192"/>
      <c r="BE2" s="192"/>
      <c r="BF2" s="192" t="s">
        <v>531</v>
      </c>
      <c r="BG2" s="796" t="s">
        <v>542</v>
      </c>
      <c r="BH2" s="796" t="s">
        <v>543</v>
      </c>
      <c r="BI2" s="192"/>
      <c r="BJ2" s="192"/>
      <c r="BK2" s="192"/>
      <c r="BL2" s="192"/>
      <c r="BM2" s="192"/>
      <c r="BN2" s="825"/>
      <c r="BO2" s="825"/>
      <c r="BP2" s="796" t="s">
        <v>116</v>
      </c>
      <c r="BQ2" s="796" t="s">
        <v>547</v>
      </c>
      <c r="BR2" s="796" t="s">
        <v>548</v>
      </c>
      <c r="BS2" s="796" t="s">
        <v>549</v>
      </c>
      <c r="BT2" s="796" t="s">
        <v>550</v>
      </c>
      <c r="BU2" s="64"/>
      <c r="BV2" s="626"/>
      <c r="BW2" s="64"/>
      <c r="BX2" s="826"/>
      <c r="BY2" s="826"/>
      <c r="BZ2" s="192"/>
      <c r="CA2" s="192"/>
      <c r="CB2" s="192"/>
      <c r="CC2" s="796" t="s">
        <v>1856</v>
      </c>
      <c r="CD2" s="796" t="s">
        <v>1857</v>
      </c>
      <c r="CE2" s="64" t="s">
        <v>1855</v>
      </c>
      <c r="CF2" s="827" t="s">
        <v>1885</v>
      </c>
      <c r="CG2" s="192"/>
      <c r="CH2" s="828" t="s">
        <v>1879</v>
      </c>
      <c r="CI2" s="829" t="s">
        <v>1856</v>
      </c>
      <c r="CJ2" s="829" t="s">
        <v>1857</v>
      </c>
      <c r="CK2" s="825" t="s">
        <v>1855</v>
      </c>
      <c r="CL2" s="825"/>
      <c r="CM2" s="827" t="s">
        <v>1880</v>
      </c>
      <c r="CN2" s="796" t="s">
        <v>1856</v>
      </c>
      <c r="CO2" s="796" t="s">
        <v>1857</v>
      </c>
      <c r="CP2" s="796" t="s">
        <v>1881</v>
      </c>
      <c r="CQ2" s="624" t="s">
        <v>1884</v>
      </c>
      <c r="CR2" s="192"/>
      <c r="CS2" s="192"/>
      <c r="CT2" s="192"/>
      <c r="CU2" s="192"/>
      <c r="CV2" s="192"/>
      <c r="CW2" s="192"/>
      <c r="CX2" s="192"/>
      <c r="CY2" s="192"/>
    </row>
    <row r="3" spans="1:103" s="42" customFormat="1" ht="24.95" customHeight="1">
      <c r="A3" s="317">
        <f>COUNTIFS(K13:K22,"a",I13:I22,"&gt;0")</f>
        <v>0</v>
      </c>
      <c r="B3" s="317">
        <f>COUNTIFS(X13:X22,"a",V13:V22,"&gt;0")</f>
        <v>0</v>
      </c>
      <c r="C3" s="317">
        <f>COUNTIFS(K13:K22,"b",I13:I22,"&gt;0")</f>
        <v>0</v>
      </c>
      <c r="D3" s="317">
        <f>COUNTIFS(X13:X22,"b",V13:V22,"&gt;0")</f>
        <v>0</v>
      </c>
      <c r="E3" s="317">
        <f>COUNTIFS(K13:K22,"c",I13:I22,"&gt;0")</f>
        <v>0</v>
      </c>
      <c r="F3" s="317">
        <f>COUNTIFS(X13:X22,"c",V13:V22,"&gt;0")</f>
        <v>0</v>
      </c>
      <c r="G3" s="317">
        <f>COUNTIFS(K13:K22,"d",I13:I22,"&gt;0")</f>
        <v>0</v>
      </c>
      <c r="H3" s="317">
        <f>COUNTIFS(X13:X22,"d",V13:V22,"&gt;0")</f>
        <v>0</v>
      </c>
      <c r="I3" s="317">
        <f>COUNTIFS(K13:K22,"e",I13:I22,"&gt;0")</f>
        <v>0</v>
      </c>
      <c r="J3" s="317">
        <f>COUNTIFS(X13:X22,"e",V13:V22,"&gt;0")</f>
        <v>0</v>
      </c>
      <c r="K3" s="317">
        <f>COUNTIFS(K13:K22,"f",I13:I22,"&gt;0")</f>
        <v>0</v>
      </c>
      <c r="L3" s="317">
        <f>COUNTIFS(X13:X22,"f",V13:V22,"&gt;0")</f>
        <v>0</v>
      </c>
      <c r="M3" s="317">
        <f>COUNTIFS(K13:K22,"g",I13:I22,"&gt;0")</f>
        <v>0</v>
      </c>
      <c r="N3" s="317">
        <f>COUNTIFS(X13:X22,"g",V13:V22,"&gt;0")</f>
        <v>0</v>
      </c>
      <c r="O3" s="317">
        <f>COUNTIFS(K13:K22,"h",I13:I22,"&gt;0")</f>
        <v>0</v>
      </c>
      <c r="P3" s="317">
        <f>COUNTIFS(X13:X22,"h",V13:V22,"&gt;0")</f>
        <v>0</v>
      </c>
      <c r="Q3" s="317">
        <f>COUNTIFS(K13:K22,"i",I13:I22,"&gt;0")</f>
        <v>0</v>
      </c>
      <c r="R3" s="317">
        <f>COUNTIFS(X13:X22,"i",V13:V22,"&gt;0")</f>
        <v>0</v>
      </c>
      <c r="S3" s="318">
        <f>SUM(A3:R3)</f>
        <v>0</v>
      </c>
      <c r="T3" s="308"/>
      <c r="U3" s="308"/>
      <c r="V3" s="308"/>
      <c r="W3" s="319"/>
      <c r="X3" s="319"/>
      <c r="Y3" s="319"/>
      <c r="Z3" s="319"/>
      <c r="AA3" s="296"/>
      <c r="AB3" s="296"/>
      <c r="AC3" s="308"/>
      <c r="AD3" s="308"/>
      <c r="AE3" s="308"/>
      <c r="AF3" s="308"/>
      <c r="AG3" s="308"/>
      <c r="AH3" s="308"/>
      <c r="AI3" s="308"/>
      <c r="AJ3" s="308"/>
      <c r="AK3" s="308"/>
      <c r="AL3" s="308"/>
      <c r="AM3" s="308"/>
      <c r="AN3" s="308"/>
      <c r="AO3" s="308"/>
      <c r="AP3" s="308"/>
      <c r="AQ3" s="308"/>
      <c r="AR3" s="308"/>
      <c r="AS3" s="308"/>
      <c r="AT3" s="308"/>
      <c r="AU3" s="308"/>
      <c r="AV3" s="308"/>
      <c r="AW3" s="308"/>
      <c r="AX3" s="308"/>
      <c r="AY3" s="296"/>
      <c r="AZ3" s="296"/>
      <c r="BA3" s="11"/>
      <c r="BB3" s="60"/>
      <c r="BC3" s="192"/>
      <c r="BD3" s="192"/>
      <c r="BE3" s="192"/>
      <c r="BF3" s="796" t="s">
        <v>535</v>
      </c>
      <c r="BG3" s="70">
        <f>G34+G35</f>
        <v>0</v>
      </c>
      <c r="BH3" s="192"/>
      <c r="BI3" s="192"/>
      <c r="BJ3" s="192"/>
      <c r="BK3" s="192"/>
      <c r="BL3" s="192"/>
      <c r="BM3" s="192"/>
      <c r="BN3" s="192"/>
      <c r="BO3" s="796" t="s">
        <v>48</v>
      </c>
      <c r="BP3" s="830">
        <f>SUMIFS(H13:H22,J13:J22,"小")+SUMIFS(U13:U22,W13:W22,"小")+SUMIFS(H55:H84,J55:J84,"小")+SUMIFS(U55:U84,W55:W84,"小")+SUMIFS(H98:H127,J98:J127,"小")+SUMIFS(U98:U127,W98:W127,"小")+SUMIFS(H141:H170,J141:J170,"小")+SUMIFS(U141:U170,W141:W170,"小")+SUMIFS(H184:H213,J184:J213,"小")+SUMIFS(U184:U213,W184:W213,"小")+SUMIFS(H227:H256,J227:J256,"小")+SUMIFS(U227:U256,W227:W256,"小")</f>
        <v>0</v>
      </c>
      <c r="BQ3" s="830">
        <f>SUMIFS(H13:H22,J13:J22,"中")+SUMIFS(U13:U22,W13:W22,"中")+SUMIFS(H55:H84,J55:J84,"中")+SUMIFS(U55:U84,W55:W84,"中")+SUMIFS(H98:H127,J98:J127,"中")+SUMIFS(U98:U127,W98:W127,"中")+SUMIFS(H141:H170,J141:J170,"中")+SUMIFS(U141:U170,W141:W170,"中")+SUMIFS(H184:H213,J184:J213,"中")+SUMIFS(U184:U213,W184:W213,"中")+SUMIFS(H227:H256,J227:J256,"中")+SUMIFS(U227:U256,W227:W256,"中")</f>
        <v>0</v>
      </c>
      <c r="BR3" s="830">
        <f>SUMIFS(H13:H22,J13:J22,"引")+SUMIFS(U13:U22,W13:W22,"引")+SUMIFS(H55:H84,J55:J84,"引")+SUMIFS(U55:U84,W55:W84,"引")+SUMIFS(H98:H127,J98:J127,"引")+SUMIFS(U98:U127,W98:W127,"引")+SUMIFS(H141:H170,J141:J170,"引")+SUMIFS(U141:U170,W141:W170,"引")+SUMIFS(H184:H213,J184:J213,"引")+SUMIFS(U184:U213,W184:W213,"引")+SUMIFS(H227:H256,J227:J256,"引")+SUMIFS(U227:U256,W227:W256,"引")</f>
        <v>0</v>
      </c>
      <c r="BS3" s="830">
        <f>SUMIFS(H13:H22,J13:J22,"一")+SUMIFS(U13:U22,W13:W22,"一")+SUMIFS(H55:H84,J55:J84,"一")+SUMIFS(U55:U84,W55:W84,"一")+SUMIFS(H98:H127,J98:J127,"一")+SUMIFS(U98:U127,W98:W127,"一")+SUMIFS(H141:H170,J141:J170,"一")+SUMIFS(U141:U170,W141:W170,"一")+SUMIFS(H184:H213,J184:J213,"一")+SUMIFS(U184:U213,W184:W213,"一")+SUMIFS(H227:H256,J227:J256,"一")+SUMIFS(U227:U256,W227:W256,"一")</f>
        <v>0</v>
      </c>
      <c r="BT3" s="830">
        <f>SUM(BP3:BS3)</f>
        <v>0</v>
      </c>
      <c r="BU3" s="830"/>
      <c r="BV3" s="830"/>
      <c r="BW3" s="830"/>
      <c r="BX3" s="831"/>
      <c r="BY3" s="831"/>
      <c r="BZ3" s="192"/>
      <c r="CA3" s="192"/>
      <c r="CB3" s="192"/>
      <c r="CC3" s="796" t="s">
        <v>1847</v>
      </c>
      <c r="CD3" s="70">
        <f>BP3-BT38</f>
        <v>0</v>
      </c>
      <c r="CE3" s="796">
        <f>IF(OR(CD3="",CD3=0),0,117)</f>
        <v>0</v>
      </c>
      <c r="CF3" s="832">
        <v>330</v>
      </c>
      <c r="CG3" s="192">
        <v>117</v>
      </c>
      <c r="CH3" s="796">
        <v>1</v>
      </c>
      <c r="CI3" s="829" t="str">
        <f t="shared" ref="CI3:CI17" si="0">INDEX($CC$3:$CC$119,MATCH($CK3,$CE$3:$CE$119,0))</f>
        <v>小・泊</v>
      </c>
      <c r="CJ3" s="829">
        <f t="shared" ref="CJ3:CJ17" si="1">INDEX($CD$3:$CD$119,MATCH($CK3,$CE$3:$CE$119,0))</f>
        <v>0</v>
      </c>
      <c r="CK3" s="825">
        <f t="shared" ref="CK3:CK17" si="2">LARGE($CE$3:$CE$119,ROW(A1))</f>
        <v>0</v>
      </c>
      <c r="CL3" s="192"/>
      <c r="CM3" s="796">
        <v>1</v>
      </c>
      <c r="CN3" s="192" t="str">
        <f>INDEX($CC$11:$CC$118,MATCH($CP3,$CE$11:$CE$118,0))</f>
        <v>小泊/準</v>
      </c>
      <c r="CO3" s="192">
        <f>INDEX($CD$11:$CD$118,MATCH($CP3,$CE$11:$CE$118,0))</f>
        <v>0</v>
      </c>
      <c r="CP3" s="192">
        <f>LARGE($CE$11:$CE$118,ROW(A1))</f>
        <v>0</v>
      </c>
      <c r="CQ3" s="192">
        <f>INDEX($CF$11:$CF$118,MATCH($CP3,$CE$11:$CE$118,0))</f>
        <v>330</v>
      </c>
      <c r="CR3" s="192"/>
      <c r="CS3" s="192"/>
      <c r="CT3" s="192"/>
      <c r="CU3" s="192"/>
      <c r="CV3" s="192"/>
      <c r="CW3" s="192"/>
      <c r="CX3" s="192"/>
      <c r="CY3" s="192"/>
    </row>
    <row r="4" spans="1:103" s="3" customFormat="1" ht="36" customHeight="1">
      <c r="A4" s="320" t="s">
        <v>84</v>
      </c>
      <c r="B4" s="320"/>
      <c r="C4" s="2118">
        <f>'01 使用承認申請書'!D4</f>
        <v>0</v>
      </c>
      <c r="D4" s="2118"/>
      <c r="E4" s="2118"/>
      <c r="F4" s="2118"/>
      <c r="G4" s="2118"/>
      <c r="H4" s="2118"/>
      <c r="I4" s="2118"/>
      <c r="J4" s="2118"/>
      <c r="K4" s="2118"/>
      <c r="L4" s="2118"/>
      <c r="M4" s="2118"/>
      <c r="N4" s="2118"/>
      <c r="O4" s="2118"/>
      <c r="P4" s="2118"/>
      <c r="Q4" s="2118"/>
      <c r="R4" s="2118"/>
      <c r="S4" s="2118"/>
      <c r="T4" s="2118"/>
      <c r="U4" s="307"/>
      <c r="V4" s="307"/>
      <c r="W4" s="307"/>
      <c r="X4" s="307"/>
      <c r="Y4" s="307"/>
      <c r="Z4" s="307"/>
      <c r="AA4" s="1456" t="s">
        <v>84</v>
      </c>
      <c r="AB4" s="1456"/>
      <c r="AC4" s="2028" t="s">
        <v>83</v>
      </c>
      <c r="AD4" s="2028"/>
      <c r="AE4" s="2028"/>
      <c r="AF4" s="2028"/>
      <c r="AG4" s="2028"/>
      <c r="AH4" s="2028"/>
      <c r="AI4" s="2028"/>
      <c r="AJ4" s="2028"/>
      <c r="AK4" s="2028"/>
      <c r="AL4" s="2028"/>
      <c r="AM4" s="2028"/>
      <c r="AN4" s="2028"/>
      <c r="AO4" s="2028"/>
      <c r="AP4" s="2028"/>
      <c r="AQ4" s="2028"/>
      <c r="AR4" s="2028"/>
      <c r="AS4" s="2028"/>
      <c r="AT4" s="2028"/>
      <c r="AU4" s="307"/>
      <c r="AV4" s="307"/>
      <c r="AW4" s="307"/>
      <c r="AX4" s="307"/>
      <c r="AY4" s="307"/>
      <c r="AZ4" s="307"/>
      <c r="BA4" s="62"/>
      <c r="BB4" s="63"/>
      <c r="BC4" s="192"/>
      <c r="BD4" s="192" t="s">
        <v>435</v>
      </c>
      <c r="BE4" s="192"/>
      <c r="BF4" s="796" t="s">
        <v>534</v>
      </c>
      <c r="BG4" s="192"/>
      <c r="BH4" s="192"/>
      <c r="BI4" s="192"/>
      <c r="BJ4" s="192"/>
      <c r="BK4" s="192"/>
      <c r="BL4" s="192"/>
      <c r="BM4" s="192"/>
      <c r="BN4" s="192"/>
      <c r="BO4" s="796" t="s">
        <v>47</v>
      </c>
      <c r="BP4" s="830">
        <f>SUMIFS(I13:I22,J13:J22,"小")+SUMIFS(V13:V22,W13:W22,"小")+SUMIFS(I55:I84,J55:J84,"小")+SUMIFS(V55:V84,W55:W84,"小")+SUMIFS(I98:I127,J98:J127,"小")+SUMIFS(V98:V127,W98:W127,"小")+SUMIFS(I141:I170,J141:J170,"小")+SUMIFS(V141:V170,W141:W170,"小")+SUMIFS(I184:I213,J184:J213,"小")+SUMIFS(V184:V213,W184:W213,"小")+SUMIFS(I227:I256,J227:J256,"小")+SUMIFS(V227:V256,W227:W256,"小")</f>
        <v>0</v>
      </c>
      <c r="BQ4" s="830">
        <f>SUMIFS(I13:I22,J13:J22,"中")+SUMIFS(V13:V22,W13:W22,"中")+SUMIFS(I55:I84,J55:J84,"中")+SUMIFS(V55:V84,W55:W84,"中")+SUMIFS(I98:I127,J98:J127,"中")+SUMIFS(V98:V127,W98:W127,"中")+SUMIFS(I141:I170,J141:J170,"中")+SUMIFS(V141:V170,W141:W170,"中")+SUMIFS(I184:I213,J184:J213,"中")+SUMIFS(V184:V213,W184:W213,"中")+SUMIFS(I227:I256,J227:J256,"中")+SUMIFS(V227:V256,W227:W256,"中")</f>
        <v>0</v>
      </c>
      <c r="BR4" s="830">
        <f>SUMIFS(I13:I22,J13:J22,"引")+SUMIFS(V13:V22,W13:W22,"引")+SUMIFS(I55:I84,J55:J84,"引")+SUMIFS(V55:V84,W55:W84,"引")+SUMIFS(I98:I127,J98:J127,"引")+SUMIFS(V98:V127,W98:W127,"引")+SUMIFS(I141:I170,J141:J170,"引")+SUMIFS(V141:V170,W141:W170,"引")+SUMIFS(I184:I213,J184:J213,"引")+SUMIFS(V184:V213,W184:W213,"引")+SUMIFS(I227:I256,J227:J256,"引")+SUMIFS(V227:V256,W227:W256,"引")</f>
        <v>0</v>
      </c>
      <c r="BS4" s="830">
        <f>SUMIFS(I13:I22,J13:J22,"一")+SUMIFS(V13:V22,W13:W22,"一")+SUMIFS(I55:I84,J55:J84,"一")+SUMIFS(V55:V84,W55:W84,"一")+SUMIFS(I98:I127,J98:J127,"一")+SUMIFS(V98:V127,W98:W127,"一")+SUMIFS(I141:I170,J141:J170,"一")+SUMIFS(V141:V170,W141:W170,"一")+SUMIFS(I184:I213,J184:J213,"一")+SUMIFS(V184:V213,W184:W213,"一")+SUMIFS(I227:I256,J227:J256,"一")+SUMIFS(V227:V256,W227:W256,"一")</f>
        <v>0</v>
      </c>
      <c r="BT4" s="830">
        <f>SUM(BP4:BS4)</f>
        <v>0</v>
      </c>
      <c r="BU4" s="830"/>
      <c r="BV4" s="830"/>
      <c r="BW4" s="830"/>
      <c r="BX4" s="833"/>
      <c r="BY4" s="833"/>
      <c r="BZ4" s="192"/>
      <c r="CA4" s="192"/>
      <c r="CB4" s="192"/>
      <c r="CC4" s="796" t="s">
        <v>1848</v>
      </c>
      <c r="CD4" s="70">
        <f>BP4-BU38</f>
        <v>0</v>
      </c>
      <c r="CE4" s="796">
        <f>IF(OR(CD4="",CD4=0),0,90)</f>
        <v>0</v>
      </c>
      <c r="CF4" s="832">
        <v>110</v>
      </c>
      <c r="CG4" s="834">
        <v>90</v>
      </c>
      <c r="CH4" s="796">
        <v>2</v>
      </c>
      <c r="CI4" s="829" t="str">
        <f t="shared" si="0"/>
        <v>小・泊</v>
      </c>
      <c r="CJ4" s="829">
        <f t="shared" si="1"/>
        <v>0</v>
      </c>
      <c r="CK4" s="825">
        <f t="shared" si="2"/>
        <v>0</v>
      </c>
      <c r="CL4" s="192"/>
      <c r="CM4" s="796">
        <v>2</v>
      </c>
      <c r="CN4" s="192" t="str">
        <f t="shared" ref="CN4:CN9" si="3">INDEX($CC$11:$CC$118,MATCH($CP4,$CE$11:$CE$118,0))</f>
        <v>小泊/準</v>
      </c>
      <c r="CO4" s="192">
        <f t="shared" ref="CO4:CO9" si="4">INDEX($CD$11:$CD$118,MATCH($CP4,$CE$11:$CE$118,0))</f>
        <v>0</v>
      </c>
      <c r="CP4" s="192">
        <f t="shared" ref="CP4:CP9" si="5">LARGE($CE$11:$CE$118,ROW(A2))</f>
        <v>0</v>
      </c>
      <c r="CQ4" s="192">
        <f t="shared" ref="CQ4:CQ9" si="6">INDEX($CF$11:$CF$118,MATCH($CP4,$CE$11:$CE$118,0))</f>
        <v>330</v>
      </c>
      <c r="CR4" s="192"/>
      <c r="CS4" s="192"/>
      <c r="CT4" s="192"/>
      <c r="CU4" s="192"/>
      <c r="CV4" s="192"/>
      <c r="CW4" s="192"/>
      <c r="CX4" s="192"/>
      <c r="CY4" s="192"/>
    </row>
    <row r="5" spans="1:103" s="3" customFormat="1" ht="15.95" customHeight="1">
      <c r="A5" s="2121" t="s">
        <v>82</v>
      </c>
      <c r="B5" s="2121"/>
      <c r="C5" s="2073">
        <f>'01 使用承認申請書'!B12</f>
        <v>0</v>
      </c>
      <c r="D5" s="2073"/>
      <c r="E5" s="2007" t="s">
        <v>16</v>
      </c>
      <c r="F5" s="2073">
        <f>'01 使用承認申請書'!C14</f>
        <v>0</v>
      </c>
      <c r="G5" s="2007" t="s">
        <v>15</v>
      </c>
      <c r="H5" s="2025">
        <f>'01 使用承認申請書'!F14</f>
        <v>0</v>
      </c>
      <c r="I5" s="2007" t="s">
        <v>14</v>
      </c>
      <c r="J5" s="2007" t="s">
        <v>436</v>
      </c>
      <c r="K5" s="2025">
        <f>'01 使用承認申請書'!J14</f>
        <v>0</v>
      </c>
      <c r="L5" s="2007" t="s">
        <v>437</v>
      </c>
      <c r="M5" s="2007" t="s">
        <v>35</v>
      </c>
      <c r="N5" s="2025">
        <f>'01 使用承認申請書'!C16</f>
        <v>0</v>
      </c>
      <c r="O5" s="2007" t="s">
        <v>15</v>
      </c>
      <c r="P5" s="2025">
        <f>'01 使用承認申請書'!F16</f>
        <v>0</v>
      </c>
      <c r="Q5" s="2007" t="s">
        <v>14</v>
      </c>
      <c r="R5" s="2007" t="s">
        <v>438</v>
      </c>
      <c r="S5" s="2025">
        <f>'01 使用承認申請書'!J16</f>
        <v>0</v>
      </c>
      <c r="T5" s="2007" t="s">
        <v>439</v>
      </c>
      <c r="U5" s="1796"/>
      <c r="V5" s="1796"/>
      <c r="W5" s="321">
        <f>'01 使用承認申請書'!L13</f>
        <v>0</v>
      </c>
      <c r="X5" s="296" t="s">
        <v>46</v>
      </c>
      <c r="Y5" s="321" t="str">
        <f>'01 使用承認申請書'!Q13</f>
        <v/>
      </c>
      <c r="Z5" s="296" t="s">
        <v>14</v>
      </c>
      <c r="AA5" s="2062" t="s">
        <v>82</v>
      </c>
      <c r="AB5" s="2062"/>
      <c r="AC5" s="2063" t="s">
        <v>3088</v>
      </c>
      <c r="AD5" s="2063"/>
      <c r="AE5" s="1796" t="s">
        <v>16</v>
      </c>
      <c r="AF5" s="2061" t="s">
        <v>440</v>
      </c>
      <c r="AG5" s="1796" t="s">
        <v>15</v>
      </c>
      <c r="AH5" s="2027" t="s">
        <v>2846</v>
      </c>
      <c r="AI5" s="1796" t="s">
        <v>14</v>
      </c>
      <c r="AJ5" s="1796" t="s">
        <v>441</v>
      </c>
      <c r="AK5" s="2027" t="s">
        <v>2836</v>
      </c>
      <c r="AL5" s="1796" t="s">
        <v>442</v>
      </c>
      <c r="AM5" s="1796" t="s">
        <v>443</v>
      </c>
      <c r="AN5" s="2027" t="s">
        <v>444</v>
      </c>
      <c r="AO5" s="1796" t="s">
        <v>15</v>
      </c>
      <c r="AP5" s="2027" t="s">
        <v>2834</v>
      </c>
      <c r="AQ5" s="1796" t="s">
        <v>14</v>
      </c>
      <c r="AR5" s="1796" t="s">
        <v>436</v>
      </c>
      <c r="AS5" s="2027" t="s">
        <v>2837</v>
      </c>
      <c r="AT5" s="1796" t="s">
        <v>445</v>
      </c>
      <c r="AU5" s="1796"/>
      <c r="AV5" s="1796"/>
      <c r="AW5" s="321">
        <v>1</v>
      </c>
      <c r="AX5" s="296" t="s">
        <v>46</v>
      </c>
      <c r="AY5" s="321">
        <v>2</v>
      </c>
      <c r="AZ5" s="296" t="s">
        <v>14</v>
      </c>
      <c r="BA5" s="64"/>
      <c r="BB5" s="63"/>
      <c r="BC5" s="192"/>
      <c r="BD5" s="192" t="s">
        <v>446</v>
      </c>
      <c r="BE5" s="192"/>
      <c r="BF5" s="796" t="s">
        <v>533</v>
      </c>
      <c r="BG5" s="192"/>
      <c r="BH5" s="192"/>
      <c r="BI5" s="192"/>
      <c r="BJ5" s="192"/>
      <c r="BK5" s="192"/>
      <c r="BL5" s="192"/>
      <c r="BM5" s="192"/>
      <c r="BN5" s="192"/>
      <c r="BO5" s="796" t="s">
        <v>1895</v>
      </c>
      <c r="BP5" s="70">
        <f>SUM(BP3:BP4)</f>
        <v>0</v>
      </c>
      <c r="BQ5" s="70">
        <f>SUM(BQ3:BQ4)</f>
        <v>0</v>
      </c>
      <c r="BR5" s="70">
        <f>SUM(BR3:BR4)</f>
        <v>0</v>
      </c>
      <c r="BS5" s="70">
        <f>SUM(BS3:BS4)</f>
        <v>0</v>
      </c>
      <c r="BT5" s="70">
        <f>SUM(BT3:BT4)</f>
        <v>0</v>
      </c>
      <c r="BU5" s="192"/>
      <c r="BV5" s="192"/>
      <c r="BW5" s="192"/>
      <c r="BX5" s="192"/>
      <c r="BY5" s="192"/>
      <c r="BZ5" s="192"/>
      <c r="CA5" s="192"/>
      <c r="CB5" s="192"/>
      <c r="CC5" s="796" t="s">
        <v>1849</v>
      </c>
      <c r="CD5" s="70">
        <f>BQ3-BV38</f>
        <v>0</v>
      </c>
      <c r="CE5" s="796">
        <f>IF(OR(CD5="",CD5=0),0,63)</f>
        <v>0</v>
      </c>
      <c r="CF5" s="832">
        <v>330</v>
      </c>
      <c r="CG5" s="835">
        <v>63</v>
      </c>
      <c r="CH5" s="796">
        <v>3</v>
      </c>
      <c r="CI5" s="829" t="str">
        <f t="shared" si="0"/>
        <v>小・泊</v>
      </c>
      <c r="CJ5" s="829">
        <f t="shared" si="1"/>
        <v>0</v>
      </c>
      <c r="CK5" s="825">
        <f t="shared" si="2"/>
        <v>0</v>
      </c>
      <c r="CL5" s="192"/>
      <c r="CM5" s="796">
        <v>3</v>
      </c>
      <c r="CN5" s="192" t="str">
        <f t="shared" si="3"/>
        <v>小泊/準</v>
      </c>
      <c r="CO5" s="192">
        <f t="shared" si="4"/>
        <v>0</v>
      </c>
      <c r="CP5" s="192">
        <f t="shared" si="5"/>
        <v>0</v>
      </c>
      <c r="CQ5" s="192">
        <f t="shared" si="6"/>
        <v>330</v>
      </c>
      <c r="CR5" s="192"/>
      <c r="CS5" s="192"/>
      <c r="CT5" s="192"/>
      <c r="CU5" s="192"/>
      <c r="CV5" s="192"/>
      <c r="CW5" s="192"/>
      <c r="CX5" s="192"/>
      <c r="CY5" s="192"/>
    </row>
    <row r="6" spans="1:103" s="3" customFormat="1" ht="15.95" customHeight="1">
      <c r="A6" s="2122"/>
      <c r="B6" s="2122"/>
      <c r="C6" s="2026"/>
      <c r="D6" s="2026"/>
      <c r="E6" s="2008"/>
      <c r="F6" s="2026"/>
      <c r="G6" s="2008"/>
      <c r="H6" s="2026"/>
      <c r="I6" s="2008"/>
      <c r="J6" s="2008"/>
      <c r="K6" s="2026"/>
      <c r="L6" s="2008"/>
      <c r="M6" s="2008"/>
      <c r="N6" s="2026"/>
      <c r="O6" s="2008"/>
      <c r="P6" s="2026"/>
      <c r="Q6" s="2008"/>
      <c r="R6" s="2008"/>
      <c r="S6" s="2026"/>
      <c r="T6" s="2008"/>
      <c r="U6" s="1796"/>
      <c r="V6" s="1796"/>
      <c r="W6" s="1796" t="s">
        <v>47</v>
      </c>
      <c r="X6" s="1796"/>
      <c r="Y6" s="323" t="str">
        <f>CONCATENATE('01 使用承認申請書'!V13)</f>
        <v/>
      </c>
      <c r="Z6" s="296" t="s">
        <v>14</v>
      </c>
      <c r="AA6" s="1456"/>
      <c r="AB6" s="1456"/>
      <c r="AC6" s="2064"/>
      <c r="AD6" s="2064"/>
      <c r="AE6" s="1454"/>
      <c r="AF6" s="2028"/>
      <c r="AG6" s="1454"/>
      <c r="AH6" s="2028"/>
      <c r="AI6" s="1454"/>
      <c r="AJ6" s="1454"/>
      <c r="AK6" s="2028"/>
      <c r="AL6" s="1454"/>
      <c r="AM6" s="1454"/>
      <c r="AN6" s="2028"/>
      <c r="AO6" s="1454"/>
      <c r="AP6" s="2028"/>
      <c r="AQ6" s="1454"/>
      <c r="AR6" s="1454"/>
      <c r="AS6" s="2028"/>
      <c r="AT6" s="1454"/>
      <c r="AU6" s="1796"/>
      <c r="AV6" s="1796"/>
      <c r="AW6" s="1796" t="s">
        <v>47</v>
      </c>
      <c r="AX6" s="1796"/>
      <c r="AY6" s="323"/>
      <c r="AZ6" s="296" t="s">
        <v>14</v>
      </c>
      <c r="BA6" s="64"/>
      <c r="BB6" s="63"/>
      <c r="BC6" s="192"/>
      <c r="BD6" s="192" t="s">
        <v>447</v>
      </c>
      <c r="BE6" s="192"/>
      <c r="BF6" s="796" t="s">
        <v>532</v>
      </c>
      <c r="BG6" s="192"/>
      <c r="BH6" s="192"/>
      <c r="BI6" s="192"/>
      <c r="BJ6" s="192"/>
      <c r="BK6" s="192"/>
      <c r="BL6" s="192"/>
      <c r="BM6" s="192"/>
      <c r="BN6" s="1990" t="s">
        <v>551</v>
      </c>
      <c r="BO6" s="1990"/>
      <c r="BP6" s="70">
        <f>BP5-SUM(BT39:BU39)</f>
        <v>0</v>
      </c>
      <c r="BQ6" s="70">
        <f>BQ5-SUM(BV39:BW39)</f>
        <v>0</v>
      </c>
      <c r="BR6" s="70">
        <f>BR5-SUM(BX39,BY39)</f>
        <v>0</v>
      </c>
      <c r="BS6" s="836">
        <f>(BS5-(BG70+BZ17+CA17))</f>
        <v>0</v>
      </c>
      <c r="BT6" s="192"/>
      <c r="BU6" s="192"/>
      <c r="BV6" s="192"/>
      <c r="BW6" s="192"/>
      <c r="BX6" s="192"/>
      <c r="BY6" s="192"/>
      <c r="BZ6" s="192"/>
      <c r="CA6" s="192"/>
      <c r="CB6" s="192"/>
      <c r="CC6" s="796" t="s">
        <v>1850</v>
      </c>
      <c r="CD6" s="70">
        <f>BQ4-BW38</f>
        <v>0</v>
      </c>
      <c r="CE6" s="796">
        <f>IF(OR(CD6="",CD6=0),0,36)</f>
        <v>0</v>
      </c>
      <c r="CF6" s="832">
        <v>110</v>
      </c>
      <c r="CG6" s="837">
        <v>36</v>
      </c>
      <c r="CH6" s="796">
        <v>4</v>
      </c>
      <c r="CI6" s="829" t="str">
        <f t="shared" si="0"/>
        <v>小・泊</v>
      </c>
      <c r="CJ6" s="829">
        <f t="shared" si="1"/>
        <v>0</v>
      </c>
      <c r="CK6" s="825">
        <f t="shared" si="2"/>
        <v>0</v>
      </c>
      <c r="CL6" s="192"/>
      <c r="CM6" s="796">
        <v>4</v>
      </c>
      <c r="CN6" s="192" t="str">
        <f t="shared" si="3"/>
        <v>小泊/準</v>
      </c>
      <c r="CO6" s="192">
        <f t="shared" si="4"/>
        <v>0</v>
      </c>
      <c r="CP6" s="192">
        <f t="shared" si="5"/>
        <v>0</v>
      </c>
      <c r="CQ6" s="192">
        <f t="shared" si="6"/>
        <v>330</v>
      </c>
      <c r="CR6" s="192"/>
      <c r="CS6" s="192"/>
      <c r="CT6" s="192"/>
      <c r="CU6" s="192"/>
      <c r="CV6" s="192"/>
      <c r="CW6" s="192"/>
      <c r="CX6" s="192"/>
      <c r="CY6" s="192"/>
    </row>
    <row r="7" spans="1:103" s="3" customFormat="1" ht="24.95" customHeight="1">
      <c r="A7" s="324"/>
      <c r="B7" s="324"/>
      <c r="C7" s="324"/>
      <c r="D7" s="324"/>
      <c r="E7" s="324"/>
      <c r="F7" s="324"/>
      <c r="G7" s="324"/>
      <c r="H7" s="324"/>
      <c r="I7" s="324"/>
      <c r="J7" s="324"/>
      <c r="K7" s="324"/>
      <c r="L7" s="324"/>
      <c r="M7" s="324"/>
      <c r="N7" s="324"/>
      <c r="O7" s="324"/>
      <c r="P7" s="324"/>
      <c r="Q7" s="324"/>
      <c r="R7" s="324"/>
      <c r="S7" s="324"/>
      <c r="T7" s="324"/>
      <c r="U7" s="325"/>
      <c r="V7" s="325"/>
      <c r="W7" s="325"/>
      <c r="X7" s="325"/>
      <c r="Y7" s="325"/>
      <c r="Z7" s="325"/>
      <c r="AA7" s="2062"/>
      <c r="AB7" s="2062"/>
      <c r="AC7" s="2062"/>
      <c r="AD7" s="2062"/>
      <c r="AE7" s="2062"/>
      <c r="AF7" s="2062"/>
      <c r="AG7" s="2062"/>
      <c r="AH7" s="2062"/>
      <c r="AI7" s="2062"/>
      <c r="AJ7" s="2062"/>
      <c r="AK7" s="2062"/>
      <c r="AL7" s="2062"/>
      <c r="AM7" s="2062"/>
      <c r="AN7" s="2062"/>
      <c r="AO7" s="2062"/>
      <c r="AP7" s="2062"/>
      <c r="AQ7" s="2062"/>
      <c r="AR7" s="2062"/>
      <c r="AS7" s="2062"/>
      <c r="AT7" s="2062"/>
      <c r="AU7" s="1831"/>
      <c r="AV7" s="1831"/>
      <c r="AW7" s="1831"/>
      <c r="AX7" s="1831"/>
      <c r="AY7" s="1831"/>
      <c r="AZ7" s="1831"/>
      <c r="BA7" s="65"/>
      <c r="BB7" s="63"/>
      <c r="BC7" s="192"/>
      <c r="BD7" s="192" t="s">
        <v>448</v>
      </c>
      <c r="BE7" s="192"/>
      <c r="BF7" s="192"/>
      <c r="BG7" s="192"/>
      <c r="BH7" s="192"/>
      <c r="BI7" s="192"/>
      <c r="BJ7" s="192"/>
      <c r="BK7" s="192"/>
      <c r="BL7" s="192"/>
      <c r="BM7" s="192"/>
      <c r="BN7" s="1990" t="s">
        <v>1394</v>
      </c>
      <c r="BO7" s="1990"/>
      <c r="BP7" s="192"/>
      <c r="BQ7" s="192"/>
      <c r="BR7" s="70">
        <f>(BY39-BR4)*-1</f>
        <v>0</v>
      </c>
      <c r="BS7" s="836">
        <f>BS3-BS10</f>
        <v>0</v>
      </c>
      <c r="BT7" s="192"/>
      <c r="BU7" s="192"/>
      <c r="BV7" s="192"/>
      <c r="BW7" s="192"/>
      <c r="BX7" s="192"/>
      <c r="BY7" s="192"/>
      <c r="BZ7" s="192"/>
      <c r="CA7" s="192"/>
      <c r="CB7" s="192"/>
      <c r="CC7" s="796" t="s">
        <v>1851</v>
      </c>
      <c r="CD7" s="70">
        <f>BR3-BX38</f>
        <v>0</v>
      </c>
      <c r="CE7" s="796">
        <f>IF(OR(CD7="",CD7=0),0,9)</f>
        <v>0</v>
      </c>
      <c r="CF7" s="832">
        <v>330</v>
      </c>
      <c r="CG7" s="192">
        <v>9</v>
      </c>
      <c r="CH7" s="796">
        <v>5</v>
      </c>
      <c r="CI7" s="829" t="str">
        <f t="shared" si="0"/>
        <v>小・泊</v>
      </c>
      <c r="CJ7" s="829">
        <f t="shared" si="1"/>
        <v>0</v>
      </c>
      <c r="CK7" s="825">
        <f t="shared" si="2"/>
        <v>0</v>
      </c>
      <c r="CL7" s="192"/>
      <c r="CM7" s="796">
        <v>5</v>
      </c>
      <c r="CN7" s="192" t="str">
        <f t="shared" si="3"/>
        <v>小泊/準</v>
      </c>
      <c r="CO7" s="192">
        <f t="shared" si="4"/>
        <v>0</v>
      </c>
      <c r="CP7" s="192">
        <f t="shared" si="5"/>
        <v>0</v>
      </c>
      <c r="CQ7" s="192">
        <f t="shared" si="6"/>
        <v>330</v>
      </c>
      <c r="CR7" s="192"/>
      <c r="CS7" s="192"/>
      <c r="CT7" s="192"/>
      <c r="CU7" s="192"/>
      <c r="CV7" s="192"/>
      <c r="CW7" s="192"/>
      <c r="CX7" s="192"/>
      <c r="CY7" s="192"/>
    </row>
    <row r="8" spans="1:103" s="3" customFormat="1" ht="13.5" customHeight="1">
      <c r="A8" s="1773" t="s">
        <v>449</v>
      </c>
      <c r="B8" s="2032" t="s">
        <v>163</v>
      </c>
      <c r="C8" s="2033"/>
      <c r="D8" s="2033"/>
      <c r="E8" s="2033"/>
      <c r="F8" s="2033"/>
      <c r="G8" s="2034"/>
      <c r="H8" s="2043" t="s">
        <v>164</v>
      </c>
      <c r="I8" s="2034"/>
      <c r="J8" s="2032" t="s">
        <v>165</v>
      </c>
      <c r="K8" s="2033"/>
      <c r="L8" s="2033"/>
      <c r="M8" s="2045"/>
      <c r="N8" s="2044" t="s">
        <v>450</v>
      </c>
      <c r="O8" s="2032" t="s">
        <v>163</v>
      </c>
      <c r="P8" s="2033"/>
      <c r="Q8" s="2033"/>
      <c r="R8" s="2033"/>
      <c r="S8" s="2033"/>
      <c r="T8" s="2034"/>
      <c r="U8" s="2043" t="s">
        <v>164</v>
      </c>
      <c r="V8" s="2034"/>
      <c r="W8" s="2032" t="s">
        <v>165</v>
      </c>
      <c r="X8" s="2033"/>
      <c r="Y8" s="2033"/>
      <c r="Z8" s="2045"/>
      <c r="AA8" s="1773" t="s">
        <v>451</v>
      </c>
      <c r="AB8" s="2032" t="s">
        <v>163</v>
      </c>
      <c r="AC8" s="2033"/>
      <c r="AD8" s="2033"/>
      <c r="AE8" s="2033"/>
      <c r="AF8" s="2033"/>
      <c r="AG8" s="2034"/>
      <c r="AH8" s="2043" t="s">
        <v>164</v>
      </c>
      <c r="AI8" s="2034"/>
      <c r="AJ8" s="2032" t="s">
        <v>165</v>
      </c>
      <c r="AK8" s="2033"/>
      <c r="AL8" s="2033"/>
      <c r="AM8" s="2045"/>
      <c r="AN8" s="2029" t="s">
        <v>452</v>
      </c>
      <c r="AO8" s="2032" t="s">
        <v>163</v>
      </c>
      <c r="AP8" s="2033"/>
      <c r="AQ8" s="2033"/>
      <c r="AR8" s="2033"/>
      <c r="AS8" s="2033"/>
      <c r="AT8" s="2034"/>
      <c r="AU8" s="2043" t="s">
        <v>164</v>
      </c>
      <c r="AV8" s="2034"/>
      <c r="AW8" s="2032" t="s">
        <v>165</v>
      </c>
      <c r="AX8" s="2033"/>
      <c r="AY8" s="2033"/>
      <c r="AZ8" s="2045"/>
      <c r="BA8" s="66"/>
      <c r="BB8" s="63"/>
      <c r="BC8" s="192"/>
      <c r="BD8" s="192" t="s">
        <v>453</v>
      </c>
      <c r="BE8" s="192"/>
      <c r="BF8" s="192">
        <f>IF(BI74=TRUE,0,H13)</f>
        <v>0</v>
      </c>
      <c r="BG8" s="192"/>
      <c r="BH8" s="192"/>
      <c r="BI8" s="192"/>
      <c r="BJ8" s="192"/>
      <c r="BK8" s="192"/>
      <c r="BL8" s="192"/>
      <c r="BM8" s="192"/>
      <c r="BN8" s="1989" t="s">
        <v>1395</v>
      </c>
      <c r="BO8" s="1989"/>
      <c r="BP8" s="192"/>
      <c r="BQ8" s="192"/>
      <c r="BR8" s="192"/>
      <c r="BS8" s="836"/>
      <c r="BT8" s="192"/>
      <c r="BU8" s="192"/>
      <c r="BV8" s="192"/>
      <c r="BW8" s="192"/>
      <c r="BX8" s="192"/>
      <c r="BY8" s="192"/>
      <c r="BZ8" s="192"/>
      <c r="CA8" s="192"/>
      <c r="CB8" s="192"/>
      <c r="CC8" s="796" t="s">
        <v>1852</v>
      </c>
      <c r="CD8" s="70">
        <f>BR4-BY38</f>
        <v>0</v>
      </c>
      <c r="CE8" s="796">
        <f>IF(OR(CD8="",CD8=0),0,7)</f>
        <v>0</v>
      </c>
      <c r="CF8" s="832">
        <v>110</v>
      </c>
      <c r="CG8" s="192">
        <v>7</v>
      </c>
      <c r="CH8" s="796">
        <v>6</v>
      </c>
      <c r="CI8" s="829" t="str">
        <f t="shared" si="0"/>
        <v>小・泊</v>
      </c>
      <c r="CJ8" s="829">
        <f t="shared" si="1"/>
        <v>0</v>
      </c>
      <c r="CK8" s="825">
        <f t="shared" si="2"/>
        <v>0</v>
      </c>
      <c r="CL8" s="192"/>
      <c r="CM8" s="796">
        <v>6</v>
      </c>
      <c r="CN8" s="192" t="str">
        <f t="shared" si="3"/>
        <v>小泊/準</v>
      </c>
      <c r="CO8" s="192">
        <f t="shared" si="4"/>
        <v>0</v>
      </c>
      <c r="CP8" s="192">
        <f t="shared" si="5"/>
        <v>0</v>
      </c>
      <c r="CQ8" s="192">
        <f t="shared" si="6"/>
        <v>330</v>
      </c>
      <c r="CR8" s="192"/>
      <c r="CS8" s="192"/>
      <c r="CT8" s="192"/>
      <c r="CU8" s="192"/>
      <c r="CV8" s="192"/>
      <c r="CW8" s="192"/>
      <c r="CX8" s="192"/>
      <c r="CY8" s="192"/>
    </row>
    <row r="9" spans="1:103" s="3" customFormat="1" ht="13.5" customHeight="1">
      <c r="A9" s="1773"/>
      <c r="B9" s="2035"/>
      <c r="C9" s="2036"/>
      <c r="D9" s="2036"/>
      <c r="E9" s="2036"/>
      <c r="F9" s="2036"/>
      <c r="G9" s="2037"/>
      <c r="H9" s="2038"/>
      <c r="I9" s="2040"/>
      <c r="J9" s="2038"/>
      <c r="K9" s="2039"/>
      <c r="L9" s="2039"/>
      <c r="M9" s="2046"/>
      <c r="N9" s="2004"/>
      <c r="O9" s="2035"/>
      <c r="P9" s="2036"/>
      <c r="Q9" s="2036"/>
      <c r="R9" s="2036"/>
      <c r="S9" s="2036"/>
      <c r="T9" s="2037"/>
      <c r="U9" s="2038"/>
      <c r="V9" s="2040"/>
      <c r="W9" s="2038"/>
      <c r="X9" s="2039"/>
      <c r="Y9" s="2039"/>
      <c r="Z9" s="2046"/>
      <c r="AA9" s="1773"/>
      <c r="AB9" s="2035"/>
      <c r="AC9" s="2036"/>
      <c r="AD9" s="2036"/>
      <c r="AE9" s="2036"/>
      <c r="AF9" s="2036"/>
      <c r="AG9" s="2037"/>
      <c r="AH9" s="2038"/>
      <c r="AI9" s="2040"/>
      <c r="AJ9" s="2038"/>
      <c r="AK9" s="2039"/>
      <c r="AL9" s="2039"/>
      <c r="AM9" s="2046"/>
      <c r="AN9" s="2030"/>
      <c r="AO9" s="2035"/>
      <c r="AP9" s="2036"/>
      <c r="AQ9" s="2036"/>
      <c r="AR9" s="2036"/>
      <c r="AS9" s="2036"/>
      <c r="AT9" s="2037"/>
      <c r="AU9" s="2038"/>
      <c r="AV9" s="2040"/>
      <c r="AW9" s="2038"/>
      <c r="AX9" s="2039"/>
      <c r="AY9" s="2039"/>
      <c r="AZ9" s="2046"/>
      <c r="BA9" s="66"/>
      <c r="BB9" s="63"/>
      <c r="BC9" s="192"/>
      <c r="BD9" s="192" t="s">
        <v>454</v>
      </c>
      <c r="BE9" s="192"/>
      <c r="BF9" s="192"/>
      <c r="BG9" s="192"/>
      <c r="BH9" s="192"/>
      <c r="BI9" s="192"/>
      <c r="BJ9" s="192"/>
      <c r="BK9" s="192"/>
      <c r="BL9" s="192"/>
      <c r="BM9" s="192"/>
      <c r="BN9" s="1989" t="s">
        <v>1893</v>
      </c>
      <c r="BO9" s="1989"/>
      <c r="BP9" s="192"/>
      <c r="BQ9" s="192"/>
      <c r="BR9" s="192"/>
      <c r="BS9" s="836">
        <f>CA17</f>
        <v>0</v>
      </c>
      <c r="BT9" s="192"/>
      <c r="BU9" s="192"/>
      <c r="BV9" s="192"/>
      <c r="BW9" s="192"/>
      <c r="BX9" s="192"/>
      <c r="BY9" s="192"/>
      <c r="BZ9" s="192"/>
      <c r="CA9" s="192"/>
      <c r="CB9" s="192"/>
      <c r="CC9" s="796" t="s">
        <v>1854</v>
      </c>
      <c r="CD9" s="70">
        <f>BS3-BZ38</f>
        <v>0</v>
      </c>
      <c r="CE9" s="796">
        <f>IF(OR(CD9="",CD9=0),0,5)</f>
        <v>0</v>
      </c>
      <c r="CF9" s="832">
        <v>1100</v>
      </c>
      <c r="CG9" s="192">
        <v>5</v>
      </c>
      <c r="CH9" s="796">
        <v>7</v>
      </c>
      <c r="CI9" s="829" t="str">
        <f t="shared" si="0"/>
        <v>小・泊</v>
      </c>
      <c r="CJ9" s="829">
        <f t="shared" si="1"/>
        <v>0</v>
      </c>
      <c r="CK9" s="825">
        <f t="shared" si="2"/>
        <v>0</v>
      </c>
      <c r="CL9" s="192"/>
      <c r="CM9" s="624">
        <v>7</v>
      </c>
      <c r="CN9" s="192" t="str">
        <f t="shared" si="3"/>
        <v>小泊/準</v>
      </c>
      <c r="CO9" s="192">
        <f t="shared" si="4"/>
        <v>0</v>
      </c>
      <c r="CP9" s="192">
        <f t="shared" si="5"/>
        <v>0</v>
      </c>
      <c r="CQ9" s="192">
        <f t="shared" si="6"/>
        <v>330</v>
      </c>
      <c r="CR9" s="192"/>
      <c r="CS9" s="192"/>
      <c r="CT9" s="192"/>
      <c r="CU9" s="192"/>
      <c r="CV9" s="192"/>
      <c r="CW9" s="192"/>
      <c r="CX9" s="192"/>
      <c r="CY9" s="192"/>
    </row>
    <row r="10" spans="1:103" s="3" customFormat="1" ht="26.1" customHeight="1">
      <c r="A10" s="1773"/>
      <c r="B10" s="2035"/>
      <c r="C10" s="2036"/>
      <c r="D10" s="2036"/>
      <c r="E10" s="2036"/>
      <c r="F10" s="2036"/>
      <c r="G10" s="2037"/>
      <c r="H10" s="2059" t="s">
        <v>48</v>
      </c>
      <c r="I10" s="2060" t="s">
        <v>47</v>
      </c>
      <c r="J10" s="2041" t="s">
        <v>529</v>
      </c>
      <c r="K10" s="2047" t="s">
        <v>528</v>
      </c>
      <c r="L10" s="2048"/>
      <c r="M10" s="2049"/>
      <c r="N10" s="2030"/>
      <c r="O10" s="2035"/>
      <c r="P10" s="2036"/>
      <c r="Q10" s="2036"/>
      <c r="R10" s="2036"/>
      <c r="S10" s="2036"/>
      <c r="T10" s="2037"/>
      <c r="U10" s="2059" t="s">
        <v>48</v>
      </c>
      <c r="V10" s="2060" t="s">
        <v>47</v>
      </c>
      <c r="W10" s="2041" t="s">
        <v>529</v>
      </c>
      <c r="X10" s="2047" t="s">
        <v>528</v>
      </c>
      <c r="Y10" s="2048"/>
      <c r="Z10" s="2049"/>
      <c r="AA10" s="1773"/>
      <c r="AB10" s="2035"/>
      <c r="AC10" s="2036"/>
      <c r="AD10" s="2036"/>
      <c r="AE10" s="2036"/>
      <c r="AF10" s="2036"/>
      <c r="AG10" s="2037"/>
      <c r="AH10" s="2059" t="s">
        <v>48</v>
      </c>
      <c r="AI10" s="2060" t="s">
        <v>47</v>
      </c>
      <c r="AJ10" s="2041" t="s">
        <v>529</v>
      </c>
      <c r="AK10" s="2047" t="s">
        <v>528</v>
      </c>
      <c r="AL10" s="2048"/>
      <c r="AM10" s="2049"/>
      <c r="AN10" s="2030"/>
      <c r="AO10" s="2035"/>
      <c r="AP10" s="2036"/>
      <c r="AQ10" s="2036"/>
      <c r="AR10" s="2036"/>
      <c r="AS10" s="2036"/>
      <c r="AT10" s="2037"/>
      <c r="AU10" s="2059" t="s">
        <v>48</v>
      </c>
      <c r="AV10" s="2060" t="s">
        <v>47</v>
      </c>
      <c r="AW10" s="2041" t="s">
        <v>529</v>
      </c>
      <c r="AX10" s="2047" t="s">
        <v>528</v>
      </c>
      <c r="AY10" s="2048"/>
      <c r="AZ10" s="2049"/>
      <c r="BA10" s="66"/>
      <c r="BB10" s="63"/>
      <c r="BC10" s="192"/>
      <c r="BD10" s="192" t="s">
        <v>455</v>
      </c>
      <c r="BE10" s="192"/>
      <c r="BF10" s="192"/>
      <c r="BG10" s="192"/>
      <c r="BH10" s="192"/>
      <c r="BI10" s="192"/>
      <c r="BJ10" s="192"/>
      <c r="BK10" s="192"/>
      <c r="BL10" s="192"/>
      <c r="BM10" s="192"/>
      <c r="BN10" s="1989" t="s">
        <v>1894</v>
      </c>
      <c r="BO10" s="1989"/>
      <c r="BP10" s="192"/>
      <c r="BQ10" s="192"/>
      <c r="BR10" s="192"/>
      <c r="BS10" s="836">
        <f>BZ17</f>
        <v>0</v>
      </c>
      <c r="BT10" s="192"/>
      <c r="BU10" s="192"/>
      <c r="BV10" s="192"/>
      <c r="BW10" s="192"/>
      <c r="BX10" s="192"/>
      <c r="BY10" s="192"/>
      <c r="BZ10" s="192"/>
      <c r="CA10" s="192"/>
      <c r="CB10" s="192"/>
      <c r="CC10" s="796" t="s">
        <v>1853</v>
      </c>
      <c r="CD10" s="70">
        <f>BS4-CA38-(BK70*2)</f>
        <v>0</v>
      </c>
      <c r="CE10" s="796">
        <f>IF(OR(CD10="",CD10=0),0,3)</f>
        <v>0</v>
      </c>
      <c r="CF10" s="832">
        <v>350</v>
      </c>
      <c r="CG10" s="192">
        <v>3</v>
      </c>
      <c r="CH10" s="796">
        <v>8</v>
      </c>
      <c r="CI10" s="829" t="str">
        <f t="shared" si="0"/>
        <v>小・泊</v>
      </c>
      <c r="CJ10" s="829">
        <f t="shared" si="1"/>
        <v>0</v>
      </c>
      <c r="CK10" s="825">
        <f t="shared" si="2"/>
        <v>0</v>
      </c>
      <c r="CL10" s="192"/>
      <c r="CM10" s="796" t="s">
        <v>1873</v>
      </c>
      <c r="CN10" s="1990">
        <f>SUM(CO3:CO8)</f>
        <v>0</v>
      </c>
      <c r="CO10" s="1990"/>
      <c r="CP10" s="1990"/>
      <c r="CQ10" s="192"/>
      <c r="CR10" s="192"/>
      <c r="CS10" s="192"/>
      <c r="CT10" s="192"/>
      <c r="CU10" s="192"/>
      <c r="CV10" s="192"/>
      <c r="CW10" s="192"/>
      <c r="CX10" s="192"/>
      <c r="CY10" s="192"/>
    </row>
    <row r="11" spans="1:103" s="3" customFormat="1" ht="26.1" customHeight="1">
      <c r="A11" s="1773"/>
      <c r="B11" s="2035"/>
      <c r="C11" s="2036"/>
      <c r="D11" s="2036"/>
      <c r="E11" s="2036"/>
      <c r="F11" s="2036"/>
      <c r="G11" s="2037"/>
      <c r="H11" s="2059"/>
      <c r="I11" s="2060"/>
      <c r="J11" s="2042"/>
      <c r="K11" s="2047"/>
      <c r="L11" s="2048"/>
      <c r="M11" s="2049"/>
      <c r="N11" s="2030"/>
      <c r="O11" s="2035"/>
      <c r="P11" s="2036"/>
      <c r="Q11" s="2036"/>
      <c r="R11" s="2036"/>
      <c r="S11" s="2036"/>
      <c r="T11" s="2037"/>
      <c r="U11" s="2059"/>
      <c r="V11" s="2060"/>
      <c r="W11" s="2042"/>
      <c r="X11" s="2047"/>
      <c r="Y11" s="2048"/>
      <c r="Z11" s="2049"/>
      <c r="AA11" s="1773"/>
      <c r="AB11" s="2035"/>
      <c r="AC11" s="2036"/>
      <c r="AD11" s="2036"/>
      <c r="AE11" s="2036"/>
      <c r="AF11" s="2036"/>
      <c r="AG11" s="2037"/>
      <c r="AH11" s="2059"/>
      <c r="AI11" s="2060"/>
      <c r="AJ11" s="2042"/>
      <c r="AK11" s="2047"/>
      <c r="AL11" s="2048"/>
      <c r="AM11" s="2049"/>
      <c r="AN11" s="2030"/>
      <c r="AO11" s="2035"/>
      <c r="AP11" s="2036"/>
      <c r="AQ11" s="2036"/>
      <c r="AR11" s="2036"/>
      <c r="AS11" s="2036"/>
      <c r="AT11" s="2037"/>
      <c r="AU11" s="2059"/>
      <c r="AV11" s="2060"/>
      <c r="AW11" s="2042"/>
      <c r="AX11" s="2047"/>
      <c r="AY11" s="2048"/>
      <c r="AZ11" s="2049"/>
      <c r="BA11" s="66"/>
      <c r="BB11" s="63"/>
      <c r="BC11" s="192"/>
      <c r="BD11" s="192" t="s">
        <v>456</v>
      </c>
      <c r="BE11" s="192"/>
      <c r="BF11" s="796" t="s">
        <v>497</v>
      </c>
      <c r="BG11" s="192"/>
      <c r="BH11" s="192"/>
      <c r="BI11" s="192"/>
      <c r="BJ11" s="192"/>
      <c r="BK11" s="192"/>
      <c r="BL11" s="192"/>
      <c r="BM11" s="192"/>
      <c r="BN11" s="192"/>
      <c r="BO11" s="192"/>
      <c r="BP11" s="192"/>
      <c r="BQ11" s="192"/>
      <c r="BR11" s="192"/>
      <c r="BS11" s="796" t="s">
        <v>537</v>
      </c>
      <c r="BT11" s="827" t="s">
        <v>1858</v>
      </c>
      <c r="BU11" s="827" t="s">
        <v>1859</v>
      </c>
      <c r="BV11" s="827" t="s">
        <v>1860</v>
      </c>
      <c r="BW11" s="827" t="s">
        <v>1861</v>
      </c>
      <c r="BX11" s="838" t="s">
        <v>1862</v>
      </c>
      <c r="BY11" s="827" t="s">
        <v>1863</v>
      </c>
      <c r="BZ11" s="827" t="s">
        <v>1864</v>
      </c>
      <c r="CA11" s="827" t="s">
        <v>1865</v>
      </c>
      <c r="CB11" s="192"/>
      <c r="CC11" s="796" t="str">
        <f t="shared" ref="CC11:CC36" si="7">$BT$11&amp;BF12</f>
        <v>小泊/準</v>
      </c>
      <c r="CD11" s="839">
        <f>BT12</f>
        <v>0</v>
      </c>
      <c r="CE11" s="796">
        <f>IF(OR(BT12="",BT12=0),0,116)</f>
        <v>0</v>
      </c>
      <c r="CF11" s="796">
        <v>330</v>
      </c>
      <c r="CG11" s="834">
        <v>116</v>
      </c>
      <c r="CH11" s="796">
        <v>9</v>
      </c>
      <c r="CI11" s="829" t="str">
        <f t="shared" si="0"/>
        <v>小・泊</v>
      </c>
      <c r="CJ11" s="829">
        <f t="shared" si="1"/>
        <v>0</v>
      </c>
      <c r="CK11" s="825">
        <f t="shared" si="2"/>
        <v>0</v>
      </c>
      <c r="CL11" s="192"/>
      <c r="CM11" s="192"/>
      <c r="CN11" s="192"/>
      <c r="CO11" s="192"/>
      <c r="CP11" s="192"/>
      <c r="CQ11" s="192"/>
      <c r="CR11" s="192"/>
      <c r="CS11" s="192"/>
      <c r="CT11" s="192"/>
      <c r="CU11" s="192"/>
      <c r="CV11" s="192"/>
      <c r="CW11" s="192"/>
      <c r="CX11" s="192"/>
      <c r="CY11" s="192"/>
    </row>
    <row r="12" spans="1:103" s="3" customFormat="1" ht="26.1" customHeight="1">
      <c r="A12" s="1773"/>
      <c r="B12" s="2038"/>
      <c r="C12" s="2039"/>
      <c r="D12" s="2039"/>
      <c r="E12" s="2039"/>
      <c r="F12" s="2039"/>
      <c r="G12" s="2040"/>
      <c r="H12" s="2059"/>
      <c r="I12" s="2060"/>
      <c r="J12" s="2042"/>
      <c r="K12" s="2050"/>
      <c r="L12" s="2051"/>
      <c r="M12" s="2052"/>
      <c r="N12" s="2031"/>
      <c r="O12" s="2038"/>
      <c r="P12" s="2039"/>
      <c r="Q12" s="2039"/>
      <c r="R12" s="2039"/>
      <c r="S12" s="2039"/>
      <c r="T12" s="2040"/>
      <c r="U12" s="2059"/>
      <c r="V12" s="2060"/>
      <c r="W12" s="2042"/>
      <c r="X12" s="2050"/>
      <c r="Y12" s="2051"/>
      <c r="Z12" s="2052"/>
      <c r="AA12" s="1773"/>
      <c r="AB12" s="2038"/>
      <c r="AC12" s="2039"/>
      <c r="AD12" s="2039"/>
      <c r="AE12" s="2039"/>
      <c r="AF12" s="2039"/>
      <c r="AG12" s="2040"/>
      <c r="AH12" s="2059"/>
      <c r="AI12" s="2060"/>
      <c r="AJ12" s="2042"/>
      <c r="AK12" s="2050"/>
      <c r="AL12" s="2051"/>
      <c r="AM12" s="2052"/>
      <c r="AN12" s="2031"/>
      <c r="AO12" s="2038"/>
      <c r="AP12" s="2039"/>
      <c r="AQ12" s="2039"/>
      <c r="AR12" s="2039"/>
      <c r="AS12" s="2039"/>
      <c r="AT12" s="2040"/>
      <c r="AU12" s="2059"/>
      <c r="AV12" s="2060"/>
      <c r="AW12" s="2042"/>
      <c r="AX12" s="2050"/>
      <c r="AY12" s="2051"/>
      <c r="AZ12" s="2052"/>
      <c r="BA12" s="66"/>
      <c r="BB12" s="63"/>
      <c r="BC12" s="192"/>
      <c r="BD12" s="192" t="s">
        <v>457</v>
      </c>
      <c r="BE12" s="192"/>
      <c r="BF12" s="840" t="s">
        <v>498</v>
      </c>
      <c r="BG12" s="834">
        <f>COUNTIF(K13:M22,"準")</f>
        <v>0</v>
      </c>
      <c r="BH12" s="841">
        <f>COUNTIF(X13:$Z$22,"準")</f>
        <v>0</v>
      </c>
      <c r="BI12" s="842">
        <f>COUNTIF(K55:$M$84,"準")</f>
        <v>0</v>
      </c>
      <c r="BJ12" s="842">
        <f>COUNTIF(X55:$Z$84,"準")</f>
        <v>0</v>
      </c>
      <c r="BK12" s="842">
        <f>COUNTIF(K98:$M$127,"準")</f>
        <v>0</v>
      </c>
      <c r="BL12" s="842">
        <f>COUNTIF(X98:$Z$127,"準")</f>
        <v>0</v>
      </c>
      <c r="BM12" s="842">
        <f>COUNTIF(K141:$M$170,"準")</f>
        <v>0</v>
      </c>
      <c r="BN12" s="842">
        <f>COUNTIF(X141:$Z$170,"準")</f>
        <v>0</v>
      </c>
      <c r="BO12" s="842">
        <f>COUNTIF(K184:$M$213,"準")</f>
        <v>0</v>
      </c>
      <c r="BP12" s="842">
        <f>COUNTIF(X184:$Z$213,"準")</f>
        <v>0</v>
      </c>
      <c r="BQ12" s="842">
        <f>COUNTIF(K227:$M$256,"準")</f>
        <v>0</v>
      </c>
      <c r="BR12" s="842">
        <f>COUNTIF(X227:$Z$256,"準")</f>
        <v>0</v>
      </c>
      <c r="BS12" s="842">
        <f>SUM(BG12:BR12)</f>
        <v>0</v>
      </c>
      <c r="BT12" s="842">
        <f>SUMIFS($H$13:$H$22,$J$13:$J$22,"小",$K$13:$K$22,"準")+SUMIFS($U$13:$U$22,$W$13:$W$22,"小",$X$13:$X$22,"準")+SUMIFS($H$55:$H$84,$J$55:$J$84,"小",$K$55:$K$84,"準")+SUMIFS($U$55:$U$84,$W$55:$W$84,"小",$X$55:$X$84,"準")+SUMIFS($H$98:$H$127,$J$98:$J$127,"小",$K$98:$K$127,"準")+SUMIFS($H$141:$H$170,$J$141:$J$170,"小",$K$141:$K$170,"準")+SUMIFS($H$184:$H$213,$J$184:$J$213,"小",$K$184:$K$213,"準")+SUMIFS($H$227:$H$256,$J$227:$J$256,"小",$K$227:$K$256,"準")+SUMIFS($U$98:$U$127,$W$98:$W$127,"小",$X$98:$X$127,"準")+SUMIFS($U$141:$U$170,$W$141:$W$170,"小",$X$141:$X$170,"準")+SUMIFS($U$184:$U$213,$W$184:$W$213,"小",$X$184:$X$213,"準")+SUMIFS($U$227:$U$256,$W$227:$W$256,"小",$X$227:$X$256,"準")</f>
        <v>0</v>
      </c>
      <c r="BU12" s="842">
        <f>SUMIFS($I$13:$I$22,$J$13:$J$22,"小",$K$13:$K$22,"準")+SUMIFS(V13:V22,W13:W22,"小",X13:X22,"準")+SUMIFS(I55:I84,J55:J84,"小",K55:K84,"準")+SUMIFS(V55:V84,W55:W84,"小",X55:X84,"準")+SUMIFS(I98:I127,J98:J127,"小",K98:K127,"準")+SUMIFS(I141:I170,J141:J170,"小",K141:K170,"準")+SUMIFS(I184:I213,J184:J213,"小",K184:K213,"準")+SUMIFS(I227:I256,J227:J256,"小",K227:K256,"準")+SUMIFS(V98:V127,W98:W127,"小",X98:X127,"準")+SUMIFS(V141:V170,W141:W170,"小",X141:X170,"準")+SUMIFS(V184:V213,W184:W213,"小",X184:X213,"準")+SUMIFS(V227:V256,W227:W256,"小",X227:X256,"準")</f>
        <v>0</v>
      </c>
      <c r="BV12" s="842">
        <f>SUMIFS($H$13:$H$22,$J$13:$J$22,"中",$K$13:$K$22,"準")+SUMIFS($U$13:$U$22,$W$13:$W$22,"中",$X$13:$X$22,"準")+SUMIFS($H$55:$H$84,$J$55:$J$84,"中",$K$55:$K$84,"準")+SUMIFS($U$55:$U$84,$W$55:$W$84,"中",$X$55:$X$84,"準")+SUMIFS($H$98:$H$127,$J$98:$J$127,"中",$K$98:$K$127,"準")+SUMIFS($H$141:$H$170,$J$141:$J$170,"中",$K$141:$K$170,"準")+SUMIFS($H$184:$H$213,$J$184:$J$213,"中",$K$184:$K$213,"準")+SUMIFS($H$227:$H$256,$J$227:$J$256,"中",$K$227:$K$256,"準")+SUMIFS($U$98:$U$127,$W$98:$W$127,"中",$X$98:$X$127,"準")+SUMIFS($U$141:$U$170,$W$141:$W$170,"中",$X$141:$X$170,"準")+SUMIFS($U$184:$U$213,$W$184:$W$213,"中",$X$184:$X$213,"準")+SUMIFS($U$227:$U$256,$W$227:$W$256,"中",$X$227:$X$256,"準")</f>
        <v>0</v>
      </c>
      <c r="BW12" s="842">
        <f>SUMIFS($I$13:$I$22,$J$13:$J$22,"中",$K$13:$K$22,"準")+SUMIFS($V$13:$V$22,$W$13:$W$22,"中",$X$13:$X$22,"準")+SUMIFS($I$55:$I$84,$J$55:$J$84,"中",$K$55:$K$84,"準")+SUMIFS($V$55:$V$84,$W$55:$W$84,"中",$X$55:$X$84,"準")+SUMIFS($I$98:$I$127,$J$98:$J$127,"中",$K$98:$K$127,"準")+SUMIFS($I$141:$I$170,$J$141:$J$170,"中",$K$141:$K$170,"準")+SUMIFS($I$184:$I$213,$J$184:$J$213,"中",$K$184:$K$213,"準")+SUMIFS($I$227:$I$256,$J$227:$J$256,"中",$K$227:$K$256,"準")+SUMIFS($V$98:$V$127,$W$98:$W$127,"中",$X$98:$X$127,"準")+SUMIFS($V$141:$V$170,$W$141:$W$170,"中",$X$141:$X$170,"準")+SUMIFS($V$184:$V$213,$W$184:$W$213,"中",$X$184:$X$213,"準")+SUMIFS($V$227:$V$256,$W$227:$W$256,"中",$X$227:$X$256,"準")</f>
        <v>0</v>
      </c>
      <c r="BX12" s="834"/>
      <c r="BY12" s="834"/>
      <c r="BZ12" s="834"/>
      <c r="CA12" s="834"/>
      <c r="CB12" s="192"/>
      <c r="CC12" s="796" t="str">
        <f t="shared" si="7"/>
        <v>小泊/特</v>
      </c>
      <c r="CD12" s="839">
        <f t="shared" ref="CD12:CD36" si="8">BT13</f>
        <v>0</v>
      </c>
      <c r="CE12" s="796">
        <f>IF(OR(BT13="",BT13=0),0,115)</f>
        <v>0</v>
      </c>
      <c r="CF12" s="796">
        <v>330</v>
      </c>
      <c r="CG12" s="834">
        <v>115</v>
      </c>
      <c r="CH12" s="796">
        <v>10</v>
      </c>
      <c r="CI12" s="829" t="str">
        <f t="shared" si="0"/>
        <v>小・泊</v>
      </c>
      <c r="CJ12" s="829">
        <f t="shared" si="1"/>
        <v>0</v>
      </c>
      <c r="CK12" s="825">
        <f t="shared" si="2"/>
        <v>0</v>
      </c>
      <c r="CL12" s="192"/>
      <c r="CM12" s="192"/>
      <c r="CN12" s="192"/>
      <c r="CO12" s="192"/>
      <c r="CP12" s="192"/>
      <c r="CQ12" s="192"/>
      <c r="CR12" s="192"/>
      <c r="CS12" s="192"/>
      <c r="CT12" s="192"/>
      <c r="CU12" s="192"/>
      <c r="CV12" s="192"/>
      <c r="CW12" s="192"/>
      <c r="CX12" s="192"/>
      <c r="CY12" s="192"/>
    </row>
    <row r="13" spans="1:103" ht="26.1" customHeight="1">
      <c r="A13" s="326">
        <v>1</v>
      </c>
      <c r="B13" s="2021"/>
      <c r="C13" s="2022"/>
      <c r="D13" s="2022"/>
      <c r="E13" s="2022"/>
      <c r="F13" s="2022"/>
      <c r="G13" s="2023"/>
      <c r="H13" s="327"/>
      <c r="I13" s="328"/>
      <c r="J13" s="329"/>
      <c r="K13" s="2012"/>
      <c r="L13" s="2013"/>
      <c r="M13" s="2014"/>
      <c r="N13" s="330">
        <v>11</v>
      </c>
      <c r="O13" s="2021"/>
      <c r="P13" s="2022"/>
      <c r="Q13" s="2022"/>
      <c r="R13" s="2022"/>
      <c r="S13" s="2022"/>
      <c r="T13" s="2023"/>
      <c r="U13" s="327"/>
      <c r="V13" s="328"/>
      <c r="W13" s="329"/>
      <c r="X13" s="2012"/>
      <c r="Y13" s="2013"/>
      <c r="Z13" s="2014"/>
      <c r="AA13" s="326">
        <v>1</v>
      </c>
      <c r="AB13" s="2009" t="s">
        <v>283</v>
      </c>
      <c r="AC13" s="2010"/>
      <c r="AD13" s="2010"/>
      <c r="AE13" s="2010"/>
      <c r="AF13" s="2010"/>
      <c r="AG13" s="2011"/>
      <c r="AH13" s="365">
        <v>1</v>
      </c>
      <c r="AI13" s="751"/>
      <c r="AJ13" s="329" t="s">
        <v>535</v>
      </c>
      <c r="AK13" s="2056"/>
      <c r="AL13" s="2057"/>
      <c r="AM13" s="2058"/>
      <c r="AN13" s="331">
        <v>11</v>
      </c>
      <c r="AO13" s="2009" t="s">
        <v>283</v>
      </c>
      <c r="AP13" s="2010"/>
      <c r="AQ13" s="2010"/>
      <c r="AR13" s="2010"/>
      <c r="AS13" s="2010"/>
      <c r="AT13" s="2011"/>
      <c r="AU13" s="365">
        <v>1</v>
      </c>
      <c r="AV13" s="751"/>
      <c r="AW13" s="329" t="s">
        <v>535</v>
      </c>
      <c r="AX13" s="2056"/>
      <c r="AY13" s="2057"/>
      <c r="AZ13" s="2058"/>
      <c r="BA13" s="67">
        <v>1</v>
      </c>
      <c r="BB13" s="68">
        <f t="shared" ref="BB13:BB22" si="9">COUNTA(H13:I13)</f>
        <v>0</v>
      </c>
      <c r="BC13" s="192">
        <f t="shared" ref="BC13:BC22" si="10">COUNTA(K13)</f>
        <v>0</v>
      </c>
      <c r="BD13" s="70">
        <f t="shared" ref="BD13:BE22" si="11">BB13-COUNTA(H13)</f>
        <v>0</v>
      </c>
      <c r="BE13" s="70">
        <f t="shared" si="11"/>
        <v>0</v>
      </c>
      <c r="BF13" s="840" t="s">
        <v>499</v>
      </c>
      <c r="BG13" s="842">
        <f>COUNTIF(K13:$M$22,"特")</f>
        <v>0</v>
      </c>
      <c r="BH13" s="841">
        <f>COUNTIF(X13:$Z$22,"特")</f>
        <v>0</v>
      </c>
      <c r="BI13" s="842">
        <f>COUNTIF(K55:$M$84,"特")</f>
        <v>0</v>
      </c>
      <c r="BJ13" s="842">
        <f>COUNTIF(X55:$Z$84,"特")</f>
        <v>0</v>
      </c>
      <c r="BK13" s="842">
        <f>COUNTIF(K98:$M$127,"特")</f>
        <v>0</v>
      </c>
      <c r="BL13" s="842">
        <f>COUNTIF(X98:$Z$127,"特")</f>
        <v>0</v>
      </c>
      <c r="BM13" s="842">
        <f>COUNTIF(K141:$M$170,"特")</f>
        <v>0</v>
      </c>
      <c r="BN13" s="842">
        <f>COUNTIF(X141:$Z$170,"特")</f>
        <v>0</v>
      </c>
      <c r="BO13" s="842">
        <f>COUNTIF(K184:$M$213,"特")</f>
        <v>0</v>
      </c>
      <c r="BP13" s="842">
        <f>COUNTIF(X184:$Z$213,"特")</f>
        <v>0</v>
      </c>
      <c r="BQ13" s="842">
        <f>COUNTIF(K227:$M$256,"特")</f>
        <v>0</v>
      </c>
      <c r="BR13" s="842">
        <f>COUNTIF(X227:$Z$256,"特")</f>
        <v>0</v>
      </c>
      <c r="BS13" s="842">
        <f t="shared" ref="BS13:BS36" si="12">SUM(BG13:BR13)</f>
        <v>0</v>
      </c>
      <c r="BT13" s="842">
        <f>SUMIFS($H$13:$H$22,$J$13:$J$22,"小",$K$13:$K$22,"特")+SUMIFS($U$13:$U$22,$W$13:$W$22,"小",$X$13:$X$22,"特")+SUMIFS($H$55:$H$84,$J$55:$J$84,"小",$K$55:$K$84,"特")+SUMIFS($U$55:$U$84,$W$55:$W$84,"小",$X$55:$X$84,"特")+SUMIFS($H$98:$H$127,$J$98:$J$127,"小",$K$98:$K$127,"特")+SUMIFS($H$141:$H$170,$J$141:$J$170,"小",$K$141:$K$170,"特")+SUMIFS($H$184:$H$213,$J$184:$J$213,"小",$K$184:$K$213,"特")+SUMIFS($H$227:$H$256,$J$227:$J$256,"小",$K$227:$K$256,"特")+SUMIFS($U$98:$U$127,$W$98:$W$127,"小",$X$98:$X$127,"特")+SUMIFS($U$141:$U$170,$W$141:$W$170,"小",$X$141:$X$170,"特")+SUMIFS($U$184:$U$213,$W$184:$W$213,"小",$X$184:$X$213,"特")+SUMIFS($U$227:$U$256,$W$227:$W$256,"小",$X$227:$X$256,"特")</f>
        <v>0</v>
      </c>
      <c r="BU13" s="842">
        <f>SUMIFS($I$13:$I$22,$J$13:$J$22,"小",$K$13:$K$22,"特")+SUMIFS($V$13:$V$22,$W$13:$W$22,"小",$X$13:$X$22,"特")+SUMIFS($I$55:$I$84,$J$55:$J$84,"小",$K$55:$K$84,"特")+SUMIFS($V$55:$V$84,$W$55:$W$84,"小",$X$55:$X$84,"特")+SUMIFS($I$98:$I$127,$J$98:$J$127,"小",$K$98:$K$127,"特")+SUMIFS($I$141:$I$170,$J$141:$J$170,"小",$K$141:$K$170,"特")+SUMIFS($I$184:$I$213,$J$184:$J$213,"小",$K$184:$K$213,"特")+SUMIFS($I$227:$I$256,$J$227:$J$256,"小",$K$227:$K$256,"特")+SUMIFS($V$98:$V$127,$W$98:$W$127,"小",$X$98:$X$127,"特")+SUMIFS($V$141:$V$170,$W$141:$W$170,"小",$X$141:$X$170,"特")+SUMIFS($V$184:$V$213,$W$184:$W$213,"小",$X$184:$X$213,"特")+SUMIFS($V$227:$V$256,$W$227:$W$256,"小",$X$227:$X$256,"特")</f>
        <v>0</v>
      </c>
      <c r="BV13" s="842">
        <f>SUMIFS($H$13:$H$22,$J$13:$J$22,"中",$K$13:$K$22,"特")+SUMIFS($U$13:$U$22,$W$13:$W$22,"中",$X$13:$X$22,"特")+SUMIFS($H$55:$H$84,$J$55:$J$84,"中",$K$55:$K$84,"特")+SUMIFS($U$55:$U$84,$W$55:$W$84,"中",$X$55:$X$84,"特")+SUMIFS($H$98:$H$127,$J$98:$J$127,"中",$K$98:$K$127,"特")+SUMIFS($H$141:$H$170,$J$141:$J$170,"中",$K$141:$K$170,"特")+SUMIFS($H$184:$H$213,$J$184:$J$213,"中",$K$184:$K$213,"特")+SUMIFS($H$227:$H$256,$J$227:$J$256,"中",$K$227:$K$256,"特")+SUMIFS($U$98:$U$127,$W$98:$W$127,"中",$X$98:$X$127,"特")+SUMIFS($U$141:$U$170,$W$141:$W$170,"中",$X$141:$X$170,"特")+SUMIFS($U$184:$U$213,$W$184:$W$213,"中",$X$184:$X$213,"特")+SUMIFS($U$227:$U$256,$W$227:$W$256,"中",$X$227:$X$256,"特")</f>
        <v>0</v>
      </c>
      <c r="BW13" s="842">
        <f>SUMIFS($I$13:$I$22,$J$13:$J$22,"中",$K$13:$K$22,"特")+SUMIFS($V$13:$V$22,$W$13:$W$22,"中",$X$13:$X$22,"特")+SUMIFS($I$55:$I$84,$J$55:$J$84,"中",$K$55:$K$84,"特")+SUMIFS($V$55:$V$84,$W$55:$W$84,"中",$X$55:$X$84,"特")+SUMIFS($I$98:$I$127,$J$98:$J$127,"中",$K$98:$K$127,"特")+SUMIFS($I$141:$I$170,$J$141:$J$170,"中",$K$141:$K$170,"特")+SUMIFS($I$184:$I$213,$J$184:$J$213,"中",$K$184:$K$213,"特")+SUMIFS($I$227:$I$256,$J$227:$J$256,"中",$K$227:$K$256,"特")+SUMIFS($V$98:$V$127,$W$98:$W$127,"中",$X$98:$X$127,"特")+SUMIFS($V$141:$V$170,$W$141:$W$170,"中",$X$141:$X$170,"特")+SUMIFS($V$184:$V$213,$W$184:$W$213,"中",$X$184:$X$213,"特")+SUMIFS($V$227:$V$256,$W$227:$W$256,"中",$X$227:$X$256,"特")</f>
        <v>0</v>
      </c>
      <c r="BX13" s="834"/>
      <c r="BY13" s="834"/>
      <c r="BZ13" s="834"/>
      <c r="CA13" s="834"/>
      <c r="CB13" s="192"/>
      <c r="CC13" s="796" t="str">
        <f t="shared" si="7"/>
        <v>小泊/身</v>
      </c>
      <c r="CD13" s="839">
        <f t="shared" si="8"/>
        <v>0</v>
      </c>
      <c r="CE13" s="796">
        <f>IF(OR(BT14="",BT14=0),0,114)</f>
        <v>0</v>
      </c>
      <c r="CF13" s="796">
        <v>330</v>
      </c>
      <c r="CG13" s="834">
        <v>114</v>
      </c>
      <c r="CH13" s="796">
        <v>11</v>
      </c>
      <c r="CI13" s="829" t="str">
        <f t="shared" si="0"/>
        <v>小・泊</v>
      </c>
      <c r="CJ13" s="829">
        <f t="shared" si="1"/>
        <v>0</v>
      </c>
      <c r="CK13" s="825">
        <f t="shared" si="2"/>
        <v>0</v>
      </c>
      <c r="CL13" s="192"/>
      <c r="CM13" s="192"/>
      <c r="CN13" s="192"/>
      <c r="CO13" s="192"/>
      <c r="CP13" s="192"/>
      <c r="CQ13" s="192"/>
      <c r="CR13" s="192"/>
      <c r="CS13" s="192"/>
      <c r="CT13" s="192"/>
      <c r="CU13" s="192"/>
      <c r="CV13" s="192"/>
      <c r="CW13" s="192"/>
      <c r="CX13" s="192"/>
      <c r="CY13" s="192"/>
    </row>
    <row r="14" spans="1:103" ht="26.1" customHeight="1">
      <c r="A14" s="326">
        <v>2</v>
      </c>
      <c r="B14" s="2021"/>
      <c r="C14" s="2022"/>
      <c r="D14" s="2022"/>
      <c r="E14" s="2022"/>
      <c r="F14" s="2022"/>
      <c r="G14" s="2023"/>
      <c r="H14" s="327"/>
      <c r="I14" s="328"/>
      <c r="J14" s="329"/>
      <c r="K14" s="2012"/>
      <c r="L14" s="2013"/>
      <c r="M14" s="2014"/>
      <c r="N14" s="331">
        <v>12</v>
      </c>
      <c r="O14" s="2021"/>
      <c r="P14" s="2022"/>
      <c r="Q14" s="2022"/>
      <c r="R14" s="2022"/>
      <c r="S14" s="2022"/>
      <c r="T14" s="2023"/>
      <c r="U14" s="327"/>
      <c r="V14" s="328"/>
      <c r="W14" s="329"/>
      <c r="X14" s="2012"/>
      <c r="Y14" s="2013"/>
      <c r="Z14" s="2014"/>
      <c r="AA14" s="326">
        <v>2</v>
      </c>
      <c r="AB14" s="2009" t="s">
        <v>2845</v>
      </c>
      <c r="AC14" s="2010"/>
      <c r="AD14" s="2010"/>
      <c r="AE14" s="2010"/>
      <c r="AF14" s="2010"/>
      <c r="AG14" s="2011"/>
      <c r="AH14" s="365">
        <v>1</v>
      </c>
      <c r="AI14" s="751"/>
      <c r="AJ14" s="329" t="s">
        <v>535</v>
      </c>
      <c r="AK14" s="2056"/>
      <c r="AL14" s="2057"/>
      <c r="AM14" s="2058"/>
      <c r="AN14" s="331">
        <v>12</v>
      </c>
      <c r="AO14" s="2009" t="s">
        <v>2845</v>
      </c>
      <c r="AP14" s="2010"/>
      <c r="AQ14" s="2010"/>
      <c r="AR14" s="2010"/>
      <c r="AS14" s="2010"/>
      <c r="AT14" s="2011"/>
      <c r="AU14" s="365">
        <v>1</v>
      </c>
      <c r="AV14" s="751"/>
      <c r="AW14" s="329" t="s">
        <v>535</v>
      </c>
      <c r="AX14" s="2012" t="s">
        <v>520</v>
      </c>
      <c r="AY14" s="2013"/>
      <c r="AZ14" s="2014"/>
      <c r="BA14" s="67">
        <v>2</v>
      </c>
      <c r="BB14" s="68">
        <f t="shared" si="9"/>
        <v>0</v>
      </c>
      <c r="BC14" s="192">
        <f t="shared" si="10"/>
        <v>0</v>
      </c>
      <c r="BD14" s="70">
        <f t="shared" si="11"/>
        <v>0</v>
      </c>
      <c r="BE14" s="70">
        <f t="shared" si="11"/>
        <v>0</v>
      </c>
      <c r="BF14" s="796" t="s">
        <v>500</v>
      </c>
      <c r="BG14" s="839">
        <f>COUNTIF($K$13:$M$22,"身")</f>
        <v>0</v>
      </c>
      <c r="BH14" s="843">
        <f>COUNTIF(X13:$Z$22,"身")</f>
        <v>0</v>
      </c>
      <c r="BI14" s="839">
        <f>COUNTIF(K55:$M$84,"身")</f>
        <v>0</v>
      </c>
      <c r="BJ14" s="839">
        <f>COUNTIF(X55:$Z$84,"身")</f>
        <v>0</v>
      </c>
      <c r="BK14" s="839">
        <f>COUNTIF(K98:$M$127,"身")</f>
        <v>0</v>
      </c>
      <c r="BL14" s="839">
        <f>COUNTIF(X98:$Z$127,"身")</f>
        <v>0</v>
      </c>
      <c r="BM14" s="839">
        <f>COUNTIF(K141:$M$170,"身")</f>
        <v>0</v>
      </c>
      <c r="BN14" s="839">
        <f>COUNTIF(X141:$Z$170,"身")</f>
        <v>0</v>
      </c>
      <c r="BO14" s="839">
        <f>COUNTIF(K184:$M$213,"身")</f>
        <v>0</v>
      </c>
      <c r="BP14" s="839">
        <f>COUNTIF(X184:$Z$213,"身")</f>
        <v>0</v>
      </c>
      <c r="BQ14" s="839">
        <f>COUNTIF(K227:$M$256,"身")</f>
        <v>0</v>
      </c>
      <c r="BR14" s="839">
        <f>COUNTIF(X227:$Z$256,"身")</f>
        <v>0</v>
      </c>
      <c r="BS14" s="839">
        <f t="shared" si="12"/>
        <v>0</v>
      </c>
      <c r="BT14" s="844">
        <f>SUMIFS($H$13:$H$22,$J$13:$J$22,"小",$K$13:$K$22,"身")+SUMIFS($U$13:$U$22,$W$13:$W$22,"小",$X$13:$X$22,"身")+SUMIFS($H$55:$H$84,$J$55:$J$84,"小",$K$55:$K$84,"身")+SUMIFS($U$55:$U$84,$W$55:$W$84,"小",$X$55:$X$84,"身")+SUMIFS($H$98:$H$127,$J$98:$J$127,"小",$K$98:$K$127,"身")+SUMIFS($H$141:$H$170,$J$141:$J$170,"小",$K$141:$K$170,"身")+SUMIFS($H$184:$H$213,$J$184:$J$213,"小",$K$184:$K$213,"身")+SUMIFS($H$227:$H$256,$J$227:$J$256,"小",$K$227:$K$256,"身")+SUMIFS($U$98:$U$127,$W$98:$W$127,"小",$X$98:$X$127,"身")+SUMIFS($U$141:$U$170,$W$141:$W$170,"小",$X$141:$X$170,"身")+SUMIFS($U$184:$U$213,$W$184:$W$213,"小",$X$184:$X$213,"身")+SUMIFS($U$227:$U$256,$W$227:$W$256,"小",$X$227:$X$256,"身")</f>
        <v>0</v>
      </c>
      <c r="BU14" s="844">
        <f>SUMIFS($I$13:$I$22,$J$13:$J$22,"小",$K$13:$K$22,"身")+SUMIFS($V$13:$V$22,$W$13:$W$22,"小",$X$13:$X$22,"身")+SUMIFS($I$55:$I$84,$J$55:$J$84,"小",$K$55:$K$84,"身")+SUMIFS($V$55:$V$84,$W$55:$W$84,"小",$X$55:$X$84,"身")+SUMIFS($I$98:$I$127,$J$98:$J$127,"小",$K$98:$K$127,"身")+SUMIFS($I$141:$I$170,$J$141:$J$170,"小",$K$141:$K$170,"身")+SUMIFS($I$184:$I$213,$J$184:$J$213,"小",$K$184:$K$213,"身")+SUMIFS($I$227:$I$256,$J$227:$J$256,"小",$K$227:$K$256,"身")+SUMIFS($V$98:$V$127,$W$98:$W$127,"小",$X$98:$X$127,"身")+SUMIFS($V$141:$V$170,$W$141:$W$170,"小",$X$141:$X$170,"身")+SUMIFS($V$184:$V$213,$W$184:$W$213,"小",$X$184:$X$213,"身")+SUMIFS($V$227:$V$256,$W$227:$W$256,"小",$X$227:$X$256,"身")</f>
        <v>0</v>
      </c>
      <c r="BV14" s="844">
        <f>SUMIFS($H$13:$H$22,$J$13:$J$22,"中",$K$13:$K$22,"身")+SUMIFS($U$13:$U$22,$W$13:$W$22,"中",$X$13:$X$22,"身")+SUMIFS($H$55:$H$84,$J$55:$J$84,"中",$K$55:$K$84,"身")+SUMIFS($U$55:$U$84,$W$55:$W$84,"中",$X$55:$X$84,"身")+SUMIFS($H$98:$H$127,$J$98:$J$127,"中",$K$98:$K$127,"身")+SUMIFS($H$141:$H$170,$J$141:$J$170,"中",$K$141:$K$170,"身")+SUMIFS($H$184:$H$213,$J$184:$J$213,"中",$K$184:$K$213,"身")+SUMIFS($H$227:$H$256,$J$227:$J$256,"中",$K$227:$K$256,"身")+SUMIFS($U$98:$U$127,$W$98:$W$127,"中",$X$98:$X$127,"身")+SUMIFS($U$141:$U$170,$W$141:$W$170,"中",$X$141:$X$170,"身")+SUMIFS($U$184:$U$213,$W$184:$W$213,"中",$X$184:$X$213,"身")+SUMIFS($U$227:$U$256,$W$227:$W$256,"中",$X$227:$X$256,"身")</f>
        <v>0</v>
      </c>
      <c r="BW14" s="844">
        <f>SUMIFS($I$13:$I$22,$J$13:$J$22,"中",$K$13:$K$22,"身")+SUMIFS($V$13:$V$22,$W$13:$W$22,"中",$X$13:$X$22,"身")+SUMIFS($I$55:$I$84,$J$55:$J$84,"中",$K$55:$K$84,"身")+SUMIFS($V$55:$V$84,$W$55:$W$84,"中",$X$55:$X$84,"身")+SUMIFS($I$98:$I$127,$J$98:$J$127,"中",$K$98:$K$127,"身")+SUMIFS($I$141:$I$170,$J$141:$J$170,"中",$K$141:$K$170,"身")+SUMIFS($I$184:$I$213,$J$184:$J$213,"中",$K$184:$K$213,"身")+SUMIFS($I$227:$I$256,$J$227:$J$256,"中",$K$227:$K$256,"身")+SUMIFS($V$98:$V$127,$W$98:$W$127,"中",$X$98:$X$127,"身")+SUMIFS($V$141:$V$170,$W$141:$W$170,"中",$X$141:$X$170,"身")+SUMIFS($V$184:$V$213,$W$184:$W$213,"中",$X$184:$X$213,"身")+SUMIFS($V$227:$V$256,$W$227:$W$256,"中",$X$227:$X$256,"身")</f>
        <v>0</v>
      </c>
      <c r="BX14" s="192"/>
      <c r="BY14" s="192"/>
      <c r="BZ14" s="192"/>
      <c r="CA14" s="192"/>
      <c r="CB14" s="192"/>
      <c r="CC14" s="796" t="str">
        <f t="shared" si="7"/>
        <v>小泊/療</v>
      </c>
      <c r="CD14" s="839">
        <f t="shared" si="8"/>
        <v>0</v>
      </c>
      <c r="CE14" s="796">
        <f>IF(OR(BT15="",BT15=0),0,113)</f>
        <v>0</v>
      </c>
      <c r="CF14" s="796">
        <v>330</v>
      </c>
      <c r="CG14" s="834">
        <v>113</v>
      </c>
      <c r="CH14" s="796">
        <v>12</v>
      </c>
      <c r="CI14" s="829" t="str">
        <f t="shared" si="0"/>
        <v>小・泊</v>
      </c>
      <c r="CJ14" s="829">
        <f t="shared" si="1"/>
        <v>0</v>
      </c>
      <c r="CK14" s="825">
        <f t="shared" si="2"/>
        <v>0</v>
      </c>
      <c r="CL14" s="192"/>
      <c r="CM14" s="192"/>
      <c r="CN14" s="192"/>
      <c r="CO14" s="192"/>
      <c r="CP14" s="192"/>
      <c r="CQ14" s="192"/>
      <c r="CR14" s="192"/>
      <c r="CS14" s="192"/>
      <c r="CT14" s="192"/>
      <c r="CU14" s="192"/>
      <c r="CV14" s="192"/>
      <c r="CW14" s="192"/>
      <c r="CX14" s="192"/>
      <c r="CY14" s="192"/>
    </row>
    <row r="15" spans="1:103" ht="26.1" customHeight="1">
      <c r="A15" s="326">
        <v>3</v>
      </c>
      <c r="B15" s="2021"/>
      <c r="C15" s="2022"/>
      <c r="D15" s="2022"/>
      <c r="E15" s="2022"/>
      <c r="F15" s="2022"/>
      <c r="G15" s="2023"/>
      <c r="H15" s="327"/>
      <c r="I15" s="328"/>
      <c r="J15" s="329"/>
      <c r="K15" s="2012"/>
      <c r="L15" s="2013"/>
      <c r="M15" s="2014"/>
      <c r="N15" s="331">
        <v>13</v>
      </c>
      <c r="O15" s="2021"/>
      <c r="P15" s="2022"/>
      <c r="Q15" s="2022"/>
      <c r="R15" s="2022"/>
      <c r="S15" s="2022"/>
      <c r="T15" s="2023"/>
      <c r="U15" s="327"/>
      <c r="V15" s="328"/>
      <c r="W15" s="329"/>
      <c r="X15" s="2012"/>
      <c r="Y15" s="2013"/>
      <c r="Z15" s="2014"/>
      <c r="AA15" s="326">
        <v>3</v>
      </c>
      <c r="AB15" s="2009" t="s">
        <v>283</v>
      </c>
      <c r="AC15" s="2010"/>
      <c r="AD15" s="2010"/>
      <c r="AE15" s="2010"/>
      <c r="AF15" s="2010"/>
      <c r="AG15" s="2011"/>
      <c r="AH15" s="365">
        <v>1</v>
      </c>
      <c r="AI15" s="751"/>
      <c r="AJ15" s="329" t="s">
        <v>535</v>
      </c>
      <c r="AK15" s="2056"/>
      <c r="AL15" s="2057"/>
      <c r="AM15" s="2058"/>
      <c r="AN15" s="331">
        <v>13</v>
      </c>
      <c r="AO15" s="2009" t="s">
        <v>283</v>
      </c>
      <c r="AP15" s="2010"/>
      <c r="AQ15" s="2010"/>
      <c r="AR15" s="2010"/>
      <c r="AS15" s="2010"/>
      <c r="AT15" s="2011"/>
      <c r="AU15" s="365">
        <v>1</v>
      </c>
      <c r="AV15" s="751"/>
      <c r="AW15" s="329" t="s">
        <v>535</v>
      </c>
      <c r="AX15" s="2056"/>
      <c r="AY15" s="2057"/>
      <c r="AZ15" s="2058"/>
      <c r="BA15" s="67">
        <v>3</v>
      </c>
      <c r="BB15" s="68">
        <f t="shared" si="9"/>
        <v>0</v>
      </c>
      <c r="BC15" s="192">
        <f t="shared" si="10"/>
        <v>0</v>
      </c>
      <c r="BD15" s="70">
        <f t="shared" si="11"/>
        <v>0</v>
      </c>
      <c r="BE15" s="70">
        <f t="shared" si="11"/>
        <v>0</v>
      </c>
      <c r="BF15" s="796" t="s">
        <v>501</v>
      </c>
      <c r="BG15" s="839">
        <f>COUNTIF($K$13:$M$22,"療")</f>
        <v>0</v>
      </c>
      <c r="BH15" s="843">
        <f>COUNTIF($X$13:$Z$22,"療")</f>
        <v>0</v>
      </c>
      <c r="BI15" s="839">
        <f>COUNTIF($K$55:$M$84,"療")</f>
        <v>0</v>
      </c>
      <c r="BJ15" s="839">
        <f>COUNTIF($X$55:$Z$84,"療")</f>
        <v>0</v>
      </c>
      <c r="BK15" s="839">
        <f>COUNTIF($K$98:$M$127,"療")</f>
        <v>0</v>
      </c>
      <c r="BL15" s="839">
        <f>COUNTIF($X$98:$Z$127,"療")</f>
        <v>0</v>
      </c>
      <c r="BM15" s="839">
        <f>COUNTIF($K$141:$M$170,"療")</f>
        <v>0</v>
      </c>
      <c r="BN15" s="839">
        <f>COUNTIF($X$141:$Z$170,"療")</f>
        <v>0</v>
      </c>
      <c r="BO15" s="839">
        <f>COUNTIF($K$184:$M$213,"療")</f>
        <v>0</v>
      </c>
      <c r="BP15" s="839">
        <f>COUNTIF($X$184:$Z$213,"療")</f>
        <v>0</v>
      </c>
      <c r="BQ15" s="839">
        <f>COUNTIF($K$227:$M$256,"療")</f>
        <v>0</v>
      </c>
      <c r="BR15" s="839">
        <f>COUNTIF($X$227:$Z$256,"療")</f>
        <v>0</v>
      </c>
      <c r="BS15" s="839">
        <f t="shared" si="12"/>
        <v>0</v>
      </c>
      <c r="BT15" s="844">
        <f>SUMIFS($H$13:$H$22,$J$13:$J$22,"小",$K$13:$K$22,"療")+SUMIFS($U$13:$U$22,$W$13:$W$22,"小",$X$13:$X$22,"療")+SUMIFS($H$55:$H$84,$J$55:$J$84,"小",$K$55:$K$84,"療")+SUMIFS($U$55:$U$84,$W$55:$W$84,"小",$X$55:$X$84,"療")+SUMIFS($H$98:$H$127,$J$98:$J$127,"小",$K$98:$K$127,"療")+SUMIFS($H$141:$H$170,$J$141:$J$170,"小",$K$141:$K$170,"療")+SUMIFS($H$184:$H$213,$J$184:$J$213,"小",$K$184:$K$213,"療")+SUMIFS($H$227:$H$256,$J$227:$J$256,"小",$K$227:$K$256,"療")+SUMIFS($U$98:$U$127,$W$98:$W$127,"小",$X$98:$X$127,"療")+SUMIFS($U$141:$U$170,$W$141:$W$170,"小",$X$141:$X$170,"療")+SUMIFS($U$184:$U$213,$W$184:$W$213,"小",$X$184:$X$213,"療")+SUMIFS($U$227:$U$256,$W$227:$W$256,"小",$X$227:$X$256,"療")</f>
        <v>0</v>
      </c>
      <c r="BU15" s="844">
        <f>SUMIFS($I$13:$I$22,$J$13:$J$22,"小",$K$13:$K$22,"療")+SUMIFS($V$13:$V$22,$W$13:$W$22,"小",$X$13:$X$22,"療")+SUMIFS($I$55:$I$84,$J$55:$J$84,"小",$K$55:$K$84,"療")+SUMIFS($V$55:$V$84,$W$55:$W$84,"小",$X$55:$X$84,"療")+SUMIFS($I$98:$I$127,$J$98:$J$127,"小",$K$98:$K$127,"療")+SUMIFS($I$141:$I$170,$J$141:$J$170,"小",$K$141:$K$170,"療")+SUMIFS($I$184:$I$213,$J$184:$J$213,"小",$K$184:$K$213,"療")+SUMIFS($I$227:$I$256,$J$227:$J$256,"小",$K$227:$K$256,"療")+SUMIFS($V$98:$V$127,$W$98:$W$127,"小",$X$98:$X$127,"療")+SUMIFS($V$141:$V$170,$W$141:$W$170,"小",$X$141:$X$170,"療")+SUMIFS($V$184:$V$213,$W$184:$W$213,"小",$X$184:$X$213,"療")+SUMIFS($V$227:$V$256,$W$227:$W$256,"小",$X$227:$X$256,"療")</f>
        <v>0</v>
      </c>
      <c r="BV15" s="844">
        <f>SUMIFS($H$13:$H$22,$J$13:$J$22,"中",$K$13:$K$22,"療")+SUMIFS($U$13:$U$22,$W$13:$W$22,"中",$X$13:$X$22,"療")+SUMIFS($H$55:$H$84,$J$55:$J$84,"中",$K$55:$K$84,"療")+SUMIFS($U$55:$U$84,$W$55:$W$84,"中",$X$55:$X$84,"療")+SUMIFS($H$98:$H$127,$J$98:$J$127,"中",$K$98:$K$127,"療")+SUMIFS($H$141:$H$170,$J$141:$J$170,"中",$K$141:$K$170,"療")+SUMIFS($H$184:$H$213,$J$184:$J$213,"中",$K$184:$K$213,"療")+SUMIFS($H$227:$H$256,$J$227:$J$256,"中",$K$227:$K$256,"療")+SUMIFS($U$98:$U$127,$W$98:$W$127,"中",$X$98:$X$127,"療")+SUMIFS($U$141:$U$170,$W$141:$W$170,"中",$X$141:$X$170,"療")+SUMIFS($U$184:$U$213,$W$184:$W$213,"中",$X$184:$X$213,"療")+SUMIFS($U$227:$U$256,$W$227:$W$256,"中",$X$227:$X$256,"療")</f>
        <v>0</v>
      </c>
      <c r="BW15" s="844">
        <f>SUMIFS($I$13:$I$22,$J$13:$J$22,"中",$K$13:$K$22,"療")+SUMIFS($V$13:$V$22,$W$13:$W$22,"中",$X$13:$X$22,"療")+SUMIFS($I$55:$I$84,$J$55:$J$84,"中",$K$55:$K$84,"療")+SUMIFS($V$55:$V$84,$W$55:$W$84,"中",$X$55:$X$84,"療")+SUMIFS($I$98:$I$127,$J$98:$J$127,"中",$K$98:$K$127,"療")+SUMIFS($I$141:$I$170,$J$141:$J$170,"中",$K$141:$K$170,"療")+SUMIFS($I$184:$I$213,$J$184:$J$213,"中",$K$184:$K$213,"療")+SUMIFS($I$227:$I$256,$J$227:$J$256,"中",$K$227:$K$256,"療")+SUMIFS($V$98:$V$127,$W$98:$W$127,"中",$X$98:$X$127,"療")+SUMIFS($V$141:$V$170,$W$141:$W$170,"中",$X$141:$X$170,"療")+SUMIFS($V$184:$V$213,$W$184:$W$213,"中",$X$184:$X$213,"療")+SUMIFS($V$227:$V$256,$W$227:$W$256,"中",$X$227:$X$256,"療")</f>
        <v>0</v>
      </c>
      <c r="BX15" s="192"/>
      <c r="BY15" s="192"/>
      <c r="BZ15" s="192"/>
      <c r="CA15" s="192"/>
      <c r="CB15" s="192"/>
      <c r="CC15" s="796" t="str">
        <f t="shared" si="7"/>
        <v>小泊/精</v>
      </c>
      <c r="CD15" s="839">
        <f t="shared" si="8"/>
        <v>0</v>
      </c>
      <c r="CE15" s="796">
        <f>IF(OR(BT16="",BT16=0),0,112)</f>
        <v>0</v>
      </c>
      <c r="CF15" s="796">
        <v>330</v>
      </c>
      <c r="CG15" s="834">
        <v>112</v>
      </c>
      <c r="CH15" s="796">
        <v>13</v>
      </c>
      <c r="CI15" s="829" t="str">
        <f t="shared" si="0"/>
        <v>小・泊</v>
      </c>
      <c r="CJ15" s="829">
        <f t="shared" si="1"/>
        <v>0</v>
      </c>
      <c r="CK15" s="825">
        <f t="shared" si="2"/>
        <v>0</v>
      </c>
      <c r="CL15" s="192"/>
      <c r="CM15" s="192"/>
      <c r="CN15" s="192"/>
      <c r="CO15" s="192"/>
      <c r="CP15" s="192"/>
      <c r="CQ15" s="192"/>
      <c r="CR15" s="192"/>
      <c r="CS15" s="192"/>
      <c r="CT15" s="192"/>
      <c r="CU15" s="192"/>
      <c r="CV15" s="192"/>
      <c r="CW15" s="192"/>
      <c r="CX15" s="192"/>
      <c r="CY15" s="192"/>
    </row>
    <row r="16" spans="1:103" ht="26.1" customHeight="1">
      <c r="A16" s="326">
        <v>4</v>
      </c>
      <c r="B16" s="2021"/>
      <c r="C16" s="2022"/>
      <c r="D16" s="2022"/>
      <c r="E16" s="2022"/>
      <c r="F16" s="2022"/>
      <c r="G16" s="2023"/>
      <c r="H16" s="327"/>
      <c r="I16" s="328"/>
      <c r="J16" s="329"/>
      <c r="K16" s="2012"/>
      <c r="L16" s="2013"/>
      <c r="M16" s="2014"/>
      <c r="N16" s="331">
        <v>14</v>
      </c>
      <c r="O16" s="2021"/>
      <c r="P16" s="2022"/>
      <c r="Q16" s="2022"/>
      <c r="R16" s="2022"/>
      <c r="S16" s="2022"/>
      <c r="T16" s="2023"/>
      <c r="U16" s="327"/>
      <c r="V16" s="328"/>
      <c r="W16" s="329"/>
      <c r="X16" s="2012"/>
      <c r="Y16" s="2013"/>
      <c r="Z16" s="2014"/>
      <c r="AA16" s="326">
        <v>4</v>
      </c>
      <c r="AB16" s="2009" t="s">
        <v>2845</v>
      </c>
      <c r="AC16" s="2010"/>
      <c r="AD16" s="2010"/>
      <c r="AE16" s="2010"/>
      <c r="AF16" s="2010"/>
      <c r="AG16" s="2011"/>
      <c r="AH16" s="365">
        <v>1</v>
      </c>
      <c r="AI16" s="751"/>
      <c r="AJ16" s="329" t="s">
        <v>535</v>
      </c>
      <c r="AK16" s="2056"/>
      <c r="AL16" s="2057"/>
      <c r="AM16" s="2058"/>
      <c r="AN16" s="331">
        <v>14</v>
      </c>
      <c r="AO16" s="2009" t="s">
        <v>2845</v>
      </c>
      <c r="AP16" s="2010"/>
      <c r="AQ16" s="2010"/>
      <c r="AR16" s="2010"/>
      <c r="AS16" s="2010"/>
      <c r="AT16" s="2011"/>
      <c r="AU16" s="365">
        <v>1</v>
      </c>
      <c r="AV16" s="751"/>
      <c r="AW16" s="329" t="s">
        <v>533</v>
      </c>
      <c r="AX16" s="2056"/>
      <c r="AY16" s="2057"/>
      <c r="AZ16" s="2058"/>
      <c r="BA16" s="67">
        <v>4</v>
      </c>
      <c r="BB16" s="68">
        <f t="shared" si="9"/>
        <v>0</v>
      </c>
      <c r="BC16" s="192">
        <f t="shared" si="10"/>
        <v>0</v>
      </c>
      <c r="BD16" s="70">
        <f t="shared" si="11"/>
        <v>0</v>
      </c>
      <c r="BE16" s="70">
        <f t="shared" si="11"/>
        <v>0</v>
      </c>
      <c r="BF16" s="796" t="s">
        <v>502</v>
      </c>
      <c r="BG16" s="839">
        <f>COUNTIF($K$13:$M$22,"精")</f>
        <v>0</v>
      </c>
      <c r="BH16" s="843">
        <f>COUNTIF($X$13:$Z$22,"精")</f>
        <v>0</v>
      </c>
      <c r="BI16" s="839">
        <f>COUNTIF($K$55:$M$84,"精")</f>
        <v>0</v>
      </c>
      <c r="BJ16" s="839">
        <f>COUNTIF($X$55:$Z$84,"精")</f>
        <v>0</v>
      </c>
      <c r="BK16" s="839">
        <f>COUNTIF($K$98:$M$127,"精")</f>
        <v>0</v>
      </c>
      <c r="BL16" s="839">
        <f>COUNTIF($X$98:$Z$127,"精")</f>
        <v>0</v>
      </c>
      <c r="BM16" s="839">
        <f>COUNTIF($K$141:$M$170,"精")</f>
        <v>0</v>
      </c>
      <c r="BN16" s="839">
        <f>COUNTIF($X$141:$Z$170,"精")</f>
        <v>0</v>
      </c>
      <c r="BO16" s="839">
        <f>COUNTIF($K$184:$M$213,"精")</f>
        <v>0</v>
      </c>
      <c r="BP16" s="839">
        <f>COUNTIF($X$184:$Z$213,"精")</f>
        <v>0</v>
      </c>
      <c r="BQ16" s="839">
        <f>COUNTIF($K$227:$M$256,"精")</f>
        <v>0</v>
      </c>
      <c r="BR16" s="839">
        <f>COUNTIF($X$227:$Z$256,"精")</f>
        <v>0</v>
      </c>
      <c r="BS16" s="839">
        <f t="shared" si="12"/>
        <v>0</v>
      </c>
      <c r="BT16" s="844">
        <f>SUMIFS($H$13:$H$22,$J$13:$J$22,"小",$K$13:$K$22,"精")+SUMIFS($U$13:$U$22,$W$13:$W$22,"小",$X$13:$X$22,"精")+SUMIFS($H$55:$H$84,$J$55:$J$84,"小",$K$55:$K$84,"精")+SUMIFS($U$55:$U$84,$W$55:$W$84,"小",$X$55:$X$84,"精")+SUMIFS($H$98:$H$127,$J$98:$J$127,"小",$K$98:$K$127,"精")+SUMIFS($H$141:$H$170,$J$141:$J$170,"小",$K$141:$K$170,"精")+SUMIFS($H$184:$H$213,$J$184:$J$213,"小",$K$184:$K$213,"精")+SUMIFS($H$227:$H$256,$J$227:$J$256,"小",$K$227:$K$256,"精")+SUMIFS($U$98:$U$127,$W$98:$W$127,"小",$X$98:$X$127,"精")+SUMIFS($U$141:$U$170,$W$141:$W$170,"小",$X$141:$X$170,"精")+SUMIFS($U$184:$U$213,$W$184:$W$213,"小",$X$184:$X$213,"精")+SUMIFS($U$227:$U$256,$W$227:$W$256,"小",$X$227:$X$256,"精")</f>
        <v>0</v>
      </c>
      <c r="BU16" s="844">
        <f>SUMIFS($I$13:$I$22,$J$13:$J$22,"小",$K$13:$K$22,"精")+SUMIFS($V$13:$V$22,$W$13:$W$22,"小",$X$13:$X$22,"精")+SUMIFS($I$55:$I$84,$J$55:$J$84,"小",$K$55:$K$84,"精")+SUMIFS($V$55:$V$84,$W$55:$W$84,"小",$X$55:$X$84,"精")+SUMIFS($I$98:$I$127,$J$98:$J$127,"小",$K$98:$K$127,"精")+SUMIFS($I$141:$I$170,$J$141:$J$170,"小",$K$141:$K$170,"精")+SUMIFS($I$184:$I$213,$J$184:$J$213,"小",$K$184:$K$213,"精")+SUMIFS($I$227:$I$256,$J$227:$J$256,"小",$K$227:$K$256,"精")+SUMIFS($V$98:$V$127,$W$98:$W$127,"小",$X$98:$X$127,"精")+SUMIFS($V$141:$V$170,$W$141:$W$170,"小",$X$141:$X$170,"精")+SUMIFS($V$184:$V$213,$W$184:$W$213,"小",$X$184:$X$213,"精")+SUMIFS($V$227:$V$256,$W$227:$W$256,"小",$X$227:$X$256,"精")</f>
        <v>0</v>
      </c>
      <c r="BV16" s="844">
        <f>SUMIFS($H$13:$H$22,$J$13:$J$22,"中",$K$13:$K$22,"精")+SUMIFS($U$13:$U$22,$W$13:$W$22,"中",$X$13:$X$22,"精")+SUMIFS($H$55:$H$84,$J$55:$J$84,"中",$K$55:$K$84,"精")+SUMIFS($U$55:$U$84,$W$55:$W$84,"中",$X$55:$X$84,"精")+SUMIFS($H$98:$H$127,$J$98:$J$127,"中",$K$98:$K$127,"精")+SUMIFS($H$141:$H$170,$J$141:$J$170,"中",$K$141:$K$170,"精")+SUMIFS($H$184:$H$213,$J$184:$J$213,"中",$K$184:$K$213,"精")+SUMIFS($H$227:$H$256,$J$227:$J$256,"中",$K$227:$K$256,"精")+SUMIFS($U$98:$U$127,$W$98:$W$127,"中",$X$98:$X$127,"精")+SUMIFS($U$141:$U$170,$W$141:$W$170,"中",$X$141:$X$170,"精")+SUMIFS($U$184:$U$213,$W$184:$W$213,"中",$X$184:$X$213,"精")+SUMIFS($U$227:$U$256,$W$227:$W$256,"中",$X$227:$X$256,"精")</f>
        <v>0</v>
      </c>
      <c r="BW16" s="844">
        <f>SUMIFS($I$13:$I$22,$J$13:$J$22,"中",$K$13:$K$22,"精")+SUMIFS($V$13:$V$22,$W$13:$W$22,"中",$X$13:$X$22,"精")+SUMIFS($I$55:$I$84,$J$55:$J$84,"中",$K$55:$K$84,"精")+SUMIFS($V$55:$V$84,$W$55:$W$84,"中",$X$55:$X$84,"精")+SUMIFS($I$98:$I$127,$J$98:$J$127,"中",$K$98:$K$127,"精")+SUMIFS($I$141:$I$170,$J$141:$J$170,"中",$K$141:$K$170,"精")+SUMIFS($I$184:$I$213,$J$184:$J$213,"中",$K$184:$K$213,"精")+SUMIFS($I$227:$I$256,$J$227:$J$256,"中",$K$227:$K$256,"精")+SUMIFS($V$98:$V$127,$W$98:$W$127,"中",$X$98:$X$127,"精")+SUMIFS($V$141:$V$170,$W$141:$W$170,"中",$X$141:$X$170,"精")+SUMIFS($V$184:$V$213,$W$184:$W$213,"中",$X$184:$X$213,"精")+SUMIFS($V$227:$V$256,$W$227:$W$256,"中",$X$227:$X$256,"精")</f>
        <v>0</v>
      </c>
      <c r="BX16" s="192"/>
      <c r="BY16" s="192"/>
      <c r="BZ16" s="192"/>
      <c r="CA16" s="192"/>
      <c r="CB16" s="192"/>
      <c r="CC16" s="796" t="str">
        <f t="shared" si="7"/>
        <v>小泊/介添</v>
      </c>
      <c r="CD16" s="839">
        <f t="shared" si="8"/>
        <v>0</v>
      </c>
      <c r="CE16" s="796">
        <f>IF(OR(BT17="",BT17=0),0,111)</f>
        <v>0</v>
      </c>
      <c r="CF16" s="796">
        <v>330</v>
      </c>
      <c r="CG16" s="834">
        <v>111</v>
      </c>
      <c r="CH16" s="796">
        <v>14</v>
      </c>
      <c r="CI16" s="829" t="str">
        <f t="shared" si="0"/>
        <v>小・泊</v>
      </c>
      <c r="CJ16" s="829">
        <f t="shared" si="1"/>
        <v>0</v>
      </c>
      <c r="CK16" s="825">
        <f t="shared" si="2"/>
        <v>0</v>
      </c>
      <c r="CL16" s="192"/>
      <c r="CM16" s="192"/>
      <c r="CN16" s="192"/>
      <c r="CO16" s="192"/>
      <c r="CP16" s="192"/>
      <c r="CQ16" s="192"/>
      <c r="CR16" s="192"/>
      <c r="CS16" s="192"/>
      <c r="CT16" s="192"/>
      <c r="CU16" s="192"/>
      <c r="CV16" s="192"/>
      <c r="CW16" s="192"/>
      <c r="CX16" s="192"/>
      <c r="CY16" s="192"/>
    </row>
    <row r="17" spans="1:103" ht="26.1" customHeight="1">
      <c r="A17" s="326">
        <v>5</v>
      </c>
      <c r="B17" s="2021"/>
      <c r="C17" s="2022"/>
      <c r="D17" s="2022"/>
      <c r="E17" s="2022"/>
      <c r="F17" s="2022"/>
      <c r="G17" s="2023"/>
      <c r="H17" s="327"/>
      <c r="I17" s="328"/>
      <c r="J17" s="329"/>
      <c r="K17" s="2012"/>
      <c r="L17" s="2013"/>
      <c r="M17" s="2014"/>
      <c r="N17" s="331">
        <v>15</v>
      </c>
      <c r="O17" s="2021"/>
      <c r="P17" s="2022"/>
      <c r="Q17" s="2022"/>
      <c r="R17" s="2022"/>
      <c r="S17" s="2022"/>
      <c r="T17" s="2023"/>
      <c r="U17" s="327"/>
      <c r="V17" s="328"/>
      <c r="W17" s="329"/>
      <c r="X17" s="2012"/>
      <c r="Y17" s="2013"/>
      <c r="Z17" s="2014"/>
      <c r="AA17" s="326">
        <v>5</v>
      </c>
      <c r="AB17" s="2009" t="s">
        <v>283</v>
      </c>
      <c r="AC17" s="2010"/>
      <c r="AD17" s="2010"/>
      <c r="AE17" s="2010"/>
      <c r="AF17" s="2010"/>
      <c r="AG17" s="2011"/>
      <c r="AH17" s="365">
        <v>1</v>
      </c>
      <c r="AI17" s="751"/>
      <c r="AJ17" s="329" t="s">
        <v>535</v>
      </c>
      <c r="AK17" s="2012" t="s">
        <v>498</v>
      </c>
      <c r="AL17" s="2013"/>
      <c r="AM17" s="2014"/>
      <c r="AN17" s="331">
        <v>15</v>
      </c>
      <c r="AO17" s="2009" t="s">
        <v>283</v>
      </c>
      <c r="AP17" s="2010"/>
      <c r="AQ17" s="2010"/>
      <c r="AR17" s="2010"/>
      <c r="AS17" s="2010"/>
      <c r="AT17" s="2011"/>
      <c r="AU17" s="365">
        <v>1</v>
      </c>
      <c r="AV17" s="751"/>
      <c r="AW17" s="329" t="s">
        <v>533</v>
      </c>
      <c r="AX17" s="2056"/>
      <c r="AY17" s="2057"/>
      <c r="AZ17" s="2058"/>
      <c r="BA17" s="67">
        <v>5</v>
      </c>
      <c r="BB17" s="68">
        <f t="shared" si="9"/>
        <v>0</v>
      </c>
      <c r="BC17" s="192">
        <f t="shared" si="10"/>
        <v>0</v>
      </c>
      <c r="BD17" s="70">
        <f t="shared" si="11"/>
        <v>0</v>
      </c>
      <c r="BE17" s="70">
        <f t="shared" si="11"/>
        <v>0</v>
      </c>
      <c r="BF17" s="845" t="s">
        <v>536</v>
      </c>
      <c r="BG17" s="846">
        <f>COUNTIF($K$13:$M$22,"介添")</f>
        <v>0</v>
      </c>
      <c r="BH17" s="847">
        <f>COUNTIF($X$13:$Z$22,"介添")</f>
        <v>0</v>
      </c>
      <c r="BI17" s="846">
        <f>COUNTIF($K$55:$M$84,"介添")</f>
        <v>0</v>
      </c>
      <c r="BJ17" s="846">
        <f>COUNTIF($X$55:$Z$84,"介添")</f>
        <v>0</v>
      </c>
      <c r="BK17" s="846">
        <f>COUNTIF($K$98:$M$127,"介添")</f>
        <v>0</v>
      </c>
      <c r="BL17" s="846">
        <f>COUNTIF($X$98:$Z$127,"介添")</f>
        <v>0</v>
      </c>
      <c r="BM17" s="846">
        <f>COUNTIF($K$141:$M$170,"介添")</f>
        <v>0</v>
      </c>
      <c r="BN17" s="846">
        <f>COUNTIF($X$141:$Z$170,"介添")</f>
        <v>0</v>
      </c>
      <c r="BO17" s="846">
        <f>COUNTIF($K$184:$M$213,"介添")</f>
        <v>0</v>
      </c>
      <c r="BP17" s="846">
        <f>COUNTIF($X$184:$Z$213,"介添")</f>
        <v>0</v>
      </c>
      <c r="BQ17" s="846">
        <f>COUNTIF($K$227:$M$256,"介添")</f>
        <v>0</v>
      </c>
      <c r="BR17" s="846">
        <f>COUNTIF($X$227:$Z$256,"介添")</f>
        <v>0</v>
      </c>
      <c r="BS17" s="846">
        <f t="shared" si="12"/>
        <v>0</v>
      </c>
      <c r="BT17" s="846"/>
      <c r="BU17" s="846"/>
      <c r="BV17" s="846"/>
      <c r="BW17" s="846"/>
      <c r="BX17" s="846">
        <f>SUMIFS($H$13:$H$22,$J$13:$J$22,"引",$K$13:$K$22,"介添")+SUMIFS($U$13:$U$22,$W$13:$W$22,"引",$X$13:$X$22,"介添")+SUMIFS($H$55:$H$84,$J$55:$J$84,"引",$K$55:$K$84,"介添")+SUMIFS($U$55:$U$84,$W$55:$W$84,"引",$X$55:$X$84,"介添")+SUMIFS($H$98:$H$127,$J$98:$J$127,"引",$K$98:$K$127,"介添")+SUMIFS($H$141:$H$170,$J$141:$J$170,"引",$K$141:$K$170,"介添")+SUMIFS($H$184:$H$213,$J$184:$J$213,"引",$K$184:$K$213,"介添")+SUMIFS($H$227:$H$256,$J$227:$J$256,"引",$K$227:$K$256,"介添")+SUMIFS($U$98:$U$127,$W$98:$W$127,"引",$X$98:$X$127,"介添")+SUMIFS($U$141:$U$170,$W$141:$W$170,"引",$X$141:$X$170,"介添")+SUMIFS($U$184:$U$213,$W$184:$W$213,"引",$X$184:$X$213,"介添")+SUMIFS($U$227:$U$256,$W$227:$W$256,"引",$X$227:$X$256,"介添")</f>
        <v>0</v>
      </c>
      <c r="BY17" s="846">
        <f>SUMIFS($I$13:$I$22,$J$13:$J$22,"引",$K$13:$K$22,"介添")+SUMIFS($V$13:$V$22,$W$13:$W$22,"引",$X$13:$X$22,"介添")+SUMIFS($I$55:$I$84,$J$55:$J$84,"引",$K$55:$K$84,"介添")+SUMIFS($V$55:$V$84,$W$55:$W$84,"引",$X$55:$X$84,"介添")+SUMIFS($I$98:$I$127,$J$98:$J$127,"引",$K$98:$K$127,"介添")+SUMIFS($I$141:$I$170,$J$141:$J$170,"引",$K$141:$K$170,"介添")+SUMIFS($I$184:$I$213,$J$184:$J$213,"引",$K$184:$K$213,"介添")+SUMIFS($I$227:$I$256,$J$227:$J$256,"引",$K$227:$K$256,"介添")+SUMIFS($V$98:$V$127,$W$98:$W$127,"引",$X$98:$X$127,"介添")+SUMIFS($V$141:$V$170,$W$141:$W$170,"引",$X$141:$X$170,"介添")+SUMIFS($V$184:$V$213,$W$184:$W$213,"引",$X$184:$X$213,"介添")+SUMIFS($V$227:$V$256,$W$227:$W$256,"引",$X$227:$X$256,"介添")</f>
        <v>0</v>
      </c>
      <c r="BZ17" s="848">
        <f>SUMIFS($H$13:$H$22,$J$13:$J$22,"一",$K$13:$K$22,"介添")+SUMIFS($U$13:$U$22,$W$13:$W$22,"一",$X$13:$X$22,"介添")+SUMIFS($H$55:$H$84,$J$55:$J$84,"一",$K$55:$K$84,"介添")+SUMIFS($U$55:$U$84,$W$55:$W$84,"一",$X$55:$X$84,"介添")+SUMIFS($H$98:$H$127,$J$98:$J$127,"一",$K$98:$K$127,"介添")+SUMIFS($H$141:$H$170,$J$141:$J$170,"一",$K$141:$K$170,"介添")+SUMIFS($H$184:$H$213,$J$184:$J$213,"一",$K$184:$K$213,"介添")+SUMIFS($H$227:$H$256,$J$227:$J$256,"一",$K$227:$K$256,"介添")+SUMIFS($U$98:$U$127,$W$98:$W$127,"一",$X$98:$X$127,"介添")+SUMIFS($U$141:$U$170,$W$141:$W$170,"一",$X$141:$X$170,"介添")+SUMIFS($U$184:$U$213,$W$184:$W$213,"一",$X$184:$X$213,"介添")+SUMIFS($U$227:$U$256,$W$227:$W$256,"一",$X$227:$X$256,"介添")</f>
        <v>0</v>
      </c>
      <c r="CA17" s="846">
        <f>SUMIFS($I$13:$I$22,$J$13:$J$22,"一",$K$13:$K$22,"介添")+SUMIFS($V$13:$V$22,$W$13:$W$22,"一",$X$13:$X$22,"介添")+SUMIFS($I$55:$I$84,$J$55:$J$84,"一",$K$55:$K$84,"介添")+SUMIFS($V$55:$V$84,$W$55:$W$84,"一",$X$55:$X$84,"介添")+SUMIFS($I$98:$I$127,$J$98:$J$127,"一",$K$98:$K$127,"介添")+SUMIFS($I$141:$I$170,$J$141:$J$170,"一",$K$141:$K$170,"介添")+SUMIFS($I$184:$I$213,$J$184:$J$213,"一",$K$184:$K$213,"介添")+SUMIFS($I$227:$I$256,$J$227:$J$256,"一",$K$227:$K$256,"介添")+SUMIFS($V$98:$V$127,$W$98:$W$127,"一",$X$98:$X$127,"介添")+SUMIFS($V$141:$V$170,$W$141:$W$170,"一",$X$141:$X$170,"介添")+SUMIFS($V$184:$V$213,$W$184:$W$213,"一",$X$184:$X$213,"介添")+SUMIFS($V$227:$V$256,$W$227:$W$256,"一",$X$227:$X$256,"介添")</f>
        <v>0</v>
      </c>
      <c r="CB17" s="192"/>
      <c r="CC17" s="796" t="str">
        <f t="shared" si="7"/>
        <v>小泊/準・特</v>
      </c>
      <c r="CD17" s="839">
        <f t="shared" si="8"/>
        <v>0</v>
      </c>
      <c r="CE17" s="796">
        <f>IF(OR(BT18="",BT18=0),0,110)</f>
        <v>0</v>
      </c>
      <c r="CF17" s="796">
        <v>330</v>
      </c>
      <c r="CG17" s="834">
        <v>110</v>
      </c>
      <c r="CH17" s="796">
        <v>15</v>
      </c>
      <c r="CI17" s="829" t="str">
        <f t="shared" si="0"/>
        <v>小・泊</v>
      </c>
      <c r="CJ17" s="829">
        <f t="shared" si="1"/>
        <v>0</v>
      </c>
      <c r="CK17" s="825">
        <f t="shared" si="2"/>
        <v>0</v>
      </c>
      <c r="CL17" s="192"/>
      <c r="CM17" s="192"/>
      <c r="CN17" s="192"/>
      <c r="CO17" s="192"/>
      <c r="CP17" s="192"/>
      <c r="CQ17" s="192"/>
      <c r="CR17" s="192"/>
      <c r="CS17" s="192"/>
      <c r="CT17" s="192"/>
      <c r="CU17" s="192"/>
      <c r="CV17" s="192"/>
      <c r="CW17" s="192"/>
      <c r="CX17" s="192"/>
      <c r="CY17" s="192"/>
    </row>
    <row r="18" spans="1:103" ht="26.1" customHeight="1">
      <c r="A18" s="326">
        <v>6</v>
      </c>
      <c r="B18" s="2021"/>
      <c r="C18" s="2022"/>
      <c r="D18" s="2022"/>
      <c r="E18" s="2022"/>
      <c r="F18" s="2022"/>
      <c r="G18" s="2023"/>
      <c r="H18" s="327"/>
      <c r="I18" s="328"/>
      <c r="J18" s="329"/>
      <c r="K18" s="2012"/>
      <c r="L18" s="2013"/>
      <c r="M18" s="2014"/>
      <c r="N18" s="331">
        <v>16</v>
      </c>
      <c r="O18" s="2021"/>
      <c r="P18" s="2022"/>
      <c r="Q18" s="2022"/>
      <c r="R18" s="2022"/>
      <c r="S18" s="2022"/>
      <c r="T18" s="2023"/>
      <c r="U18" s="327"/>
      <c r="V18" s="328"/>
      <c r="W18" s="329"/>
      <c r="X18" s="2012"/>
      <c r="Y18" s="2013"/>
      <c r="Z18" s="2014"/>
      <c r="AA18" s="326">
        <v>6</v>
      </c>
      <c r="AB18" s="2009" t="s">
        <v>2845</v>
      </c>
      <c r="AC18" s="2010"/>
      <c r="AD18" s="2010"/>
      <c r="AE18" s="2010"/>
      <c r="AF18" s="2010"/>
      <c r="AG18" s="2011"/>
      <c r="AH18" s="365">
        <v>1</v>
      </c>
      <c r="AI18" s="751"/>
      <c r="AJ18" s="329" t="s">
        <v>535</v>
      </c>
      <c r="AK18" s="2056"/>
      <c r="AL18" s="2057"/>
      <c r="AM18" s="2058"/>
      <c r="AN18" s="331">
        <v>16</v>
      </c>
      <c r="AO18" s="2009" t="s">
        <v>2845</v>
      </c>
      <c r="AP18" s="2010"/>
      <c r="AQ18" s="2010"/>
      <c r="AR18" s="2010"/>
      <c r="AS18" s="2010"/>
      <c r="AT18" s="2011"/>
      <c r="AU18" s="365">
        <v>1</v>
      </c>
      <c r="AV18" s="751"/>
      <c r="AW18" s="329" t="s">
        <v>533</v>
      </c>
      <c r="AX18" s="2012" t="s">
        <v>536</v>
      </c>
      <c r="AY18" s="2013"/>
      <c r="AZ18" s="2014"/>
      <c r="BA18" s="67">
        <v>6</v>
      </c>
      <c r="BB18" s="68">
        <f t="shared" si="9"/>
        <v>0</v>
      </c>
      <c r="BC18" s="192">
        <f t="shared" si="10"/>
        <v>0</v>
      </c>
      <c r="BD18" s="70">
        <f t="shared" si="11"/>
        <v>0</v>
      </c>
      <c r="BE18" s="70">
        <f t="shared" si="11"/>
        <v>0</v>
      </c>
      <c r="BF18" s="840" t="s">
        <v>509</v>
      </c>
      <c r="BG18" s="842">
        <f>COUNTIF($K$13:$M$22,"準・特")</f>
        <v>0</v>
      </c>
      <c r="BH18" s="841">
        <f>COUNTIF($X$13:$Z$22,"準・特")</f>
        <v>0</v>
      </c>
      <c r="BI18" s="842">
        <f>COUNTIF($K$55:$M$84,"準・特")</f>
        <v>0</v>
      </c>
      <c r="BJ18" s="842">
        <f>COUNTIF($X$55:$Z$84,"準・特")</f>
        <v>0</v>
      </c>
      <c r="BK18" s="842">
        <f>COUNTIF($K$98:$M$127,"準・特")</f>
        <v>0</v>
      </c>
      <c r="BL18" s="842">
        <f>COUNTIF($X$98:$Z$127,"準・特")</f>
        <v>0</v>
      </c>
      <c r="BM18" s="842">
        <f>COUNTIF($K$141:$M$170,"準・特")</f>
        <v>0</v>
      </c>
      <c r="BN18" s="842">
        <f>COUNTIF($X$141:$Z$170,"準・特")</f>
        <v>0</v>
      </c>
      <c r="BO18" s="842">
        <f>COUNTIF($K$184:$M$213,"準・特")</f>
        <v>0</v>
      </c>
      <c r="BP18" s="842">
        <f>COUNTIF($X$184:$Z$213,"準・特")</f>
        <v>0</v>
      </c>
      <c r="BQ18" s="842">
        <f>COUNTIF($K$227:$M$256,"準・特")</f>
        <v>0</v>
      </c>
      <c r="BR18" s="842">
        <f>COUNTIF($X$227:$Z$256,"準・特")</f>
        <v>0</v>
      </c>
      <c r="BS18" s="842">
        <f t="shared" si="12"/>
        <v>0</v>
      </c>
      <c r="BT18" s="842">
        <f>SUMIFS($H$13:$H$22,$J$13:$J$22,"小",$K$13:$K$22,"準・特")+SUMIFS($U$13:$U$22,$W$13:$W$22,"小",$X$13:$X$22,"準・特")+SUMIFS($H$55:$H$84,$J$55:$J$84,"小",$K$55:$K$84,"準・特")+SUMIFS($U$55:$U$84,$W$55:$W$84,"小",$X$55:$X$84,"準・特")+SUMIFS($H$98:$H$127,$J$98:$J$127,"小",$K$98:$K$127,"準・特")+SUMIFS($H$141:$H$170,$J$141:$J$170,"小",$K$141:$K$170,"準・特")+SUMIFS($H$184:$H$213,$J$184:$J$213,"小",$K$184:$K$213,"準・特")+SUMIFS($H$227:$H$256,$J$227:$J$256,"小",$K$227:$K$256,"準・特")+SUMIFS($U$98:$U$127,$W$98:$W$127,"小",$X$98:$X$127,"準・特")+SUMIFS($U$141:$U$170,$W$141:$W$170,"小",$X$141:$X$170,"準・特")+SUMIFS($U$184:$U$213,$W$184:$W$213,"小",$X$184:$X$213,"準・特")+SUMIFS($U$227:$U$256,$W$227:$W$256,"小",$X$227:$X$256,"準・特")</f>
        <v>0</v>
      </c>
      <c r="BU18" s="842">
        <f>SUMIFS($I$13:$I$22,$J$13:$J$22,"小",$K$13:$K$22,"準・特")+SUMIFS($V$13:$V$22,$W$13:$W$22,"小",$X$13:$X$22,"準・特")+SUMIFS($I$55:$I$84,$J$55:$J$84,"小",$K$55:$K$84,"準・特")+SUMIFS($V$55:$V$84,$W$55:$W$84,"小",$X$55:$X$84,"準・特")+SUMIFS($I$98:$I$127,$J$98:$J$127,"小",$K$98:$K$127,"準・特")+SUMIFS($I$141:$I$170,$J$141:$J$170,"小",$K$141:$K$170,"準・特")+SUMIFS($I$184:$I$213,$J$184:$J$213,"小",$K$184:$K$213,"準・特")+SUMIFS($I$227:$I$256,$J$227:$J$256,"小",$K$227:$K$256,"準・特")+SUMIFS($V$98:$V$127,$W$98:$W$127,"小",$X$98:$X$127,"準・特")+SUMIFS($V$141:$V$170,$W$141:$W$170,"小",$X$141:$X$170,"準・特")+SUMIFS($V$184:$V$213,$W$184:$W$213,"小",$X$184:$X$213,"準・特")+SUMIFS($V$227:$V$256,$W$227:$W$256,"小",$X$227:$X$256,"準・特")</f>
        <v>0</v>
      </c>
      <c r="BV18" s="842">
        <f>SUMIFS($H$13:$H$22,$J$13:$J$22,"中",$K$13:$K$22,"準・特")+SUMIFS($U$13:$U$22,$W$13:$W$22,"中",$X$13:$X$22,"準・特")+SUMIFS($H$55:$H$84,$J$55:$J$84,"中",$K$55:$K$84,"準・特")+SUMIFS($U$55:$U$84,$W$55:$W$84,"中",$X$55:$X$84,"準・特")+SUMIFS($H$98:$H$127,$J$98:$J$127,"中",$K$98:$K$127,"準・特")+SUMIFS($H$141:$H$170,$J$141:$J$170,"中",$K$141:$K$170,"準・特")+SUMIFS($H$184:$H$213,$J$184:$J$213,"中",$K$184:$K$213,"準・特")+SUMIFS($H$227:$H$256,$J$227:$J$256,"中",$K$227:$K$256,"準・特")+SUMIFS($U$98:$U$127,$W$98:$W$127,"中",$X$98:$X$127,"準・特")+SUMIFS($U$141:$U$170,$W$141:$W$170,"中",$X$141:$X$170,"準・特")+SUMIFS($U$184:$U$213,$W$184:$W$213,"中",$X$184:$X$213,"準・特")+SUMIFS($U$227:$U$256,$W$227:$W$256,"中",$X$227:$X$256,"準・特")</f>
        <v>0</v>
      </c>
      <c r="BW18" s="842">
        <f>SUMIFS($I$13:$I$22,$J$13:$J$22,"中",$K$13:$K$22,"準・特")+SUMIFS($V$13:$V$22,$W$13:$W$22,"中",$X$13:$X$22,"準・特")+SUMIFS($I$55:$I$84,$J$55:$J$84,"中",$K$55:$K$84,"準・特")+SUMIFS($V$55:$V$84,$W$55:$W$84,"中",$X$55:$X$84,"準・特")+SUMIFS($I$98:$I$127,$J$98:$J$127,"中",$K$98:$K$127,"準・特")+SUMIFS($I$141:$I$170,$J$141:$J$170,"中",$K$141:$K$170,"準・特")+SUMIFS($I$184:$I$213,$J$184:$J$213,"中",$K$184:$K$213,"準・特")+SUMIFS($I$227:$I$256,$J$227:$J$256,"中",$K$227:$K$256,"準・特")+SUMIFS($V$98:$V$127,$W$98:$W$127,"中",$X$98:$X$127,"準・特")+SUMIFS($V$141:$V$170,$W$141:$W$170,"中",$X$141:$X$170,"準・特")+SUMIFS($V$184:$V$213,$W$184:$W$213,"中",$X$184:$X$213,"準・特")+SUMIFS($V$227:$V$256,$W$227:$W$256,"中",$X$227:$X$256,"準・特")</f>
        <v>0</v>
      </c>
      <c r="BX18" s="834"/>
      <c r="BY18" s="834"/>
      <c r="BZ18" s="834"/>
      <c r="CA18" s="834"/>
      <c r="CB18" s="192"/>
      <c r="CC18" s="796" t="str">
        <f t="shared" si="7"/>
        <v>小泊/準・身</v>
      </c>
      <c r="CD18" s="839">
        <f t="shared" si="8"/>
        <v>0</v>
      </c>
      <c r="CE18" s="796">
        <f>IF(OR(BT19="",BT19=0),0,109)</f>
        <v>0</v>
      </c>
      <c r="CF18" s="796">
        <v>330</v>
      </c>
      <c r="CG18" s="834">
        <v>109</v>
      </c>
      <c r="CH18" s="192"/>
      <c r="CI18" s="827"/>
      <c r="CJ18" s="796"/>
      <c r="CK18" s="192"/>
      <c r="CL18" s="192"/>
      <c r="CM18" s="192"/>
      <c r="CN18" s="192"/>
      <c r="CO18" s="192"/>
      <c r="CP18" s="192"/>
      <c r="CQ18" s="192"/>
      <c r="CR18" s="192"/>
      <c r="CS18" s="192"/>
      <c r="CT18" s="192"/>
      <c r="CU18" s="192"/>
      <c r="CV18" s="192"/>
      <c r="CW18" s="192"/>
      <c r="CX18" s="192"/>
      <c r="CY18" s="192"/>
    </row>
    <row r="19" spans="1:103" ht="26.1" customHeight="1">
      <c r="A19" s="326">
        <v>7</v>
      </c>
      <c r="B19" s="2021"/>
      <c r="C19" s="2022"/>
      <c r="D19" s="2022"/>
      <c r="E19" s="2022"/>
      <c r="F19" s="2022"/>
      <c r="G19" s="2023"/>
      <c r="H19" s="327"/>
      <c r="I19" s="328"/>
      <c r="J19" s="329"/>
      <c r="K19" s="2012"/>
      <c r="L19" s="2013"/>
      <c r="M19" s="2014"/>
      <c r="N19" s="331">
        <v>17</v>
      </c>
      <c r="O19" s="2021"/>
      <c r="P19" s="2022"/>
      <c r="Q19" s="2022"/>
      <c r="R19" s="2022"/>
      <c r="S19" s="2022"/>
      <c r="T19" s="2023"/>
      <c r="U19" s="327"/>
      <c r="V19" s="328"/>
      <c r="W19" s="329"/>
      <c r="X19" s="2012"/>
      <c r="Y19" s="2013"/>
      <c r="Z19" s="2014"/>
      <c r="AA19" s="326">
        <v>7</v>
      </c>
      <c r="AB19" s="2009" t="s">
        <v>283</v>
      </c>
      <c r="AC19" s="2010"/>
      <c r="AD19" s="2010"/>
      <c r="AE19" s="2010"/>
      <c r="AF19" s="2010"/>
      <c r="AG19" s="2011"/>
      <c r="AH19" s="365">
        <v>1</v>
      </c>
      <c r="AI19" s="751"/>
      <c r="AJ19" s="329" t="s">
        <v>535</v>
      </c>
      <c r="AK19" s="2056"/>
      <c r="AL19" s="2057"/>
      <c r="AM19" s="2058"/>
      <c r="AN19" s="331">
        <v>17</v>
      </c>
      <c r="AO19" s="2009" t="s">
        <v>283</v>
      </c>
      <c r="AP19" s="2010"/>
      <c r="AQ19" s="2010"/>
      <c r="AR19" s="2010"/>
      <c r="AS19" s="2010"/>
      <c r="AT19" s="2011"/>
      <c r="AU19" s="365">
        <v>1</v>
      </c>
      <c r="AV19" s="751"/>
      <c r="AW19" s="329" t="s">
        <v>533</v>
      </c>
      <c r="AX19" s="2056"/>
      <c r="AY19" s="2057"/>
      <c r="AZ19" s="2058"/>
      <c r="BA19" s="67">
        <v>7</v>
      </c>
      <c r="BB19" s="68">
        <f t="shared" si="9"/>
        <v>0</v>
      </c>
      <c r="BC19" s="192">
        <f t="shared" si="10"/>
        <v>0</v>
      </c>
      <c r="BD19" s="70">
        <f t="shared" si="11"/>
        <v>0</v>
      </c>
      <c r="BE19" s="70">
        <f t="shared" si="11"/>
        <v>0</v>
      </c>
      <c r="BF19" s="796" t="s">
        <v>510</v>
      </c>
      <c r="BG19" s="839">
        <f>COUNTIF($K$13:$M$22,"準・身")</f>
        <v>0</v>
      </c>
      <c r="BH19" s="843">
        <f>COUNTIF($X$13:$Z$22,"準・身")</f>
        <v>0</v>
      </c>
      <c r="BI19" s="839">
        <f>COUNTIF($K$55:$M$84,"準・身")</f>
        <v>0</v>
      </c>
      <c r="BJ19" s="839">
        <f>COUNTIF($X$55:$Z$84,"準・身")</f>
        <v>0</v>
      </c>
      <c r="BK19" s="839">
        <f>COUNTIF($K$98:$M$127,"準・身")</f>
        <v>0</v>
      </c>
      <c r="BL19" s="839">
        <f>COUNTIF($X$98:$Z$127,"準・身")</f>
        <v>0</v>
      </c>
      <c r="BM19" s="839">
        <f>COUNTIF($K$141:$M$170,"準・身")</f>
        <v>0</v>
      </c>
      <c r="BN19" s="839">
        <f>COUNTIF($X$141:$Z$170,"準・身")</f>
        <v>0</v>
      </c>
      <c r="BO19" s="839">
        <f>COUNTIF($K$184:$M$213,"準・身")</f>
        <v>0</v>
      </c>
      <c r="BP19" s="839">
        <f>COUNTIF($X$184:$Z$213,"準・身")</f>
        <v>0</v>
      </c>
      <c r="BQ19" s="839">
        <f>COUNTIF($K$227:$M$256,"準・身")</f>
        <v>0</v>
      </c>
      <c r="BR19" s="839">
        <f>COUNTIF($X$227:$Z$256,"準・身")</f>
        <v>0</v>
      </c>
      <c r="BS19" s="839">
        <f t="shared" si="12"/>
        <v>0</v>
      </c>
      <c r="BT19" s="844">
        <f>SUMIFS($H$13:$H$22,$J$13:$J$22,"小",$K$13:$K$22,"準・身")+SUMIFS($U$13:$U$22,$W$13:$W$22,"小",$X$13:$X$22,"準・身")+SUMIFS($H$55:$H$84,$J$55:$J$84,"小",$K$55:$K$84,"準・身")+SUMIFS($U$55:$U$84,$W$55:$W$84,"小",$X$55:$X$84,"準・身")+SUMIFS($H$98:$H$127,$J$98:$J$127,"小",$K$98:$K$127,"準・身")+SUMIFS($H$141:$H$170,$J$141:$J$170,"小",$K$141:$K$170,"準・身")+SUMIFS($H$184:$H$213,$J$184:$J$213,"小",$K$184:$K$213,"準・身")+SUMIFS($H$227:$H$256,$J$227:$J$256,"小",$K$227:$K$256,"準・身")+SUMIFS($U$98:$U$127,$W$98:$W$127,"小",$X$98:$X$127,"準・身")+SUMIFS($U$141:$U$170,$W$141:$W$170,"小",$X$141:$X$170,"準・身")+SUMIFS($U$184:$U$213,$W$184:$W$213,"小",$X$184:$X$213,"準・身")+SUMIFS($U$227:$U$256,$W$227:$W$256,"小",$X$227:$X$256,"準・身")</f>
        <v>0</v>
      </c>
      <c r="BU19" s="844">
        <f>SUMIFS($I$13:$I$22,$J$13:$J$22,"小",$K$13:$K$22,"準・身")+SUMIFS($V$13:$V$22,$W$13:$W$22,"小",$X$13:$X$22,"準・身")+SUMIFS($I$55:$I$84,$J$55:$J$84,"小",$K$55:$K$84,"準・身")+SUMIFS($V$55:$V$84,$W$55:$W$84,"小",$X$55:$X$84,"準・身")+SUMIFS($I$98:$I$127,$J$98:$J$127,"小",$K$98:$K$127,"準・身")+SUMIFS($I$141:$I$170,$J$141:$J$170,"小",$K$141:$K$170,"準・身")+SUMIFS($I$184:$I$213,$J$184:$J$213,"小",$K$184:$K$213,"準・身")+SUMIFS($I$227:$I$256,$J$227:$J$256,"小",$K$227:$K$256,"準・身")+SUMIFS($V$98:$V$127,$W$98:$W$127,"小",$X$98:$X$127,"準・身")+SUMIFS($V$141:$V$170,$W$141:$W$170,"小",$X$141:$X$170,"準・身")+SUMIFS($V$184:$V$213,$W$184:$W$213,"小",$X$184:$X$213,"準・身")+SUMIFS($V$227:$V$256,$W$227:$W$256,"小",$X$227:$X$256,"準・身")</f>
        <v>0</v>
      </c>
      <c r="BV19" s="844">
        <f>SUMIFS($H$13:$H$22,$J$13:$J$22,"中",$K$13:$K$22,"準・身")+SUMIFS($U$13:$U$22,$W$13:$W$22,"中",$X$13:$X$22,"準・身")+SUMIFS($H$55:$H$84,$J$55:$J$84,"中",$K$55:$K$84,"準・身")+SUMIFS($U$55:$U$84,$W$55:$W$84,"中",$X$55:$X$84,"準・身")+SUMIFS($H$98:$H$127,$J$98:$J$127,"中",$K$98:$K$127,"準・身")+SUMIFS($H$141:$H$170,$J$141:$J$170,"中",$K$141:$K$170,"準・身")+SUMIFS($H$184:$H$213,$J$184:$J$213,"中",$K$184:$K$213,"準・身")+SUMIFS($H$227:$H$256,$J$227:$J$256,"中",$K$227:$K$256,"準・身")+SUMIFS($U$98:$U$127,$W$98:$W$127,"中",$X$98:$X$127,"準・身")+SUMIFS($U$141:$U$170,$W$141:$W$170,"中",$X$141:$X$170,"準・身")+SUMIFS($U$184:$U$213,$W$184:$W$213,"中",$X$184:$X$213,"準・身")+SUMIFS($U$227:$U$256,$W$227:$W$256,"中",$X$227:$X$256,"準・身")</f>
        <v>0</v>
      </c>
      <c r="BW19" s="844">
        <f>SUMIFS($I$13:$I$22,$J$13:$J$22,"中",$K$13:$K$22,"準・身")+SUMIFS($V$13:$V$22,$W$13:$W$22,"中",$X$13:$X$22,"準・身")+SUMIFS($I$55:$I$84,$J$55:$J$84,"中",$K$55:$K$84,"準・身")+SUMIFS($V$55:$V$84,$W$55:$W$84,"中",$X$55:$X$84,"準・身")+SUMIFS($I$98:$I$127,$J$98:$J$127,"中",$K$98:$K$127,"準・身")+SUMIFS($I$141:$I$170,$J$141:$J$170,"中",$K$141:$K$170,"準・身")+SUMIFS($I$184:$I$213,$J$184:$J$213,"中",$K$184:$K$213,"準・身")+SUMIFS($I$227:$I$256,$J$227:$J$256,"中",$K$227:$K$256,"準・身")+SUMIFS($V$98:$V$127,$W$98:$W$127,"中",$X$98:$X$127,"準・身")+SUMIFS($V$141:$V$170,$W$141:$W$170,"中",$X$141:$X$170,"準・身")+SUMIFS($V$184:$V$213,$W$184:$W$213,"中",$X$184:$X$213,"準・身")+SUMIFS($V$227:$V$256,$W$227:$W$256,"中",$X$227:$X$256,"準・身")</f>
        <v>0</v>
      </c>
      <c r="BX19" s="192"/>
      <c r="BY19" s="192"/>
      <c r="BZ19" s="192"/>
      <c r="CA19" s="192"/>
      <c r="CB19" s="192"/>
      <c r="CC19" s="796" t="str">
        <f t="shared" si="7"/>
        <v>小泊/準・療</v>
      </c>
      <c r="CD19" s="839">
        <f t="shared" si="8"/>
        <v>0</v>
      </c>
      <c r="CE19" s="796">
        <f>IF(OR(BT20="",BT20=0),0,108)</f>
        <v>0</v>
      </c>
      <c r="CF19" s="796">
        <v>330</v>
      </c>
      <c r="CG19" s="834">
        <v>108</v>
      </c>
      <c r="CH19" s="192"/>
      <c r="CI19" s="796"/>
      <c r="CJ19" s="796"/>
      <c r="CK19" s="192"/>
      <c r="CL19" s="192"/>
      <c r="CM19" s="192"/>
      <c r="CN19" s="192"/>
      <c r="CO19" s="192"/>
      <c r="CP19" s="192"/>
      <c r="CQ19" s="192"/>
      <c r="CR19" s="192"/>
      <c r="CS19" s="192"/>
      <c r="CT19" s="192"/>
      <c r="CU19" s="192"/>
      <c r="CV19" s="192"/>
      <c r="CW19" s="192"/>
      <c r="CX19" s="192"/>
      <c r="CY19" s="192"/>
    </row>
    <row r="20" spans="1:103" ht="26.1" customHeight="1">
      <c r="A20" s="326">
        <v>8</v>
      </c>
      <c r="B20" s="2021"/>
      <c r="C20" s="2022"/>
      <c r="D20" s="2022"/>
      <c r="E20" s="2022"/>
      <c r="F20" s="2022"/>
      <c r="G20" s="2023"/>
      <c r="H20" s="327"/>
      <c r="I20" s="328"/>
      <c r="J20" s="329"/>
      <c r="K20" s="2012"/>
      <c r="L20" s="2013"/>
      <c r="M20" s="2014"/>
      <c r="N20" s="331">
        <v>18</v>
      </c>
      <c r="O20" s="2021"/>
      <c r="P20" s="2022"/>
      <c r="Q20" s="2022"/>
      <c r="R20" s="2022"/>
      <c r="S20" s="2022"/>
      <c r="T20" s="2023"/>
      <c r="U20" s="327"/>
      <c r="V20" s="328"/>
      <c r="W20" s="329"/>
      <c r="X20" s="2012"/>
      <c r="Y20" s="2013"/>
      <c r="Z20" s="2014"/>
      <c r="AA20" s="326">
        <v>8</v>
      </c>
      <c r="AB20" s="2009" t="s">
        <v>2845</v>
      </c>
      <c r="AC20" s="2010"/>
      <c r="AD20" s="2010"/>
      <c r="AE20" s="2010"/>
      <c r="AF20" s="2010"/>
      <c r="AG20" s="2011"/>
      <c r="AH20" s="365">
        <v>1</v>
      </c>
      <c r="AI20" s="751"/>
      <c r="AJ20" s="329" t="s">
        <v>535</v>
      </c>
      <c r="AK20" s="2056"/>
      <c r="AL20" s="2057"/>
      <c r="AM20" s="2058"/>
      <c r="AN20" s="331">
        <v>18</v>
      </c>
      <c r="AO20" s="2009" t="s">
        <v>2845</v>
      </c>
      <c r="AP20" s="2010"/>
      <c r="AQ20" s="2010"/>
      <c r="AR20" s="2010"/>
      <c r="AS20" s="2010"/>
      <c r="AT20" s="2011"/>
      <c r="AU20" s="365">
        <v>1</v>
      </c>
      <c r="AV20" s="751"/>
      <c r="AW20" s="329" t="s">
        <v>533</v>
      </c>
      <c r="AX20" s="2056"/>
      <c r="AY20" s="2057"/>
      <c r="AZ20" s="2058"/>
      <c r="BA20" s="67">
        <v>8</v>
      </c>
      <c r="BB20" s="68">
        <f t="shared" si="9"/>
        <v>0</v>
      </c>
      <c r="BC20" s="192">
        <f t="shared" si="10"/>
        <v>0</v>
      </c>
      <c r="BD20" s="70">
        <f t="shared" si="11"/>
        <v>0</v>
      </c>
      <c r="BE20" s="70">
        <f t="shared" si="11"/>
        <v>0</v>
      </c>
      <c r="BF20" s="796" t="s">
        <v>511</v>
      </c>
      <c r="BG20" s="839">
        <f>COUNTIF($K$13:$M$22,"準・療")</f>
        <v>0</v>
      </c>
      <c r="BH20" s="843">
        <f>COUNTIF($X$13:$Z$22,"準・療")</f>
        <v>0</v>
      </c>
      <c r="BI20" s="839">
        <f>COUNTIF($K$55:$M$84,"準・療")</f>
        <v>0</v>
      </c>
      <c r="BJ20" s="839">
        <f>COUNTIF($X$55:$Z$84,"準・療")</f>
        <v>0</v>
      </c>
      <c r="BK20" s="839">
        <f>COUNTIF($K$98:$M$127,"準・療")</f>
        <v>0</v>
      </c>
      <c r="BL20" s="839">
        <f>COUNTIF($X$98:$Z$127,"準・療")</f>
        <v>0</v>
      </c>
      <c r="BM20" s="839">
        <f>COUNTIF($K$141:$M$170,"準・療")</f>
        <v>0</v>
      </c>
      <c r="BN20" s="839">
        <f>COUNTIF($X$141:$Z$170,"準・療")</f>
        <v>0</v>
      </c>
      <c r="BO20" s="839">
        <f>COUNTIF($K$184:$M$213,"準・療")</f>
        <v>0</v>
      </c>
      <c r="BP20" s="839">
        <f>COUNTIF($X$184:$Z$213,"準・療")</f>
        <v>0</v>
      </c>
      <c r="BQ20" s="839">
        <f>COUNTIF($K$227:$M$256,"準・療")</f>
        <v>0</v>
      </c>
      <c r="BR20" s="839">
        <f>COUNTIF($X$227:$Z$256,"準・療")</f>
        <v>0</v>
      </c>
      <c r="BS20" s="839">
        <f t="shared" si="12"/>
        <v>0</v>
      </c>
      <c r="BT20" s="844">
        <f>SUMIFS($H$13:$H$22,$J$13:$J$22,"小",$K$13:$K$22,"準・療")+SUMIFS($U$13:$U$22,$W$13:$W$22,"小",$X$13:$X$22,"準・療")+SUMIFS($H$55:$H$84,$J$55:$J$84,"小",$K$55:$K$84,"準・療")+SUMIFS($U$55:$U$84,$W$55:$W$84,"小",$X$55:$X$84,"準・療")+SUMIFS($H$98:$H$127,$J$98:$J$127,"小",$K$98:$K$127,"準・療")+SUMIFS($H$141:$H$170,$J$141:$J$170,"小",$K$141:$K$170,"準・療")+SUMIFS($H$184:$H$213,$J$184:$J$213,"小",$K$184:$K$213,"準・療")+SUMIFS($H$227:$H$256,$J$227:$J$256,"小",$K$227:$K$256,"準・療")+SUMIFS($U$98:$U$127,$W$98:$W$127,"小",$X$98:$X$127,"準・療")+SUMIFS($U$141:$U$170,$W$141:$W$170,"小",$X$141:$X$170,"準・療")+SUMIFS($U$184:$U$213,$W$184:$W$213,"小",$X$184:$X$213,"準・療")+SUMIFS($U$227:$U$256,$W$227:$W$256,"小",$X$227:$X$256,"準・療")</f>
        <v>0</v>
      </c>
      <c r="BU20" s="844">
        <f>SUMIFS($I$13:$I$22,$J$13:$J$22,"小",$K$13:$K$22,"準・身")+SUMIFS($V$13:$V$22,$W$13:$W$22,"小",$X$13:$X$22,"準・身")+SUMIFS($I$55:$I$84,$J$55:$J$84,"小",$K$55:$K$84,"準・身")+SUMIFS($V$55:$V$84,$W$55:$W$84,"小",$X$55:$X$84,"準・療")+SUMIFS($I$98:$I$127,$J$98:$J$127,"小",$K$98:$K$127,"準・療")+SUMIFS($I$141:$I$170,$J$141:$J$170,"小",$K$141:$K$170,"準・療")+SUMIFS($I$184:$I$213,$J$184:$J$213,"小",$K$184:$K$213,"準・療")+SUMIFS($I$227:$I$256,$J$227:$J$256,"小",$K$227:$K$256,"準・療")+SUMIFS($V$98:$V$127,$W$98:$W$127,"小",$X$98:$X$127,"準・療")+SUMIFS($V$141:$V$170,$W$141:$W$170,"小",$X$141:$X$170,"準・療")+SUMIFS($V$184:$V$213,$W$184:$W$213,"小",$X$184:$X$213,"準・療")+SUMIFS($V$227:$V$256,$W$227:$W$256,"小",$X$227:$X$256,"準・療")</f>
        <v>0</v>
      </c>
      <c r="BV20" s="844">
        <f>SUMIFS($H$13:$H$22,$J$13:$J$22,"中",$K$13:$K$22,"準・身")+SUMIFS($U$13:$U$22,$W$13:$W$22,"中",$X$13:$X$22,"準・身")+SUMIFS($H$55:$H$84,$J$55:$J$84,"中",$K$55:$K$84,"準・身")+SUMIFS($U$55:$U$84,$W$55:$W$84,"中",$X$55:$X$84,"準・療")+SUMIFS($H$98:$H$127,$J$98:$J$127,"中",$K$98:$K$127,"準・療")+SUMIFS($H$141:$H$170,$J$141:$J$170,"中",$K$141:$K$170,"準・療")+SUMIFS($H$184:$H$213,$J$184:$J$213,"中",$K$184:$K$213,"準・療")+SUMIFS($H$227:$H$256,$J$227:$J$256,"中",$K$227:$K$256,"準・療")+SUMIFS($U$98:$U$127,$W$98:$W$127,"中",$X$98:$X$127,"準・療")+SUMIFS($U$141:$U$170,$W$141:$W$170,"中",$X$141:$X$170,"準・療")+SUMIFS($U$184:$U$213,$W$184:$W$213,"中",$X$184:$X$213,"準・療")+SUMIFS($U$227:$U$256,$W$227:$W$256,"中",$X$227:$X$256,"準・療")</f>
        <v>0</v>
      </c>
      <c r="BW20" s="844">
        <f>SUMIFS($I$13:$I$22,$J$13:$J$22,"中",$K$13:$K$22,"準・身")+SUMIFS($V$13:$V$22,$W$13:$W$22,"中",$X$13:$X$22,"準・身")+SUMIFS($I$55:$I$84,$J$55:$J$84,"中",$K$55:$K$84,"準・身")+SUMIFS($V$55:$V$84,$W$55:$W$84,"中",$X$55:$X$84,"準・療")+SUMIFS($I$98:$I$127,$J$98:$J$127,"中",$K$98:$K$127,"準・療")+SUMIFS($I$141:$I$170,$J$141:$J$170,"中",$K$141:$K$170,"準・療")+SUMIFS($I$184:$I$213,$J$184:$J$213,"中",$K$184:$K$213,"準・療")+SUMIFS($I$227:$I$256,$J$227:$J$256,"中",$K$227:$K$256,"準・療")+SUMIFS($V$98:$V$127,$W$98:$W$127,"中",$X$98:$X$127,"準・療")+SUMIFS($V$141:$V$170,$W$141:$W$170,"中",$X$141:$X$170,"準・療")+SUMIFS($V$184:$V$213,$W$184:$W$213,"中",$X$184:$X$213,"準・療")+SUMIFS($V$227:$V$256,$W$227:$W$256,"中",$X$227:$X$256,"準・療")</f>
        <v>0</v>
      </c>
      <c r="BX20" s="192"/>
      <c r="BY20" s="192"/>
      <c r="BZ20" s="192"/>
      <c r="CA20" s="192"/>
      <c r="CB20" s="192"/>
      <c r="CC20" s="796" t="str">
        <f t="shared" si="7"/>
        <v>小泊/準・精</v>
      </c>
      <c r="CD20" s="839">
        <f t="shared" si="8"/>
        <v>0</v>
      </c>
      <c r="CE20" s="796">
        <f>IF(OR(BT21="",BT21=0),0,107)</f>
        <v>0</v>
      </c>
      <c r="CF20" s="796">
        <v>330</v>
      </c>
      <c r="CG20" s="834">
        <v>107</v>
      </c>
      <c r="CH20" s="192"/>
      <c r="CI20" s="796"/>
      <c r="CJ20" s="796"/>
      <c r="CK20" s="192"/>
      <c r="CL20" s="192"/>
      <c r="CM20" s="192"/>
      <c r="CN20" s="192"/>
      <c r="CO20" s="192"/>
      <c r="CP20" s="192"/>
      <c r="CQ20" s="192"/>
      <c r="CR20" s="192"/>
      <c r="CS20" s="192"/>
      <c r="CT20" s="192"/>
      <c r="CU20" s="192"/>
      <c r="CV20" s="192"/>
      <c r="CW20" s="192"/>
      <c r="CX20" s="192"/>
      <c r="CY20" s="192"/>
    </row>
    <row r="21" spans="1:103" ht="26.1" customHeight="1">
      <c r="A21" s="326">
        <v>9</v>
      </c>
      <c r="B21" s="2021"/>
      <c r="C21" s="2022"/>
      <c r="D21" s="2022"/>
      <c r="E21" s="2022"/>
      <c r="F21" s="2022"/>
      <c r="G21" s="2023"/>
      <c r="H21" s="327"/>
      <c r="I21" s="328"/>
      <c r="J21" s="329"/>
      <c r="K21" s="2012"/>
      <c r="L21" s="2013"/>
      <c r="M21" s="2014"/>
      <c r="N21" s="331">
        <v>19</v>
      </c>
      <c r="O21" s="2021"/>
      <c r="P21" s="2022"/>
      <c r="Q21" s="2022"/>
      <c r="R21" s="2022"/>
      <c r="S21" s="2022"/>
      <c r="T21" s="2023"/>
      <c r="U21" s="327"/>
      <c r="V21" s="328"/>
      <c r="W21" s="329"/>
      <c r="X21" s="2012"/>
      <c r="Y21" s="2013"/>
      <c r="Z21" s="2014"/>
      <c r="AA21" s="326">
        <v>9</v>
      </c>
      <c r="AB21" s="2009" t="s">
        <v>283</v>
      </c>
      <c r="AC21" s="2010"/>
      <c r="AD21" s="2010"/>
      <c r="AE21" s="2010"/>
      <c r="AF21" s="2010"/>
      <c r="AG21" s="2011"/>
      <c r="AH21" s="365">
        <v>1</v>
      </c>
      <c r="AI21" s="751"/>
      <c r="AJ21" s="329" t="s">
        <v>535</v>
      </c>
      <c r="AK21" s="2056"/>
      <c r="AL21" s="2057"/>
      <c r="AM21" s="2058"/>
      <c r="AN21" s="331">
        <v>19</v>
      </c>
      <c r="AO21" s="2009" t="s">
        <v>283</v>
      </c>
      <c r="AP21" s="2010"/>
      <c r="AQ21" s="2010"/>
      <c r="AR21" s="2010"/>
      <c r="AS21" s="2010"/>
      <c r="AT21" s="2011"/>
      <c r="AU21" s="752"/>
      <c r="AV21" s="366">
        <v>1</v>
      </c>
      <c r="AW21" s="329" t="s">
        <v>532</v>
      </c>
      <c r="AX21" s="2056"/>
      <c r="AY21" s="2057"/>
      <c r="AZ21" s="2058"/>
      <c r="BA21" s="67">
        <v>9</v>
      </c>
      <c r="BB21" s="68">
        <f t="shared" si="9"/>
        <v>0</v>
      </c>
      <c r="BC21" s="192">
        <f t="shared" si="10"/>
        <v>0</v>
      </c>
      <c r="BD21" s="70">
        <f t="shared" si="11"/>
        <v>0</v>
      </c>
      <c r="BE21" s="71">
        <f t="shared" si="11"/>
        <v>0</v>
      </c>
      <c r="BF21" s="796" t="s">
        <v>512</v>
      </c>
      <c r="BG21" s="839">
        <f>COUNTIF($K$13:$M$22,"準・精")</f>
        <v>0</v>
      </c>
      <c r="BH21" s="843">
        <f>COUNTIF($X$13:$Z$22,"準・精")</f>
        <v>0</v>
      </c>
      <c r="BI21" s="839">
        <f>COUNTIF($K$55:$M$84,"準・精")</f>
        <v>0</v>
      </c>
      <c r="BJ21" s="839">
        <f>COUNTIF($X$55:$Z$84,"準・精")</f>
        <v>0</v>
      </c>
      <c r="BK21" s="839">
        <f>COUNTIF($K$98:$M$127,"準・精")</f>
        <v>0</v>
      </c>
      <c r="BL21" s="839">
        <f>COUNTIF($X$98:$Z$127,"準・精")</f>
        <v>0</v>
      </c>
      <c r="BM21" s="839">
        <f>COUNTIF($K$141:$M$170,"準・精")</f>
        <v>0</v>
      </c>
      <c r="BN21" s="839">
        <f>COUNTIF($X$141:$Z$170,"準・精")</f>
        <v>0</v>
      </c>
      <c r="BO21" s="839">
        <f>COUNTIF($K$184:$M$213,"準・精")</f>
        <v>0</v>
      </c>
      <c r="BP21" s="839">
        <f>COUNTIF($X$184:$Z$213,"準・精")</f>
        <v>0</v>
      </c>
      <c r="BQ21" s="839">
        <f>COUNTIF($K$227:$M$256,"準・精")</f>
        <v>0</v>
      </c>
      <c r="BR21" s="839">
        <f>COUNTIF($X$227:$Z$256,"準・精")</f>
        <v>0</v>
      </c>
      <c r="BS21" s="839">
        <f t="shared" si="12"/>
        <v>0</v>
      </c>
      <c r="BT21" s="844">
        <f>SUMIFS($H$13:$H$22,$J$13:$J$22,"小",$K$13:$K$22,"準・精")+SUMIFS($U$13:$U$22,$W$13:$W$22,"小",$X$13:$X$22,"準・精")+SUMIFS($H$55:$H$84,$J$55:$J$84,"小",$K$55:$K$84,"準・精")+SUMIFS($U$55:$U$84,$W$55:$W$84,"小",$X$55:$X$84,"準・精")+SUMIFS($H$98:$H$127,$J$98:$J$127,"小",$K$98:$K$127,"準・精")+SUMIFS($H$141:$H$170,$J$141:$J$170,"小",$K$141:$K$170,"準・精")+SUMIFS($H$184:$H$213,$J$184:$J$213,"小",$K$184:$K$213,"準・精")+SUMIFS($H$227:$H$256,$J$227:$J$256,"小",$K$227:$K$256,"準・精")+SUMIFS($U$98:$U$127,$W$98:$W$127,"小",$X$98:$X$127,"準・精")+SUMIFS($U$141:$U$170,$W$141:$W$170,"小",$X$141:$X$170,"準・精")+SUMIFS($U$184:$U$213,$W$184:$W$213,"小",$X$184:$X$213,"準・精")+SUMIFS($U$227:$U$256,$W$227:$W$256,"小",$X$227:$X$256,"準・精")</f>
        <v>0</v>
      </c>
      <c r="BU21" s="844">
        <f>SUMIFS($I$13:$I$22,$J$13:$J$22,"小",$K$13:$K$22,"準・精")+SUMIFS($V$13:$V$22,$W$13:$W$22,"小",$X$13:$X$22,"準・精")+SUMIFS($I$55:$I$84,$J$55:$J$84,"小",$K$55:$K$84,"準・精")+SUMIFS($V$55:$V$84,$W$55:$W$84,"小",$X$55:$X$84,"準・精")+SUMIFS($I$98:$I$127,$J$98:$J$127,"小",$K$98:$K$127,"準・精")+SUMIFS($I$141:$I$170,$J$141:$J$170,"小",$K$141:$K$170,"準・精")+SUMIFS($I$184:$I$213,$J$184:$J$213,"小",$K$184:$K$213,"準・精")+SUMIFS($I$227:$I$256,$J$227:$J$256,"小",$K$227:$K$256,"準・精")+SUMIFS($V$98:$V$127,$W$98:$W$127,"小",$X$98:$X$127,"準・精")+SUMIFS($V$141:$V$170,$W$141:$W$170,"小",$X$141:$X$170,"準・精")+SUMIFS($V$184:$V$213,$W$184:$W$213,"小",$X$184:$X$213,"準・精")+SUMIFS($V$227:$V$256,$W$227:$W$256,"小",$X$227:$X$256,"準・精")</f>
        <v>0</v>
      </c>
      <c r="BV21" s="844">
        <f>SUMIFS($H$13:$H$22,$J$13:$J$22,"中",$K$13:$K$22,"準・精")+SUMIFS($U$13:$U$22,$W$13:$W$22,"中",$X$13:$X$22,"準・精")+SUMIFS($H$55:$H$84,$J$55:$J$84,"中",$K$55:$K$84,"準・精")+SUMIFS($U$55:$U$84,$W$55:$W$84,"中",$X$55:$X$84,"準・精")+SUMIFS($H$98:$H$127,$J$98:$J$127,"中",$K$98:$K$127,"準・精")+SUMIFS($H$141:$H$170,$J$141:$J$170,"中",$K$141:$K$170,"準・精")+SUMIFS($H$184:$H$213,$J$184:$J$213,"中",$K$184:$K$213,"準・精")+SUMIFS($H$227:$H$256,$J$227:$J$256,"中",$K$227:$K$256,"準・精")+SUMIFS($U$98:$U$127,$W$98:$W$127,"中",$X$98:$X$127,"準・精")+SUMIFS($U$141:$U$170,$W$141:$W$170,"中",$X$141:$X$170,"準・精")+SUMIFS($U$184:$U$213,$W$184:$W$213,"中",$X$184:$X$213,"準・精")+SUMIFS($U$227:$U$256,$W$227:$W$256,"中",$X$227:$X$256,"準・精")</f>
        <v>0</v>
      </c>
      <c r="BW21" s="844">
        <f>SUMIFS($I$13:$I$22,$J$13:$J$22,"中",$K$13:$K$22,"準・精")+SUMIFS($V$13:$V$22,$W$13:$W$22,"中",$X$13:$X$22,"準・精")+SUMIFS($I$55:$I$84,$J$55:$J$84,"中",$K$55:$K$84,"準・精")+SUMIFS($V$55:$V$84,$W$55:$W$84,"中",$X$55:$X$84,"準・精")+SUMIFS($I$98:$I$127,$J$98:$J$127,"中",$K$98:$K$127,"準・精")+SUMIFS($I$141:$I$170,$J$141:$J$170,"中",$K$141:$K$170,"準・精")+SUMIFS($I$184:$I$213,$J$184:$J$213,"中",$K$184:$K$213,"準・精")+SUMIFS($I$227:$I$256,$J$227:$J$256,"中",$K$227:$K$256,"準・精")+SUMIFS($V$98:$V$127,$W$98:$W$127,"中",$X$98:$X$127,"準・精")+SUMIFS($V$141:$V$170,$W$141:$W$170,"中",$X$141:$X$170,"準・精")+SUMIFS($V$184:$V$213,$W$184:$W$213,"中",$X$184:$X$213,"準・精")+SUMIFS($V$227:$V$256,$W$227:$W$256,"中",$X$227:$X$256,"準・精")</f>
        <v>0</v>
      </c>
      <c r="BX21" s="192"/>
      <c r="BY21" s="192"/>
      <c r="BZ21" s="192"/>
      <c r="CA21" s="192"/>
      <c r="CB21" s="192"/>
      <c r="CC21" s="796" t="str">
        <f t="shared" si="7"/>
        <v>小泊/特・身</v>
      </c>
      <c r="CD21" s="839">
        <f t="shared" si="8"/>
        <v>0</v>
      </c>
      <c r="CE21" s="796">
        <f>IF(OR(BT22="",BT22=0),0,106)</f>
        <v>0</v>
      </c>
      <c r="CF21" s="796">
        <v>330</v>
      </c>
      <c r="CG21" s="834">
        <v>106</v>
      </c>
      <c r="CH21" s="192"/>
      <c r="CI21" s="796"/>
      <c r="CJ21" s="796"/>
      <c r="CK21" s="192"/>
      <c r="CL21" s="192"/>
      <c r="CM21" s="192"/>
      <c r="CN21" s="192"/>
      <c r="CO21" s="192"/>
      <c r="CP21" s="192"/>
      <c r="CQ21" s="192"/>
      <c r="CR21" s="192"/>
      <c r="CS21" s="192"/>
      <c r="CT21" s="192"/>
      <c r="CU21" s="192"/>
      <c r="CV21" s="192"/>
      <c r="CW21" s="192"/>
      <c r="CX21" s="192"/>
      <c r="CY21" s="192"/>
    </row>
    <row r="22" spans="1:103" ht="26.1" customHeight="1">
      <c r="A22" s="326">
        <v>10</v>
      </c>
      <c r="B22" s="2021"/>
      <c r="C22" s="2022"/>
      <c r="D22" s="2022"/>
      <c r="E22" s="2022"/>
      <c r="F22" s="2022"/>
      <c r="G22" s="2023"/>
      <c r="H22" s="327"/>
      <c r="I22" s="328"/>
      <c r="J22" s="329"/>
      <c r="K22" s="2012"/>
      <c r="L22" s="2013"/>
      <c r="M22" s="2014"/>
      <c r="N22" s="331">
        <v>20</v>
      </c>
      <c r="O22" s="2021"/>
      <c r="P22" s="2022"/>
      <c r="Q22" s="2022"/>
      <c r="R22" s="2022"/>
      <c r="S22" s="2022"/>
      <c r="T22" s="2023"/>
      <c r="U22" s="327"/>
      <c r="V22" s="328"/>
      <c r="W22" s="329"/>
      <c r="X22" s="2012"/>
      <c r="Y22" s="2013"/>
      <c r="Z22" s="2014"/>
      <c r="AA22" s="326">
        <v>10</v>
      </c>
      <c r="AB22" s="2009" t="s">
        <v>2845</v>
      </c>
      <c r="AC22" s="2010"/>
      <c r="AD22" s="2010"/>
      <c r="AE22" s="2010"/>
      <c r="AF22" s="2010"/>
      <c r="AG22" s="2011"/>
      <c r="AH22" s="365">
        <v>1</v>
      </c>
      <c r="AI22" s="751"/>
      <c r="AJ22" s="329" t="s">
        <v>535</v>
      </c>
      <c r="AK22" s="2056"/>
      <c r="AL22" s="2057"/>
      <c r="AM22" s="2058"/>
      <c r="AN22" s="331">
        <v>20</v>
      </c>
      <c r="AO22" s="2009" t="s">
        <v>2845</v>
      </c>
      <c r="AP22" s="2010"/>
      <c r="AQ22" s="2010"/>
      <c r="AR22" s="2010"/>
      <c r="AS22" s="2010"/>
      <c r="AT22" s="2011"/>
      <c r="AU22" s="752"/>
      <c r="AV22" s="366">
        <v>2</v>
      </c>
      <c r="AW22" s="329" t="s">
        <v>532</v>
      </c>
      <c r="AX22" s="2056"/>
      <c r="AY22" s="2057"/>
      <c r="AZ22" s="2058"/>
      <c r="BA22" s="67">
        <v>10</v>
      </c>
      <c r="BB22" s="68">
        <f t="shared" si="9"/>
        <v>0</v>
      </c>
      <c r="BC22" s="192">
        <f t="shared" si="10"/>
        <v>0</v>
      </c>
      <c r="BD22" s="70">
        <f t="shared" si="11"/>
        <v>0</v>
      </c>
      <c r="BE22" s="71">
        <f t="shared" si="11"/>
        <v>0</v>
      </c>
      <c r="BF22" s="796" t="s">
        <v>513</v>
      </c>
      <c r="BG22" s="839">
        <f>COUNTIF($K$13:$M$22,"特・身")</f>
        <v>0</v>
      </c>
      <c r="BH22" s="843">
        <f>COUNTIF($X$13:$Z$22,"準・身")</f>
        <v>0</v>
      </c>
      <c r="BI22" s="839">
        <f>COUNTIF($K$55:$M$84,"準・身")</f>
        <v>0</v>
      </c>
      <c r="BJ22" s="839">
        <f>COUNTIF($X$55:$Z$84,"準・身")</f>
        <v>0</v>
      </c>
      <c r="BK22" s="839">
        <f>COUNTIF($K$98:$M$127,"準・身")</f>
        <v>0</v>
      </c>
      <c r="BL22" s="839">
        <f>COUNTIF($X$98:$Z$127,"準・身")</f>
        <v>0</v>
      </c>
      <c r="BM22" s="839">
        <f>COUNTIF($K$141:$M$170,"準・身")</f>
        <v>0</v>
      </c>
      <c r="BN22" s="839">
        <f>COUNTIF($X$141:$Z$170,"準・身")</f>
        <v>0</v>
      </c>
      <c r="BO22" s="839">
        <f>COUNTIF($K$184:$M$213,"準・身")</f>
        <v>0</v>
      </c>
      <c r="BP22" s="839">
        <f>COUNTIF($X$184:$Z$213,"準・身")</f>
        <v>0</v>
      </c>
      <c r="BQ22" s="839">
        <f>COUNTIF($K$227:$M$256,"準・身")</f>
        <v>0</v>
      </c>
      <c r="BR22" s="839">
        <f>COUNTIF($X$227:$Z$256,"準・身")</f>
        <v>0</v>
      </c>
      <c r="BS22" s="839">
        <f t="shared" si="12"/>
        <v>0</v>
      </c>
      <c r="BT22" s="844">
        <f>SUMIFS($H$13:$H$22,$J$13:$J$22,"小",$K$13:$K$22,"特・身")+SUMIFS($U$13:$U$22,$W$13:$W$22,"小",$X$13:$X$22,"特・身")+SUMIFS($H$55:$H$84,$J$55:$J$84,"小",$K$55:$K$84,"特・身")+SUMIFS($U$55:$U$84,$W$55:$W$84,"小",$X$55:$X$84,"特・身")+SUMIFS($H$98:$H$127,$J$98:$J$127,"小",$K$98:$K$127,"特・身")+SUMIFS($H$141:$H$170,$J$141:$J$170,"小",$K$141:$K$170,"特・身")+SUMIFS($H$184:$H$213,$J$184:$J$213,"小",$K$184:$K$213,"特・身")+SUMIFS($H$227:$H$256,$J$227:$J$256,"小",$K$227:$K$256,"特・身")+SUMIFS($U$98:$U$127,$W$98:$W$127,"小",$X$98:$X$127,"特・身")+SUMIFS($U$141:$U$170,$W$141:$W$170,"小",$X$141:$X$170,"特・身")+SUMIFS($U$184:$U$213,$W$184:$W$213,"小",$X$184:$X$213,"特・身")+SUMIFS($U$227:$U$256,$W$227:$W$256,"小",$X$227:$X$256,"特・身")</f>
        <v>0</v>
      </c>
      <c r="BU22" s="844">
        <f>SUMIFS($I$13:$I$22,$J$13:$J$22,"小",$K$13:$K$22,"特・身")+SUMIFS($V$13:$V$22,$W$13:$W$22,"小",$X$13:$X$22,"特・身")+SUMIFS($I$55:$I$84,$J$55:$J$84,"小",$K$55:$K$84,"特・身")+SUMIFS($V$55:$V$84,$W$55:$W$84,"小",$X$55:$X$84,"特・身")+SUMIFS($I$98:$I$127,$J$98:$J$127,"小",$K$98:$K$127,"特・身")+SUMIFS($I$141:$I$170,$J$141:$J$170,"小",$K$141:$K$170,"特・身")+SUMIFS($I$184:$I$213,$J$184:$J$213,"小",$K$184:$K$213,"特・身")+SUMIFS($I$227:$I$256,$J$227:$J$256,"小",$K$227:$K$256,"特・身")+SUMIFS($V$98:$V$127,$W$98:$W$127,"小",$X$98:$X$127,"特・身")+SUMIFS($V$141:$V$170,$W$141:$W$170,"小",$X$141:$X$170,"特・身")+SUMIFS($V$184:$V$213,$W$184:$W$213,"小",$X$184:$X$213,"特・身")+SUMIFS($V$227:$V$256,$W$227:$W$256,"小",$X$227:$X$256,"特・身")</f>
        <v>0</v>
      </c>
      <c r="BV22" s="844">
        <f>SUMIFS($H$13:$H$22,$J$13:$J$22,"中",$K$13:$K$22,"特・身")+SUMIFS($U$13:$U$22,$W$13:$W$22,"中",$X$13:$X$22,"特・身")+SUMIFS($H$55:$H$84,$J$55:$J$84,"中",$K$55:$K$84,"特・身")+SUMIFS($U$55:$U$84,$W$55:$W$84,"中",$X$55:$X$84,"特・身")+SUMIFS($H$98:$H$127,$J$98:$J$127,"中",$K$98:$K$127,"特・身")+SUMIFS($H$141:$H$170,$J$141:$J$170,"中",$K$141:$K$170,"特・身")+SUMIFS($H$184:$H$213,$J$184:$J$213,"中",$K$184:$K$213,"特・身")+SUMIFS($H$227:$H$256,$J$227:$J$256,"中",$K$227:$K$256,"特・身")+SUMIFS($U$98:$U$127,$W$98:$W$127,"中",$X$98:$X$127,"特・身")+SUMIFS($U$141:$U$170,$W$141:$W$170,"中",$X$141:$X$170,"特・身")+SUMIFS($U$184:$U$213,$W$184:$W$213,"中",$X$184:$X$213,"特・身")+SUMIFS($U$227:$U$256,$W$227:$W$256,"中",$X$227:$X$256,"特・身")</f>
        <v>0</v>
      </c>
      <c r="BW22" s="844">
        <f>SUMIFS($I$13:$I$22,$J$13:$J$22,"中",$K$13:$K$22,"特・身")+SUMIFS($V$13:$V$22,$W$13:$W$22,"中",$X$13:$X$22,"特・身")+SUMIFS($I$55:$I$84,$J$55:$J$84,"中",$K$55:$K$84,"特・身")+SUMIFS($V$55:$V$84,$W$55:$W$84,"中",$X$55:$X$84,"特・身")+SUMIFS($I$98:$I$127,$J$98:$J$127,"中",$K$98:$K$127,"特・身")+SUMIFS($I$141:$I$170,$J$141:$J$170,"中",$K$141:$K$170,"特・身")+SUMIFS($I$184:$I$213,$J$184:$J$213,"中",$K$184:$K$213,"特・身")+SUMIFS($I$227:$I$256,$J$227:$J$256,"中",$K$227:$K$256,"特・身")+SUMIFS($V$98:$V$127,$W$98:$W$127,"中",$X$98:$X$127,"特・身")+SUMIFS($V$141:$V$170,$W$141:$W$170,"中",$X$141:$X$170,"特・身")+SUMIFS($V$184:$V$213,$W$184:$W$213,"中",$X$184:$X$213,"特・身")+SUMIFS($V$227:$V$256,$W$227:$W$256,"中",$X$227:$X$256,"特・身")</f>
        <v>0</v>
      </c>
      <c r="BX22" s="192"/>
      <c r="BY22" s="192"/>
      <c r="BZ22" s="192"/>
      <c r="CA22" s="192"/>
      <c r="CB22" s="192"/>
      <c r="CC22" s="796" t="str">
        <f t="shared" si="7"/>
        <v>小泊/特・療</v>
      </c>
      <c r="CD22" s="839">
        <f t="shared" si="8"/>
        <v>0</v>
      </c>
      <c r="CE22" s="796">
        <f>IF(OR(BT23="",BT23=0),0,105)</f>
        <v>0</v>
      </c>
      <c r="CF22" s="796">
        <v>330</v>
      </c>
      <c r="CG22" s="834">
        <v>105</v>
      </c>
      <c r="CH22" s="192"/>
      <c r="CI22" s="796"/>
      <c r="CJ22" s="796"/>
      <c r="CK22" s="192"/>
      <c r="CL22" s="192"/>
      <c r="CM22" s="192"/>
      <c r="CN22" s="192"/>
      <c r="CO22" s="192"/>
      <c r="CP22" s="192"/>
      <c r="CQ22" s="192"/>
      <c r="CR22" s="192"/>
      <c r="CS22" s="192"/>
      <c r="CT22" s="192"/>
      <c r="CU22" s="192"/>
      <c r="CV22" s="192"/>
      <c r="CW22" s="192"/>
      <c r="CX22" s="192"/>
      <c r="CY22" s="192"/>
    </row>
    <row r="23" spans="1:103" ht="26.1" customHeight="1">
      <c r="A23" s="332"/>
      <c r="B23" s="333"/>
      <c r="C23" s="333"/>
      <c r="D23" s="333"/>
      <c r="E23" s="333"/>
      <c r="F23" s="333"/>
      <c r="G23" s="333"/>
      <c r="H23" s="621">
        <f>COUNTA(H13:H22,U13:U22,H55:H84,U55:U84,H98:H127,U98:U127,H141:H170,U141:U170,H184:H213,U184:U213,H227:H256,U227:U256)</f>
        <v>0</v>
      </c>
      <c r="I23" s="622">
        <f>COUNTA(I13:I22,V13:V22,I55:I84,V55:V84,I98:I127,V98:V127,I141:I170,V141:V170,I184:I213,V184:V213,I227:I256,V227:V256)</f>
        <v>0</v>
      </c>
      <c r="J23" s="334"/>
      <c r="K23" s="334"/>
      <c r="L23" s="335"/>
      <c r="M23" s="335"/>
      <c r="N23" s="332"/>
      <c r="O23" s="333"/>
      <c r="P23" s="333"/>
      <c r="Q23" s="333"/>
      <c r="R23" s="333"/>
      <c r="S23" s="333"/>
      <c r="T23" s="333"/>
      <c r="U23" s="334"/>
      <c r="V23" s="334"/>
      <c r="W23" s="334"/>
      <c r="X23" s="334"/>
      <c r="Y23" s="335"/>
      <c r="Z23" s="335"/>
      <c r="AA23" s="345"/>
      <c r="AB23" s="333"/>
      <c r="AC23" s="333"/>
      <c r="AD23" s="333"/>
      <c r="AE23" s="333"/>
      <c r="AF23" s="333"/>
      <c r="AG23" s="333"/>
      <c r="AH23" s="334"/>
      <c r="AI23" s="334"/>
      <c r="AJ23" s="360"/>
      <c r="AK23" s="360"/>
      <c r="AL23" s="316"/>
      <c r="AM23" s="316"/>
      <c r="AN23" s="345"/>
      <c r="AO23" s="333"/>
      <c r="AP23" s="333"/>
      <c r="AQ23" s="333"/>
      <c r="AR23" s="333"/>
      <c r="AS23" s="333"/>
      <c r="AT23" s="333"/>
      <c r="AU23" s="334"/>
      <c r="AV23" s="334"/>
      <c r="AW23" s="360"/>
      <c r="AX23" s="360"/>
      <c r="AY23" s="316"/>
      <c r="AZ23" s="316"/>
      <c r="BA23" s="67">
        <v>11</v>
      </c>
      <c r="BB23" s="68">
        <f t="shared" ref="BB23:BB32" si="13">COUNTA(U13:V13)</f>
        <v>0</v>
      </c>
      <c r="BC23" s="192">
        <f t="shared" ref="BC23:BC32" si="14">COUNTA(X13)</f>
        <v>0</v>
      </c>
      <c r="BD23" s="70">
        <f t="shared" ref="BD23:BE32" si="15">BB23-COUNTA(U13)</f>
        <v>0</v>
      </c>
      <c r="BE23" s="71">
        <f t="shared" si="15"/>
        <v>0</v>
      </c>
      <c r="BF23" s="796" t="s">
        <v>514</v>
      </c>
      <c r="BG23" s="839">
        <f>COUNTIF($K$13:$M$22,"特・療")</f>
        <v>0</v>
      </c>
      <c r="BH23" s="843">
        <f>COUNTIF($X$13:$Z$22,"特・療")</f>
        <v>0</v>
      </c>
      <c r="BI23" s="839">
        <f>COUNTIF($K$55:$M$84,"特・療")</f>
        <v>0</v>
      </c>
      <c r="BJ23" s="839">
        <f>COUNTIF($X$55:$Z$84,"特・療")</f>
        <v>0</v>
      </c>
      <c r="BK23" s="839">
        <f>COUNTIF($K$98:$M$127,"特・療")</f>
        <v>0</v>
      </c>
      <c r="BL23" s="839">
        <f>COUNTIF($X$98:$Z$127,"特・療")</f>
        <v>0</v>
      </c>
      <c r="BM23" s="839">
        <f>COUNTIF($K$141:$M$170,"特・療")</f>
        <v>0</v>
      </c>
      <c r="BN23" s="839">
        <f>COUNTIF($X$141:$Z$170,"特・療")</f>
        <v>0</v>
      </c>
      <c r="BO23" s="839">
        <f>COUNTIF($K$184:$M$213,"特・療")</f>
        <v>0</v>
      </c>
      <c r="BP23" s="839">
        <f>COUNTIF($X$184:$Z$213,"特・療")</f>
        <v>0</v>
      </c>
      <c r="BQ23" s="839">
        <f>COUNTIF($K$227:$M$256,"特・療")</f>
        <v>0</v>
      </c>
      <c r="BR23" s="839">
        <f>COUNTIF($X$227:$Z$256,"特・療")</f>
        <v>0</v>
      </c>
      <c r="BS23" s="839">
        <f t="shared" si="12"/>
        <v>0</v>
      </c>
      <c r="BT23" s="844">
        <f>SUMIFS($H$13:$H$22,$J$13:$J$22,"小",$K$13:$K$22,"特・療")+SUMIFS($U$13:$U$22,$W$13:$W$22,"小",$X$13:$X$22,"特・療")+SUMIFS($H$55:$H$84,$J$55:$J$84,"小",$K$55:$K$84,"特・療")+SUMIFS($U$55:$U$84,$W$55:$W$84,"小",$X$55:$X$84,"特・療")+SUMIFS($H$98:$H$127,$J$98:$J$127,"小",$K$98:$K$127,"特・療")+SUMIFS($H$141:$H$170,$J$141:$J$170,"小",$K$141:$K$170,"特・療")+SUMIFS($H$184:$H$213,$J$184:$J$213,"小",$K$184:$K$213,"特・療")+SUMIFS($H$227:$H$256,$J$227:$J$256,"小",$K$227:$K$256,"特・療")+SUMIFS($U$98:$U$127,$W$98:$W$127,"小",$X$98:$X$127,"特・療")+SUMIFS($U$141:$U$170,$W$141:$W$170,"小",$X$141:$X$170,"特・療")+SUMIFS($U$184:$U$213,$W$184:$W$213,"小",$X$184:$X$213,"特・療")+SUMIFS($U$227:$U$256,$W$227:$W$256,"小",$X$227:$X$256,"特・療")</f>
        <v>0</v>
      </c>
      <c r="BU23" s="844">
        <f>SUMIFS($I$13:$I$22,$J$13:$J$22,"小",$K$13:$K$22,"特・療")+SUMIFS($V$13:$V$22,$W$13:$W$22,"小",$X$13:$X$22,"特・療")+SUMIFS($I$55:$I$84,$J$55:$J$84,"小",$K$55:$K$84,"特・療")+SUMIFS($V$55:$V$84,$W$55:$W$84,"小",$X$55:$X$84,"特・療")+SUMIFS($I$98:$I$127,$J$98:$J$127,"小",$K$98:$K$127,"特・療")+SUMIFS($I$141:$I$170,$J$141:$J$170,"小",$K$141:$K$170,"特・療")+SUMIFS($I$184:$I$213,$J$184:$J$213,"小",$K$184:$K$213,"特・療")+SUMIFS($I$227:$I$256,$J$227:$J$256,"小",$K$227:$K$256,"特・療")+SUMIFS($V$98:$V$127,$W$98:$W$127,"小",$X$98:$X$127,"特・療")+SUMIFS($V$141:$V$170,$W$141:$W$170,"小",$X$141:$X$170,"特・療")+SUMIFS($V$184:$V$213,$W$184:$W$213,"小",$X$184:$X$213,"特・療")+SUMIFS($V$227:$V$256,$W$227:$W$256,"小",$X$227:$X$256,"特・療")</f>
        <v>0</v>
      </c>
      <c r="BV23" s="844">
        <f>SUMIFS($H$13:$H$22,$J$13:$J$22,"中",$K$13:$K$22,"特・療")+SUMIFS($U$13:$U$22,$W$13:$W$22,"中",$X$13:$X$22,"特・療")+SUMIFS($H$55:$H$84,$J$55:$J$84,"中",$K$55:$K$84,"特・療")+SUMIFS($U$55:$U$84,$W$55:$W$84,"中",$X$55:$X$84,"特・療")+SUMIFS($H$98:$H$127,$J$98:$J$127,"中",$K$98:$K$127,"特・療")+SUMIFS($H$141:$H$170,$J$141:$J$170,"中",$K$141:$K$170,"特・療")+SUMIFS($H$184:$H$213,$J$184:$J$213,"中",$K$184:$K$213,"特・療")+SUMIFS($H$227:$H$256,$J$227:$J$256,"中",$K$227:$K$256,"特・療")+SUMIFS($U$98:$U$127,$W$98:$W$127,"中",$X$98:$X$127,"特・療")+SUMIFS($U$141:$U$170,$W$141:$W$170,"中",$X$141:$X$170,"特・療")+SUMIFS($U$184:$U$213,$W$184:$W$213,"中",$X$184:$X$213,"特・療")+SUMIFS($U$227:$U$256,$W$227:$W$256,"中",$X$227:$X$256,"特・療")</f>
        <v>0</v>
      </c>
      <c r="BW23" s="844">
        <f>SUMIFS($I$13:$I$22,$J$13:$J$22,"中",$K$13:$K$22,"特・療")+SUMIFS($V$13:$V$22,$W$13:$W$22,"中",$X$13:$X$22,"特・療")+SUMIFS($I$55:$I$84,$J$55:$J$84,"中",$K$55:$K$84,"特・療")+SUMIFS($V$55:$V$84,$W$55:$W$84,"中",$X$55:$X$84,"特・療")+SUMIFS($I$98:$I$127,$J$98:$J$127,"中",$K$98:$K$127,"特・療")+SUMIFS($I$141:$I$170,$J$141:$J$170,"中",$K$141:$K$170,"特・療")+SUMIFS($I$184:$I$213,$J$184:$J$213,"中",$K$184:$K$213,"特・療")+SUMIFS($I$227:$I$256,$J$227:$J$256,"中",$K$227:$K$256,"特・療")+SUMIFS($V$98:$V$127,$W$98:$W$127,"中",$X$98:$X$127,"特・療")+SUMIFS($V$141:$V$170,$W$141:$W$170,"中",$X$141:$X$170,"特・療")+SUMIFS($V$184:$V$213,$W$184:$W$213,"中",$X$184:$X$213,"特・療")+SUMIFS($V$227:$V$256,$W$227:$W$256,"中",$X$227:$X$256,"特・療")</f>
        <v>0</v>
      </c>
      <c r="BX23" s="192"/>
      <c r="BY23" s="192"/>
      <c r="BZ23" s="192"/>
      <c r="CA23" s="192"/>
      <c r="CB23" s="192"/>
      <c r="CC23" s="796" t="str">
        <f t="shared" si="7"/>
        <v>小泊/特・精</v>
      </c>
      <c r="CD23" s="839">
        <f t="shared" si="8"/>
        <v>0</v>
      </c>
      <c r="CE23" s="796">
        <f>IF(OR(BT24="",BT24=0),0,104)</f>
        <v>0</v>
      </c>
      <c r="CF23" s="796">
        <v>330</v>
      </c>
      <c r="CG23" s="834">
        <v>104</v>
      </c>
      <c r="CH23" s="192"/>
      <c r="CI23" s="796"/>
      <c r="CJ23" s="796"/>
      <c r="CK23" s="192"/>
      <c r="CL23" s="192"/>
      <c r="CM23" s="192"/>
      <c r="CN23" s="192"/>
      <c r="CO23" s="192"/>
      <c r="CP23" s="192"/>
      <c r="CQ23" s="192"/>
      <c r="CR23" s="192"/>
      <c r="CS23" s="192"/>
      <c r="CT23" s="192"/>
      <c r="CU23" s="192"/>
      <c r="CV23" s="192"/>
      <c r="CW23" s="192"/>
      <c r="CX23" s="192"/>
      <c r="CY23" s="192"/>
    </row>
    <row r="24" spans="1:103" s="8" customFormat="1" ht="24" customHeight="1">
      <c r="A24" s="2015" t="s">
        <v>2953</v>
      </c>
      <c r="B24" s="2015"/>
      <c r="C24" s="2015"/>
      <c r="D24" s="2015"/>
      <c r="E24" s="2015"/>
      <c r="F24" s="2015"/>
      <c r="G24" s="2015"/>
      <c r="H24" s="2015"/>
      <c r="I24" s="2015"/>
      <c r="J24" s="2015"/>
      <c r="K24" s="2015"/>
      <c r="L24" s="2015"/>
      <c r="M24" s="2015"/>
      <c r="N24" s="2015"/>
      <c r="O24" s="2015"/>
      <c r="P24" s="2015"/>
      <c r="Q24" s="2015"/>
      <c r="R24" s="2015"/>
      <c r="S24" s="2015"/>
      <c r="T24" s="2015"/>
      <c r="U24" s="2015"/>
      <c r="V24" s="2015"/>
      <c r="W24" s="2015"/>
      <c r="X24" s="2015"/>
      <c r="Y24" s="2015"/>
      <c r="Z24" s="2015"/>
      <c r="AA24" s="2015" t="s">
        <v>2953</v>
      </c>
      <c r="AB24" s="2015"/>
      <c r="AC24" s="2015"/>
      <c r="AD24" s="2015"/>
      <c r="AE24" s="2015"/>
      <c r="AF24" s="2015"/>
      <c r="AG24" s="2015"/>
      <c r="AH24" s="2015"/>
      <c r="AI24" s="2015"/>
      <c r="AJ24" s="2015"/>
      <c r="AK24" s="2015"/>
      <c r="AL24" s="2015"/>
      <c r="AM24" s="2015"/>
      <c r="AN24" s="2015"/>
      <c r="AO24" s="2015"/>
      <c r="AP24" s="2015"/>
      <c r="AQ24" s="2015"/>
      <c r="AR24" s="2015"/>
      <c r="AS24" s="2015"/>
      <c r="AT24" s="2015"/>
      <c r="AU24" s="2015"/>
      <c r="AV24" s="2015"/>
      <c r="AW24" s="2015"/>
      <c r="AX24" s="2015"/>
      <c r="AY24" s="2015"/>
      <c r="AZ24" s="2015"/>
      <c r="BA24" s="67">
        <v>12</v>
      </c>
      <c r="BB24" s="68">
        <f t="shared" si="13"/>
        <v>0</v>
      </c>
      <c r="BC24" s="192">
        <f t="shared" si="14"/>
        <v>0</v>
      </c>
      <c r="BD24" s="70">
        <f t="shared" si="15"/>
        <v>0</v>
      </c>
      <c r="BE24" s="71">
        <f t="shared" si="15"/>
        <v>0</v>
      </c>
      <c r="BF24" s="829" t="s">
        <v>515</v>
      </c>
      <c r="BG24" s="839">
        <f>COUNTIF($K$13:$M$22,"特・精")</f>
        <v>0</v>
      </c>
      <c r="BH24" s="843">
        <f>COUNTIF($X$13:$Z$22,"特・精")</f>
        <v>0</v>
      </c>
      <c r="BI24" s="839">
        <f>COUNTIF($K$55:$M$84,"特・精")</f>
        <v>0</v>
      </c>
      <c r="BJ24" s="839">
        <f>COUNTIF($X$55:$Z$84,"特・精")</f>
        <v>0</v>
      </c>
      <c r="BK24" s="839">
        <f>COUNTIF($K$98:$M$127,"特・精")</f>
        <v>0</v>
      </c>
      <c r="BL24" s="839">
        <f>COUNTIF($X$98:$Z$127,"特・精")</f>
        <v>0</v>
      </c>
      <c r="BM24" s="839">
        <f>COUNTIF($K$141:$M$170,"特・精")</f>
        <v>0</v>
      </c>
      <c r="BN24" s="839">
        <f>COUNTIF($X$141:$Z$170,"特・精")</f>
        <v>0</v>
      </c>
      <c r="BO24" s="839">
        <f>COUNTIF($K$184:$M$213,"特・精")</f>
        <v>0</v>
      </c>
      <c r="BP24" s="839">
        <f>COUNTIF($X$184:$Z$213,"特・精")</f>
        <v>0</v>
      </c>
      <c r="BQ24" s="839">
        <f>COUNTIF($K$227:$M$256,"特・精")</f>
        <v>0</v>
      </c>
      <c r="BR24" s="839">
        <f>COUNTIF($X$227:$Z$256,"特・精")</f>
        <v>0</v>
      </c>
      <c r="BS24" s="839">
        <f t="shared" si="12"/>
        <v>0</v>
      </c>
      <c r="BT24" s="844">
        <f>SUMIFS($H$13:$H$22,$J$13:$J$22,"小",$K$13:$K$22,"特・精")+SUMIFS($U$13:$U$22,$W$13:$W$22,"小",$X$13:$X$22,"特・精")+SUMIFS($H$55:$H$84,$J$55:$J$84,"小",$K$55:$K$84,"特・精")+SUMIFS($U$55:$U$84,$W$55:$W$84,"小",$X$55:$X$84,"特・精")+SUMIFS($H$98:$H$127,$J$98:$J$127,"小",$K$98:$K$127,"特・精")+SUMIFS($H$141:$H$170,$J$141:$J$170,"小",$K$141:$K$170,"特・精")+SUMIFS($H$184:$H$213,$J$184:$J$213,"小",$K$184:$K$213,"特・精")+SUMIFS($H$227:$H$256,$J$227:$J$256,"小",$K$227:$K$256,"特・精")+SUMIFS($U$98:$U$127,$W$98:$W$127,"小",$X$98:$X$127,"特・精")+SUMIFS($U$141:$U$170,$W$141:$W$170,"小",$X$141:$X$170,"特・精")+SUMIFS($U$184:$U$213,$W$184:$W$213,"小",$X$184:$X$213,"特・精")+SUMIFS($U$227:$U$256,$W$227:$W$256,"小",$X$227:$X$256,"特・精")</f>
        <v>0</v>
      </c>
      <c r="BU24" s="844">
        <f>SUMIFS($I$13:$I$22,$J$13:$J$22,"小",$K$13:$K$22,"特・精")+SUMIFS($V$13:$V$22,$W$13:$W$22,"小",$X$13:$X$22,"特・精")+SUMIFS($I$55:$I$84,$J$55:$J$84,"小",$K$55:$K$84,"特・精")+SUMIFS($V$55:$V$84,$W$55:$W$84,"小",$X$55:$X$84,"特・精")+SUMIFS($I$98:$I$127,$J$98:$J$127,"小",$K$98:$K$127,"特・精")+SUMIFS($I$141:$I$170,$J$141:$J$170,"小",$K$141:$K$170,"特・精")+SUMIFS($I$184:$I$213,$J$184:$J$213,"小",$K$184:$K$213,"特・精")+SUMIFS($I$227:$I$256,$J$227:$J$256,"小",$K$227:$K$256,"特・精")+SUMIFS($V$98:$V$127,$W$98:$W$127,"小",$X$98:$X$127,"特・精")+SUMIFS($V$141:$V$170,$W$141:$W$170,"小",$X$141:$X$170,"特・精")+SUMIFS($V$184:$V$213,$W$184:$W$213,"小",$X$184:$X$213,"特・精")+SUMIFS($V$227:$V$256,$W$227:$W$256,"小",$X$227:$X$256,"特・精")</f>
        <v>0</v>
      </c>
      <c r="BV24" s="844">
        <f>SUMIFS($H$13:$H$22,$J$13:$J$22,"中",$K$13:$K$22,"特・精")+SUMIFS($U$13:$U$22,$W$13:$W$22,"中",$X$13:$X$22,"特・精")+SUMIFS($H$55:$H$84,$J$55:$J$84,"中",$K$55:$K$84,"特・精")+SUMIFS($U$55:$U$84,$W$55:$W$84,"中",$X$55:$X$84,"特・精")+SUMIFS($H$98:$H$127,$J$98:$J$127,"中",$K$98:$K$127,"特・精")+SUMIFS($H$141:$H$170,$J$141:$J$170,"中",$K$141:$K$170,"特・精")+SUMIFS($H$184:$H$213,$J$184:$J$213,"中",$K$184:$K$213,"特・精")+SUMIFS($H$227:$H$256,$J$227:$J$256,"中",$K$227:$K$256,"特・精")+SUMIFS($U$98:$U$127,$W$98:$W$127,"中",$X$98:$X$127,"特・精")+SUMIFS($U$141:$U$170,$W$141:$W$170,"中",$X$141:$X$170,"特・精")+SUMIFS($U$184:$U$213,$W$184:$W$213,"中",$X$184:$X$213,"特・精")+SUMIFS($U$227:$U$256,$W$227:$W$256,"中",$X$227:$X$256,"特・精")</f>
        <v>0</v>
      </c>
      <c r="BW24" s="844">
        <f>SUMIFS($I$13:$I$22,$J$13:$J$22,"中",$K$13:$K$22,"特・精")+SUMIFS($V$13:$V$22,$W$13:$W$22,"中",$X$13:$X$22,"特・精")+SUMIFS($I$55:$I$84,$J$55:$J$84,"中",$K$55:$K$84,"特・精")+SUMIFS($V$55:$V$84,$W$55:$W$84,"中",$X$55:$X$84,"特・精")+SUMIFS($I$98:$I$127,$J$98:$J$127,"中",$K$98:$K$127,"特・精")+SUMIFS($I$141:$I$170,$J$141:$J$170,"中",$K$141:$K$170,"特・精")+SUMIFS($I$184:$I$213,$J$184:$J$213,"中",$K$184:$K$213,"特・精")+SUMIFS($I$227:$I$256,$J$227:$J$256,"中",$K$227:$K$256,"特・精")+SUMIFS($V$98:$V$127,$W$98:$W$127,"中",$X$98:$X$127,"特・精")+SUMIFS($V$141:$V$170,$W$141:$W$170,"中",$X$141:$X$170,"特・精")+SUMIFS($V$184:$V$213,$W$184:$W$213,"中",$X$184:$X$213,"特・精")+SUMIFS($V$227:$V$256,$W$227:$W$256,"中",$X$227:$X$256,"特・精")</f>
        <v>0</v>
      </c>
      <c r="BX24" s="825"/>
      <c r="BY24" s="825"/>
      <c r="BZ24" s="825"/>
      <c r="CA24" s="825"/>
      <c r="CB24" s="825"/>
      <c r="CC24" s="796" t="str">
        <f t="shared" si="7"/>
        <v>小泊/身・療</v>
      </c>
      <c r="CD24" s="839">
        <f t="shared" si="8"/>
        <v>0</v>
      </c>
      <c r="CE24" s="796">
        <f>IF(OR(BT25="",BT25=0),0,103)</f>
        <v>0</v>
      </c>
      <c r="CF24" s="796">
        <v>330</v>
      </c>
      <c r="CG24" s="834">
        <v>103</v>
      </c>
      <c r="CH24" s="825"/>
      <c r="CI24" s="829"/>
      <c r="CJ24" s="829"/>
      <c r="CK24" s="825"/>
      <c r="CL24" s="825"/>
      <c r="CM24" s="825"/>
      <c r="CN24" s="825"/>
      <c r="CO24" s="825"/>
      <c r="CP24" s="825"/>
      <c r="CQ24" s="825"/>
      <c r="CR24" s="825"/>
      <c r="CS24" s="825"/>
      <c r="CT24" s="825"/>
      <c r="CU24" s="825"/>
      <c r="CV24" s="825"/>
      <c r="CW24" s="825"/>
      <c r="CX24" s="825"/>
      <c r="CY24" s="825"/>
    </row>
    <row r="25" spans="1:103" s="8" customFormat="1" ht="24" customHeight="1">
      <c r="A25" s="2054" t="s">
        <v>2952</v>
      </c>
      <c r="B25" s="2055"/>
      <c r="C25" s="2055"/>
      <c r="D25" s="2055"/>
      <c r="E25" s="2055"/>
      <c r="F25" s="2055"/>
      <c r="G25" s="2055"/>
      <c r="H25" s="2055"/>
      <c r="I25" s="2055"/>
      <c r="J25" s="2055"/>
      <c r="K25" s="2055"/>
      <c r="L25" s="2055"/>
      <c r="M25" s="2055"/>
      <c r="N25" s="2055"/>
      <c r="O25" s="2055"/>
      <c r="P25" s="2055"/>
      <c r="Q25" s="2055"/>
      <c r="R25" s="2055"/>
      <c r="S25" s="2055"/>
      <c r="T25" s="2055"/>
      <c r="U25" s="2055"/>
      <c r="V25" s="2055"/>
      <c r="W25" s="2055"/>
      <c r="X25" s="2055"/>
      <c r="Y25" s="2055"/>
      <c r="Z25" s="2055"/>
      <c r="AA25" s="2054" t="s">
        <v>2952</v>
      </c>
      <c r="AB25" s="2055"/>
      <c r="AC25" s="2055"/>
      <c r="AD25" s="2055"/>
      <c r="AE25" s="2055"/>
      <c r="AF25" s="2055"/>
      <c r="AG25" s="2055"/>
      <c r="AH25" s="2055"/>
      <c r="AI25" s="2055"/>
      <c r="AJ25" s="2055"/>
      <c r="AK25" s="2055"/>
      <c r="AL25" s="2055"/>
      <c r="AM25" s="2055"/>
      <c r="AN25" s="2055"/>
      <c r="AO25" s="2055"/>
      <c r="AP25" s="2055"/>
      <c r="AQ25" s="2055"/>
      <c r="AR25" s="2055"/>
      <c r="AS25" s="2055"/>
      <c r="AT25" s="2055"/>
      <c r="AU25" s="2055"/>
      <c r="AV25" s="2055"/>
      <c r="AW25" s="2055"/>
      <c r="AX25" s="2055"/>
      <c r="AY25" s="2055"/>
      <c r="AZ25" s="2055"/>
      <c r="BA25" s="67">
        <v>13</v>
      </c>
      <c r="BB25" s="68">
        <f t="shared" si="13"/>
        <v>0</v>
      </c>
      <c r="BC25" s="192">
        <f t="shared" si="14"/>
        <v>0</v>
      </c>
      <c r="BD25" s="70">
        <f t="shared" si="15"/>
        <v>0</v>
      </c>
      <c r="BE25" s="71">
        <f t="shared" si="15"/>
        <v>0</v>
      </c>
      <c r="BF25" s="829" t="s">
        <v>516</v>
      </c>
      <c r="BG25" s="839">
        <f>COUNTIF($K$13:$M$22,"身・療")</f>
        <v>0</v>
      </c>
      <c r="BH25" s="843">
        <f>COUNTIF($X$13:$Z$22,"身・療")</f>
        <v>0</v>
      </c>
      <c r="BI25" s="839">
        <f>COUNTIF($K$55:$M$84,"身・療")</f>
        <v>0</v>
      </c>
      <c r="BJ25" s="839">
        <f>COUNTIF($X$55:$Z$84,"身・療")</f>
        <v>0</v>
      </c>
      <c r="BK25" s="839">
        <f>COUNTIF($K$98:$M$127,"身・療")</f>
        <v>0</v>
      </c>
      <c r="BL25" s="839">
        <f>COUNTIF($X$98:$Z$127,"身・療")</f>
        <v>0</v>
      </c>
      <c r="BM25" s="839">
        <f>COUNTIF($K$141:$M$170,"身・療")</f>
        <v>0</v>
      </c>
      <c r="BN25" s="839">
        <f>COUNTIF($X$141:$Z$170,"身・療")</f>
        <v>0</v>
      </c>
      <c r="BO25" s="839">
        <f>COUNTIF($K$184:$M$213,"身・療")</f>
        <v>0</v>
      </c>
      <c r="BP25" s="839">
        <f>COUNTIF($X$184:$Z$213,"身・療")</f>
        <v>0</v>
      </c>
      <c r="BQ25" s="839">
        <f>COUNTIF($K$227:$M$256,"身・療")</f>
        <v>0</v>
      </c>
      <c r="BR25" s="839">
        <f>COUNTIF($X$227:$Z$256,"身・療")</f>
        <v>0</v>
      </c>
      <c r="BS25" s="839">
        <f t="shared" si="12"/>
        <v>0</v>
      </c>
      <c r="BT25" s="844">
        <f>SUMIFS($H$13:$H$22,$J$13:$J$22,"小",$K$13:$K$22,"身・療")+SUMIFS($U$13:$U$22,$W$13:$W$22,"小",$X$13:$X$22,"身・療")+SUMIFS($H$55:$H$84,$J$55:$J$84,"小",$K$55:$K$84,"身・療")+SUMIFS($U$55:$U$84,$W$55:$W$84,"小",$X$55:$X$84,"身・療")+SUMIFS($H$98:$H$127,$J$98:$J$127,"小",$K$98:$K$127,"身・療")+SUMIFS($H$141:$H$170,$J$141:$J$170,"小",$K$141:$K$170,"身・療")+SUMIFS($H$184:$H$213,$J$184:$J$213,"小",$K$184:$K$213,"身・療")+SUMIFS($H$227:$H$256,$J$227:$J$256,"小",$K$227:$K$256,"身・療")+SUMIFS($U$98:$U$127,$W$98:$W$127,"小",$X$98:$X$127,"身・療")+SUMIFS($U$141:$U$170,$W$141:$W$170,"小",$X$141:$X$170,"身・療")+SUMIFS($U$184:$U$213,$W$184:$W$213,"小",$X$184:$X$213,"身・療")+SUMIFS($U$227:$U$256,$W$227:$W$256,"小",$X$227:$X$256,"身・療")</f>
        <v>0</v>
      </c>
      <c r="BU25" s="844">
        <f>SUMIFS($I$13:$I$22,$J$13:$J$22,"小",$K$13:$K$22,"身・療")+SUMIFS($V$13:$V$22,$W$13:$W$22,"小",$X$13:$X$22,"身・療")+SUMIFS($I$55:$I$84,$J$55:$J$84,"小",$K$55:$K$84,"身・療")+SUMIFS($V$55:$V$84,$W$55:$W$84,"小",$X$55:$X$84,"身・療")+SUMIFS($I$98:$I$127,$J$98:$J$127,"小",$K$98:$K$127,"身・療")+SUMIFS($I$141:$I$170,$J$141:$J$170,"小",$K$141:$K$170,"身・療")+SUMIFS($I$184:$I$213,$J$184:$J$213,"小",$K$184:$K$213,"身・療")+SUMIFS($I$227:$I$256,$J$227:$J$256,"小",$K$227:$K$256,"身・療")+SUMIFS($V$98:$V$127,$W$98:$W$127,"小",$X$98:$X$127,"身・療")+SUMIFS($V$141:$V$170,$W$141:$W$170,"小",$X$141:$X$170,"身・療")+SUMIFS($V$184:$V$213,$W$184:$W$213,"小",$X$184:$X$213,"身・療")+SUMIFS($V$227:$V$256,$W$227:$W$256,"小",$X$227:$X$256,"身・療")</f>
        <v>0</v>
      </c>
      <c r="BV25" s="844">
        <f>SUMIFS($H$13:$H$22,$J$13:$J$22,"中",$K$13:$K$22,"身・療")+SUMIFS($U$13:$U$22,$W$13:$W$22,"中",$X$13:$X$22,"身・療")+SUMIFS($H$55:$H$84,$J$55:$J$84,"中",$K$55:$K$84,"身・療")+SUMIFS($U$55:$U$84,$W$55:$W$84,"中",$X$55:$X$84,"身・療")+SUMIFS($H$98:$H$127,$J$98:$J$127,"中",$K$98:$K$127,"身・療")+SUMIFS($H$141:$H$170,$J$141:$J$170,"中",$K$141:$K$170,"身・療")+SUMIFS($H$184:$H$213,$J$184:$J$213,"中",$K$184:$K$213,"身・療")+SUMIFS($H$227:$H$256,$J$227:$J$256,"中",$K$227:$K$256,"身・療")+SUMIFS($U$98:$U$127,$W$98:$W$127,"中",$X$98:$X$127,"身・療")+SUMIFS($U$141:$U$170,$W$141:$W$170,"中",$X$141:$X$170,"身・療")+SUMIFS($U$184:$U$213,$W$184:$W$213,"中",$X$184:$X$213,"身・療")+SUMIFS($U$227:$U$256,$W$227:$W$256,"中",$X$227:$X$256,"身・療")</f>
        <v>0</v>
      </c>
      <c r="BW25" s="844">
        <f>SUMIFS($I$13:$I$22,$J$13:$J$22,"中",$K$13:$K$22,"身・療")+SUMIFS($V$13:$V$22,$W$13:$W$22,"中",$X$13:$X$22,"身・療")+SUMIFS($I$55:$I$84,$J$55:$J$84,"中",$K$55:$K$84,"身・療")+SUMIFS($V$55:$V$84,$W$55:$W$84,"中",$X$55:$X$84,"身・療")+SUMIFS($I$98:$I$127,$J$98:$J$127,"中",$K$98:$K$127,"身・療")+SUMIFS($I$141:$I$170,$J$141:$J$170,"中",$K$141:$K$170,"身・療")+SUMIFS($I$184:$I$213,$J$184:$J$213,"中",$K$184:$K$213,"身・療")+SUMIFS($I$227:$I$256,$J$227:$J$256,"中",$K$227:$K$256,"身・療")+SUMIFS($V$98:$V$127,$W$98:$W$127,"中",$X$98:$X$127,"身・療")+SUMIFS($V$141:$V$170,$W$141:$W$170,"中",$X$141:$X$170,"身・療")+SUMIFS($V$184:$V$213,$W$184:$W$213,"中",$X$184:$X$213,"身・療")+SUMIFS($V$227:$V$256,$W$227:$W$256,"中",$X$227:$X$256,"身・療")</f>
        <v>0</v>
      </c>
      <c r="BX25" s="825"/>
      <c r="BY25" s="825"/>
      <c r="BZ25" s="825"/>
      <c r="CA25" s="825"/>
      <c r="CB25" s="825"/>
      <c r="CC25" s="796" t="str">
        <f t="shared" si="7"/>
        <v>小泊/身・精</v>
      </c>
      <c r="CD25" s="839">
        <f t="shared" si="8"/>
        <v>0</v>
      </c>
      <c r="CE25" s="796">
        <f>IF(OR(BT26="",BT26=0),0,102)</f>
        <v>0</v>
      </c>
      <c r="CF25" s="796">
        <v>330</v>
      </c>
      <c r="CG25" s="834">
        <v>102</v>
      </c>
      <c r="CH25" s="825"/>
      <c r="CI25" s="829"/>
      <c r="CJ25" s="829"/>
      <c r="CK25" s="825"/>
      <c r="CL25" s="825"/>
      <c r="CM25" s="825"/>
      <c r="CN25" s="825"/>
      <c r="CO25" s="825"/>
      <c r="CP25" s="825"/>
      <c r="CQ25" s="825"/>
      <c r="CR25" s="825"/>
      <c r="CS25" s="825"/>
      <c r="CT25" s="825"/>
      <c r="CU25" s="825"/>
      <c r="CV25" s="825"/>
      <c r="CW25" s="825"/>
      <c r="CX25" s="825"/>
      <c r="CY25" s="825"/>
    </row>
    <row r="26" spans="1:103" s="8" customFormat="1" ht="60" customHeight="1" thickBot="1">
      <c r="A26" s="2053" t="s">
        <v>3020</v>
      </c>
      <c r="B26" s="2015"/>
      <c r="C26" s="2015"/>
      <c r="D26" s="2015"/>
      <c r="E26" s="2015"/>
      <c r="F26" s="2015"/>
      <c r="G26" s="2015"/>
      <c r="H26" s="2015"/>
      <c r="I26" s="2015"/>
      <c r="J26" s="2015"/>
      <c r="K26" s="2015"/>
      <c r="L26" s="2015"/>
      <c r="M26" s="2015"/>
      <c r="N26" s="2015"/>
      <c r="O26" s="2015"/>
      <c r="P26" s="2015"/>
      <c r="Q26" s="2015"/>
      <c r="R26" s="2015"/>
      <c r="S26" s="2015"/>
      <c r="T26" s="2015"/>
      <c r="U26" s="2015"/>
      <c r="V26" s="2015"/>
      <c r="W26" s="2015"/>
      <c r="X26" s="2015"/>
      <c r="Y26" s="2015"/>
      <c r="Z26" s="2015"/>
      <c r="AA26" s="2053" t="s">
        <v>3020</v>
      </c>
      <c r="AB26" s="2015"/>
      <c r="AC26" s="2015"/>
      <c r="AD26" s="2015"/>
      <c r="AE26" s="2015"/>
      <c r="AF26" s="2015"/>
      <c r="AG26" s="2015"/>
      <c r="AH26" s="2015"/>
      <c r="AI26" s="2015"/>
      <c r="AJ26" s="2015"/>
      <c r="AK26" s="2015"/>
      <c r="AL26" s="2015"/>
      <c r="AM26" s="2015"/>
      <c r="AN26" s="2015"/>
      <c r="AO26" s="2015"/>
      <c r="AP26" s="2015"/>
      <c r="AQ26" s="2015"/>
      <c r="AR26" s="2015"/>
      <c r="AS26" s="2015"/>
      <c r="AT26" s="2015"/>
      <c r="AU26" s="2015"/>
      <c r="AV26" s="2015"/>
      <c r="AW26" s="2015"/>
      <c r="AX26" s="2015"/>
      <c r="AY26" s="2015"/>
      <c r="AZ26" s="2015"/>
      <c r="BA26" s="67">
        <v>14</v>
      </c>
      <c r="BB26" s="68">
        <f t="shared" si="13"/>
        <v>0</v>
      </c>
      <c r="BC26" s="192">
        <f t="shared" si="14"/>
        <v>0</v>
      </c>
      <c r="BD26" s="70">
        <f t="shared" si="15"/>
        <v>0</v>
      </c>
      <c r="BE26" s="71">
        <f t="shared" si="15"/>
        <v>0</v>
      </c>
      <c r="BF26" s="849" t="s">
        <v>517</v>
      </c>
      <c r="BG26" s="839">
        <f>COUNTIF($K$13:$M$22,"身・精")</f>
        <v>0</v>
      </c>
      <c r="BH26" s="843">
        <f>COUNTIF($X$13:$Z$22,"身・精")</f>
        <v>0</v>
      </c>
      <c r="BI26" s="839">
        <f>COUNTIF($K$55:$M$84,"身・精")</f>
        <v>0</v>
      </c>
      <c r="BJ26" s="839">
        <f>COUNTIF($X$55:$Z$84,"身・精")</f>
        <v>0</v>
      </c>
      <c r="BK26" s="839">
        <f>COUNTIF($K$98:$M$127,"身・精")</f>
        <v>0</v>
      </c>
      <c r="BL26" s="839">
        <f>COUNTIF($X$98:$Z$127,"身・精")</f>
        <v>0</v>
      </c>
      <c r="BM26" s="839">
        <f>COUNTIF($K$141:$M$170,"身・精")</f>
        <v>0</v>
      </c>
      <c r="BN26" s="839">
        <f>COUNTIF($X$141:$Z$170,"身・精")</f>
        <v>0</v>
      </c>
      <c r="BO26" s="839">
        <f>COUNTIF($K$184:$M$213,"身・精")</f>
        <v>0</v>
      </c>
      <c r="BP26" s="839">
        <f>COUNTIF($X$184:$Z$213,"身・精")</f>
        <v>0</v>
      </c>
      <c r="BQ26" s="839">
        <f>COUNTIF($K$227:$M$256,"身・精")</f>
        <v>0</v>
      </c>
      <c r="BR26" s="839">
        <f>COUNTIF($X$227:$Z$256,"身・精")</f>
        <v>0</v>
      </c>
      <c r="BS26" s="839">
        <f t="shared" si="12"/>
        <v>0</v>
      </c>
      <c r="BT26" s="844">
        <f>SUMIFS($H$13:$H$22,$J$13:$J$22,"小",$K$13:$K$22,"身・精")+SUMIFS($U$13:$U$22,$W$13:$W$22,"小",$X$13:$X$22,"身・精")+SUMIFS($H$55:$H$84,$J$55:$J$84,"小",$K$55:$K$84,"身・精")+SUMIFS($U$55:$U$84,$W$55:$W$84,"小",$X$55:$X$84,"身・精")+SUMIFS($H$98:$H$127,$J$98:$J$127,"小",$K$98:$K$127,"身・精")+SUMIFS($H$141:$H$170,$J$141:$J$170,"小",$K$141:$K$170,"身・精")+SUMIFS($H$184:$H$213,$J$184:$J$213,"小",$K$184:$K$213,"身・精")+SUMIFS($H$227:$H$256,$J$227:$J$256,"小",$K$227:$K$256,"身・精")+SUMIFS($U$98:$U$127,$W$98:$W$127,"小",$X$98:$X$127,"身・精")+SUMIFS($U$141:$U$170,$W$141:$W$170,"小",$X$141:$X$170,"身・精")+SUMIFS($U$184:$U$213,$W$184:$W$213,"小",$X$184:$X$213,"身・精")+SUMIFS($U$227:$U$256,$W$227:$W$256,"小",$X$227:$X$256,"身・精")</f>
        <v>0</v>
      </c>
      <c r="BU26" s="844">
        <f>SUMIFS($I$13:$I$22,$J$13:$J$22,"小",$K$13:$K$22,"身・精")+SUMIFS($V$13:$V$22,$W$13:$W$22,"小",$X$13:$X$22,"身・精")+SUMIFS($I$55:$I$84,$J$55:$J$84,"小",$K$55:$K$84,"身・精")+SUMIFS($V$55:$V$84,$W$55:$W$84,"小",$X$55:$X$84,"身・精")+SUMIFS($I$98:$I$127,$J$98:$J$127,"小",$K$98:$K$127,"身・精")+SUMIFS($I$141:$I$170,$J$141:$J$170,"小",$K$141:$K$170,"身・精")+SUMIFS($I$184:$I$213,$J$184:$J$213,"小",$K$184:$K$213,"身・精")+SUMIFS($I$227:$I$256,$J$227:$J$256,"小",$K$227:$K$256,"身・精")+SUMIFS($V$98:$V$127,$W$98:$W$127,"小",$X$98:$X$127,"身・精")+SUMIFS($V$141:$V$170,$W$141:$W$170,"小",$X$141:$X$170,"身・精")+SUMIFS($V$184:$V$213,$W$184:$W$213,"小",$X$184:$X$213,"身・精")+SUMIFS($V$227:$V$256,$W$227:$W$256,"小",$X$227:$X$256,"身・精")</f>
        <v>0</v>
      </c>
      <c r="BV26" s="844">
        <f>SUMIFS($H$13:$H$22,$J$13:$J$22,"中",$K$13:$K$22,"身・精")+SUMIFS($U$13:$U$22,$W$13:$W$22,"中",$X$13:$X$22,"身・精")+SUMIFS($H$55:$H$84,$J$55:$J$84,"中",$K$55:$K$84,"身・精")+SUMIFS($U$55:$U$84,$W$55:$W$84,"中",$X$55:$X$84,"身・精")+SUMIFS($H$98:$H$127,$J$98:$J$127,"中",$K$98:$K$127,"身・精")+SUMIFS($H$141:$H$170,$J$141:$J$170,"中",$K$141:$K$170,"身・精")+SUMIFS($H$184:$H$213,$J$184:$J$213,"中",$K$184:$K$213,"身・精")+SUMIFS($H$227:$H$256,$J$227:$J$256,"中",$K$227:$K$256,"身・精")+SUMIFS($U$98:$U$127,$W$98:$W$127,"中",$X$98:$X$127,"身・精")+SUMIFS($U$141:$U$170,$W$141:$W$170,"中",$X$141:$X$170,"身・精")+SUMIFS($U$184:$U$213,$W$184:$W$213,"中",$X$184:$X$213,"身・精")+SUMIFS($U$227:$U$256,$W$227:$W$256,"中",$X$227:$X$256,"身・精")</f>
        <v>0</v>
      </c>
      <c r="BW26" s="844">
        <f>SUMIFS($I$13:$I$22,$J$13:$J$22,"中",$K$13:$K$22,"身・精")+SUMIFS($V$13:$V$22,$W$13:$W$22,"中",$X$13:$X$22,"身・精")+SUMIFS($I$55:$I$84,$J$55:$J$84,"中",$K$55:$K$84,"身・精")+SUMIFS($V$55:$V$84,$W$55:$W$84,"中",$X$55:$X$84,"身・精")+SUMIFS($I$98:$I$127,$J$98:$J$127,"中",$K$98:$K$127,"身・精")+SUMIFS($I$141:$I$170,$J$141:$J$170,"中",$K$141:$K$170,"身・精")+SUMIFS($I$184:$I$213,$J$184:$J$213,"中",$K$184:$K$213,"身・精")+SUMIFS($I$227:$I$256,$J$227:$J$256,"中",$K$227:$K$256,"身・精")+SUMIFS($V$98:$V$127,$W$98:$W$127,"中",$X$98:$X$127,"身・精")+SUMIFS($V$141:$V$170,$W$141:$W$170,"中",$X$141:$X$170,"身・精")+SUMIFS($V$184:$V$213,$W$184:$W$213,"中",$X$184:$X$213,"身・精")+SUMIFS($V$227:$V$256,$W$227:$W$256,"中",$X$227:$X$256,"身・精")</f>
        <v>0</v>
      </c>
      <c r="BX26" s="825"/>
      <c r="BY26" s="825"/>
      <c r="BZ26" s="825"/>
      <c r="CA26" s="825"/>
      <c r="CB26" s="825"/>
      <c r="CC26" s="796" t="str">
        <f t="shared" si="7"/>
        <v>小泊/療・精</v>
      </c>
      <c r="CD26" s="839">
        <f t="shared" si="8"/>
        <v>0</v>
      </c>
      <c r="CE26" s="796">
        <f>IF(OR(BT27="",BT27=0),0,101)</f>
        <v>0</v>
      </c>
      <c r="CF26" s="796">
        <v>330</v>
      </c>
      <c r="CG26" s="834">
        <v>101</v>
      </c>
      <c r="CH26" s="825"/>
      <c r="CI26" s="829"/>
      <c r="CJ26" s="829"/>
      <c r="CK26" s="825"/>
      <c r="CL26" s="825"/>
      <c r="CM26" s="825"/>
      <c r="CN26" s="825"/>
      <c r="CO26" s="825"/>
      <c r="CP26" s="825"/>
      <c r="CQ26" s="825"/>
      <c r="CR26" s="825"/>
      <c r="CS26" s="825"/>
      <c r="CT26" s="825"/>
      <c r="CU26" s="825"/>
      <c r="CV26" s="825"/>
      <c r="CW26" s="825"/>
      <c r="CX26" s="825"/>
      <c r="CY26" s="825"/>
    </row>
    <row r="27" spans="1:103" s="8" customFormat="1" ht="21" customHeight="1" thickBot="1">
      <c r="A27" s="336"/>
      <c r="B27" s="2109" t="s">
        <v>1866</v>
      </c>
      <c r="C27" s="2110"/>
      <c r="D27" s="2110"/>
      <c r="E27" s="2110"/>
      <c r="F27" s="2110"/>
      <c r="G27" s="2110"/>
      <c r="H27" s="2110"/>
      <c r="I27" s="2110"/>
      <c r="J27" s="2110"/>
      <c r="K27" s="2110"/>
      <c r="L27" s="2110"/>
      <c r="M27" s="2110"/>
      <c r="N27" s="2110"/>
      <c r="O27" s="2110"/>
      <c r="P27" s="2110"/>
      <c r="Q27" s="2110"/>
      <c r="R27" s="2110"/>
      <c r="S27" s="2110"/>
      <c r="T27" s="2110"/>
      <c r="U27" s="2110"/>
      <c r="V27" s="2110"/>
      <c r="W27" s="2110"/>
      <c r="X27" s="2110"/>
      <c r="Y27" s="2111"/>
      <c r="Z27" s="337"/>
      <c r="AA27" s="336"/>
      <c r="AB27" s="2109" t="s">
        <v>1866</v>
      </c>
      <c r="AC27" s="2110"/>
      <c r="AD27" s="2110"/>
      <c r="AE27" s="2110"/>
      <c r="AF27" s="2110"/>
      <c r="AG27" s="2110"/>
      <c r="AH27" s="2110"/>
      <c r="AI27" s="2110"/>
      <c r="AJ27" s="2110"/>
      <c r="AK27" s="2110"/>
      <c r="AL27" s="2110"/>
      <c r="AM27" s="2110"/>
      <c r="AN27" s="2110"/>
      <c r="AO27" s="2110"/>
      <c r="AP27" s="2110"/>
      <c r="AQ27" s="2110"/>
      <c r="AR27" s="2110"/>
      <c r="AS27" s="2110"/>
      <c r="AT27" s="2110"/>
      <c r="AU27" s="2110"/>
      <c r="AV27" s="2110"/>
      <c r="AW27" s="2110"/>
      <c r="AX27" s="2110"/>
      <c r="AY27" s="2111"/>
      <c r="AZ27" s="337"/>
      <c r="BA27" s="67">
        <v>15</v>
      </c>
      <c r="BB27" s="68">
        <f t="shared" si="13"/>
        <v>0</v>
      </c>
      <c r="BC27" s="192">
        <f t="shared" si="14"/>
        <v>0</v>
      </c>
      <c r="BD27" s="70">
        <f t="shared" si="15"/>
        <v>0</v>
      </c>
      <c r="BE27" s="71">
        <f t="shared" si="15"/>
        <v>0</v>
      </c>
      <c r="BF27" s="849" t="s">
        <v>518</v>
      </c>
      <c r="BG27" s="839">
        <f>COUNTIF($K$13:$M$22,"療・精")</f>
        <v>0</v>
      </c>
      <c r="BH27" s="843">
        <f>COUNTIF($X$13:$Z$22,"療・精")</f>
        <v>0</v>
      </c>
      <c r="BI27" s="839">
        <f>COUNTIF($K$55:$M$84,"療・精")</f>
        <v>0</v>
      </c>
      <c r="BJ27" s="839">
        <f>COUNTIF($X$55:$Z$84,"療・精")</f>
        <v>0</v>
      </c>
      <c r="BK27" s="839">
        <f>COUNTIF($K$98:$M$127,"療・精")</f>
        <v>0</v>
      </c>
      <c r="BL27" s="839">
        <f>COUNTIF($X$98:$Z$127,"療・精")</f>
        <v>0</v>
      </c>
      <c r="BM27" s="839">
        <f>COUNTIF($K$141:$M$170,"療・精")</f>
        <v>0</v>
      </c>
      <c r="BN27" s="839">
        <f>COUNTIF($X$141:$Z$170,"療・精")</f>
        <v>0</v>
      </c>
      <c r="BO27" s="839">
        <f>COUNTIF($K$184:$M$213,"療・精")</f>
        <v>0</v>
      </c>
      <c r="BP27" s="839">
        <f>COUNTIF($X$184:$Z$213,"療・精")</f>
        <v>0</v>
      </c>
      <c r="BQ27" s="839">
        <f>COUNTIF($K$227:$M$256,"療・精")</f>
        <v>0</v>
      </c>
      <c r="BR27" s="839">
        <f>COUNTIF($X$227:$Z$256,"療・精")</f>
        <v>0</v>
      </c>
      <c r="BS27" s="839">
        <f t="shared" si="12"/>
        <v>0</v>
      </c>
      <c r="BT27" s="844">
        <f>SUMIFS($H$13:$H$22,$J$13:$J$22,"小",$K$13:$K$22,"療・精")+SUMIFS($U$13:$U$22,$W$13:$W$22,"小",$X$13:$X$22,"療・精")+SUMIFS($H$55:$H$84,$J$55:$J$84,"小",$K$55:$K$84,"療・精")+SUMIFS($U$55:$U$84,$W$55:$W$84,"小",$X$55:$X$84,"療・精")+SUMIFS($H$98:$H$127,$J$98:$J$127,"小",$K$98:$K$127,"療・精")+SUMIFS($H$141:$H$170,$J$141:$J$170,"小",$K$141:$K$170,"療・精")+SUMIFS($H$184:$H$213,$J$184:$J$213,"小",$K$184:$K$213,"療・精")+SUMIFS($H$227:$H$256,$J$227:$J$256,"小",$K$227:$K$256,"療・精")+SUMIFS($U$98:$U$127,$W$98:$W$127,"小",$X$98:$X$127,"療・精")+SUMIFS($U$141:$U$170,$W$141:$W$170,"小",$X$141:$X$170,"療・精")+SUMIFS($U$184:$U$213,$W$184:$W$213,"小",$X$184:$X$213,"療・精")+SUMIFS($U$227:$U$256,$W$227:$W$256,"小",$X$227:$X$256,"療・精")</f>
        <v>0</v>
      </c>
      <c r="BU27" s="844">
        <f>SUMIFS($I$13:$I$22,$J$13:$J$22,"小",$K$13:$K$22,"療・精")+SUMIFS($V$13:$V$22,$W$13:$W$22,"小",$X$13:$X$22,"療・精")+SUMIFS($I$55:$I$84,$J$55:$J$84,"小",$K$55:$K$84,"療・精")+SUMIFS($V$55:$V$84,$W$55:$W$84,"小",$X$55:$X$84,"療・精")+SUMIFS($I$98:$I$127,$J$98:$J$127,"小",$K$98:$K$127,"療・精")+SUMIFS($I$141:$I$170,$J$141:$J$170,"小",$K$141:$K$170,"療・精")+SUMIFS($I$184:$I$213,$J$184:$J$213,"小",$K$184:$K$213,"療・精")+SUMIFS($I$227:$I$256,$J$227:$J$256,"小",$K$227:$K$256,"療・精")+SUMIFS($V$98:$V$127,$W$98:$W$127,"小",$X$98:$X$127,"療・精")+SUMIFS($V$141:$V$170,$W$141:$W$170,"小",$X$141:$X$170,"療・精")+SUMIFS($V$184:$V$213,$W$184:$W$213,"小",$X$184:$X$213,"療・精")+SUMIFS($V$227:$V$256,$W$227:$W$256,"小",$X$227:$X$256,"療・精")</f>
        <v>0</v>
      </c>
      <c r="BV27" s="844">
        <f>SUMIFS($H$13:$H$22,$J$13:$J$22,"中",$K$13:$K$22,"療・精")+SUMIFS($U$13:$U$22,$W$13:$W$22,"中",$X$13:$X$22,"療・精")+SUMIFS($H$55:$H$84,$J$55:$J$84,"中",$K$55:$K$84,"療・精")+SUMIFS($U$55:$U$84,$W$55:$W$84,"中",$X$55:$X$84,"療・精")+SUMIFS($H$98:$H$127,$J$98:$J$127,"中",$K$98:$K$127,"療・精")+SUMIFS($H$141:$H$170,$J$141:$J$170,"中",$K$141:$K$170,"療・精")+SUMIFS($H$184:$H$213,$J$184:$J$213,"中",$K$184:$K$213,"療・精")+SUMIFS($H$227:$H$256,$J$227:$J$256,"中",$K$227:$K$256,"療・精")+SUMIFS($U$98:$U$127,$W$98:$W$127,"中",$X$98:$X$127,"療・精")+SUMIFS($U$141:$U$170,$W$141:$W$170,"中",$X$141:$X$170,"療・精")+SUMIFS($U$184:$U$213,$W$184:$W$213,"中",$X$184:$X$213,"療・精")+SUMIFS($U$227:$U$256,$W$227:$W$256,"中",$X$227:$X$256,"療・精")</f>
        <v>0</v>
      </c>
      <c r="BW27" s="844">
        <f>SUMIFS($I$13:$I$22,$J$13:$J$22,"中",$K$13:$K$22,"療・精")+SUMIFS($V$13:$V$22,$W$13:$W$22,"中",$X$13:$X$22,"療・精")+SUMIFS($I$55:$I$84,$J$55:$J$84,"中",$K$55:$K$84,"療・精")+SUMIFS($V$55:$V$84,$W$55:$W$84,"中",$X$55:$X$84,"療・精")+SUMIFS($I$98:$I$127,$J$98:$J$127,"中",$K$98:$K$127,"療・精")+SUMIFS($I$141:$I$170,$J$141:$J$170,"中",$K$141:$K$170,"療・精")+SUMIFS($I$184:$I$213,$J$184:$J$213,"中",$K$184:$K$213,"療・精")+SUMIFS($I$227:$I$256,$J$227:$J$256,"中",$K$227:$K$256,"療・精")+SUMIFS($V$98:$V$127,$W$98:$W$127,"中",$X$98:$X$127,"療・精")+SUMIFS($V$141:$V$170,$W$141:$W$170,"中",$X$141:$X$170,"療・精")+SUMIFS($V$184:$V$213,$W$184:$W$213,"中",$X$184:$X$213,"療・精")+SUMIFS($V$227:$V$256,$W$227:$W$256,"中",$X$227:$X$256,"療・精")</f>
        <v>0</v>
      </c>
      <c r="BX27" s="825"/>
      <c r="BY27" s="825"/>
      <c r="BZ27" s="825"/>
      <c r="CA27" s="825"/>
      <c r="CB27" s="825"/>
      <c r="CC27" s="796" t="str">
        <f t="shared" si="7"/>
        <v>小泊/準・特・身</v>
      </c>
      <c r="CD27" s="839">
        <f t="shared" si="8"/>
        <v>0</v>
      </c>
      <c r="CE27" s="796">
        <f>IF(OR(BT28="",BT28=0),0,100)</f>
        <v>0</v>
      </c>
      <c r="CF27" s="796">
        <v>330</v>
      </c>
      <c r="CG27" s="834">
        <v>100</v>
      </c>
      <c r="CH27" s="825"/>
      <c r="CI27" s="829"/>
      <c r="CJ27" s="829"/>
      <c r="CK27" s="825"/>
      <c r="CL27" s="825"/>
      <c r="CM27" s="825"/>
      <c r="CN27" s="825"/>
      <c r="CO27" s="825"/>
      <c r="CP27" s="825"/>
      <c r="CQ27" s="825"/>
      <c r="CR27" s="825"/>
      <c r="CS27" s="825"/>
      <c r="CT27" s="825"/>
      <c r="CU27" s="825"/>
      <c r="CV27" s="825"/>
      <c r="CW27" s="825"/>
      <c r="CX27" s="825"/>
      <c r="CY27" s="825"/>
    </row>
    <row r="28" spans="1:103" s="8" customFormat="1" ht="21" customHeight="1">
      <c r="A28" s="338"/>
      <c r="B28" s="2065" t="str">
        <f>IF(D28=0,"",CI3)</f>
        <v/>
      </c>
      <c r="C28" s="2066"/>
      <c r="D28" s="2069">
        <f>CJ3</f>
        <v>0</v>
      </c>
      <c r="E28" s="2070"/>
      <c r="F28" s="2065" t="str">
        <f>IF(H28=0,"",CI4)</f>
        <v/>
      </c>
      <c r="G28" s="2066"/>
      <c r="H28" s="2069">
        <f>CJ4</f>
        <v>0</v>
      </c>
      <c r="I28" s="2070"/>
      <c r="J28" s="2065" t="str">
        <f>IF(L28=0,"",CI5)</f>
        <v/>
      </c>
      <c r="K28" s="2066"/>
      <c r="L28" s="2069">
        <f>CJ5</f>
        <v>0</v>
      </c>
      <c r="M28" s="2070"/>
      <c r="N28" s="2065" t="str">
        <f>IF(P28=0,"",CI6)</f>
        <v/>
      </c>
      <c r="O28" s="2066"/>
      <c r="P28" s="2069">
        <f>CJ6</f>
        <v>0</v>
      </c>
      <c r="Q28" s="2070"/>
      <c r="R28" s="2065" t="str">
        <f>IF(T28=0,"",CI7)</f>
        <v/>
      </c>
      <c r="S28" s="2066"/>
      <c r="T28" s="2069">
        <f>CJ7</f>
        <v>0</v>
      </c>
      <c r="U28" s="2070"/>
      <c r="V28" s="2065" t="str">
        <f>IF(X28=0,"",CI8)</f>
        <v/>
      </c>
      <c r="W28" s="2066"/>
      <c r="X28" s="2069">
        <f>CJ8</f>
        <v>0</v>
      </c>
      <c r="Y28" s="2070"/>
      <c r="Z28" s="339"/>
      <c r="AA28" s="338"/>
      <c r="AB28" s="2065" t="s">
        <v>1847</v>
      </c>
      <c r="AC28" s="2066"/>
      <c r="AD28" s="2069">
        <v>90</v>
      </c>
      <c r="AE28" s="2070"/>
      <c r="AF28" s="2065" t="s">
        <v>2853</v>
      </c>
      <c r="AG28" s="2066"/>
      <c r="AH28" s="2069">
        <v>9</v>
      </c>
      <c r="AI28" s="2070"/>
      <c r="AJ28" s="2065" t="s">
        <v>1876</v>
      </c>
      <c r="AK28" s="2066"/>
      <c r="AL28" s="2069">
        <v>1</v>
      </c>
      <c r="AM28" s="2070"/>
      <c r="AN28" s="2065" t="s">
        <v>1877</v>
      </c>
      <c r="AO28" s="2066"/>
      <c r="AP28" s="2069">
        <v>7</v>
      </c>
      <c r="AQ28" s="2070"/>
      <c r="AR28" s="2065" t="s">
        <v>1878</v>
      </c>
      <c r="AS28" s="2066"/>
      <c r="AT28" s="2069">
        <v>3</v>
      </c>
      <c r="AU28" s="2070"/>
      <c r="AV28" s="2065" t="s">
        <v>2851</v>
      </c>
      <c r="AW28" s="2066"/>
      <c r="AX28" s="2069">
        <v>1</v>
      </c>
      <c r="AY28" s="2070"/>
      <c r="AZ28" s="339"/>
      <c r="BA28" s="67">
        <v>16</v>
      </c>
      <c r="BB28" s="68">
        <f t="shared" si="13"/>
        <v>0</v>
      </c>
      <c r="BC28" s="192">
        <f t="shared" si="14"/>
        <v>0</v>
      </c>
      <c r="BD28" s="70">
        <f t="shared" si="15"/>
        <v>0</v>
      </c>
      <c r="BE28" s="71">
        <f t="shared" si="15"/>
        <v>0</v>
      </c>
      <c r="BF28" s="849" t="s">
        <v>519</v>
      </c>
      <c r="BG28" s="839">
        <f>COUNTIF($K$13:$M$22,"準・特・身")</f>
        <v>0</v>
      </c>
      <c r="BH28" s="843">
        <f>COUNTIF($X$13:$Z$22,"準・特・身")</f>
        <v>0</v>
      </c>
      <c r="BI28" s="839">
        <f>COUNTIF($K$55:$M$84,"準・特・身")</f>
        <v>0</v>
      </c>
      <c r="BJ28" s="839">
        <f>COUNTIF($X$55:$Z$84,"準・特・身")</f>
        <v>0</v>
      </c>
      <c r="BK28" s="839">
        <f>COUNTIF($K$98:$M$127,"準・特・身")</f>
        <v>0</v>
      </c>
      <c r="BL28" s="839">
        <f>COUNTIF($X$98:$Z$127,"準・特・身")</f>
        <v>0</v>
      </c>
      <c r="BM28" s="839">
        <f>COUNTIF($K$141:$M$170,"準・特・身")</f>
        <v>0</v>
      </c>
      <c r="BN28" s="839">
        <f>COUNTIF($X$141:$Z$170,"準・特・身")</f>
        <v>0</v>
      </c>
      <c r="BO28" s="839">
        <f>COUNTIF($K$184:$M$213,"準・特・身")</f>
        <v>0</v>
      </c>
      <c r="BP28" s="839">
        <f>COUNTIF($X$184:$Z$213,"準・特・身")</f>
        <v>0</v>
      </c>
      <c r="BQ28" s="839">
        <f>COUNTIF($K$227:$M$256,"準・特・身")</f>
        <v>0</v>
      </c>
      <c r="BR28" s="839">
        <f>COUNTIF($X$227:$Z$256,"準・特・身")</f>
        <v>0</v>
      </c>
      <c r="BS28" s="839">
        <f t="shared" si="12"/>
        <v>0</v>
      </c>
      <c r="BT28" s="844">
        <f>SUMIFS($H$13:$H$22,$J$13:$J$22,"小",$K$13:$K$22,"準・特・身")+SUMIFS($U$13:$U$22,$W$13:$W$22,"小",$X$13:$X$22,"準・特・身")+SUMIFS($H$55:$H$84,$J$55:$J$84,"小",$K$55:$K$84,"準・特・身")+SUMIFS($U$55:$U$84,$W$55:$W$84,"小",$X$55:$X$84,"準・特・身")+SUMIFS($H$98:$H$127,$J$98:$J$127,"小",$K$98:$K$127,"準・特・身")+SUMIFS($H$141:$H$170,$J$141:$J$170,"小",$K$141:$K$170,"準・特・身")+SUMIFS($H$184:$H$213,$J$184:$J$213,"小",$K$184:$K$213,"準・特・身")+SUMIFS($H$227:$H$256,$J$227:$J$256,"小",$K$227:$K$256,"準・特・身")+SUMIFS($U$98:$U$127,$W$98:$W$127,"小",$X$98:$X$127,"準・特・身")+SUMIFS($U$141:$U$170,$W$141:$W$170,"小",$X$141:$X$170,"準・特・身")+SUMIFS($U$184:$U$213,$W$184:$W$213,"小",$X$184:$X$213,"準・特・身")+SUMIFS($U$227:$U$256,$W$227:$W$256,"小",$X$227:$X$256,"準・特・身")</f>
        <v>0</v>
      </c>
      <c r="BU28" s="844">
        <f>SUMIFS($I$13:$I$22,$J$13:$J$22,"小",$K$13:$K$22,"準・特・身")+SUMIFS($V$13:$V$22,$W$13:$W$22,"小",$X$13:$X$22,"準・特・身")+SUMIFS($I$55:$I$84,$J$55:$J$84,"小",$K$55:$K$84,"準・特・身")+SUMIFS($V$55:$V$84,$W$55:$W$84,"小",$X$55:$X$84,"準・特・身")+SUMIFS($I$98:$I$127,$J$98:$J$127,"小",$K$98:$K$127,"準・特・身")+SUMIFS($I$141:$I$170,$J$141:$J$170,"小",$K$141:$K$170,"準・特・身")+SUMIFS($I$184:$I$213,$J$184:$J$213,"小",$K$184:$K$213,"準・特・身")+SUMIFS($I$227:$I$256,$J$227:$J$256,"小",$K$227:$K$256,"準・特・身")+SUMIFS($V$98:$V$127,$W$98:$W$127,"小",$X$98:$X$127,"準・特・身")+SUMIFS($V$141:$V$170,$W$141:$W$170,"小",$X$141:$X$170,"準・特・身")+SUMIFS($V$184:$V$213,$W$184:$W$213,"小",$X$184:$X$213,"準・特・身")+SUMIFS($V$227:$V$256,$W$227:$W$256,"小",$X$227:$X$256,"準・特・身")</f>
        <v>0</v>
      </c>
      <c r="BV28" s="844">
        <f>SUMIFS($H$13:$H$22,$J$13:$J$22,"中",$K$13:$K$22,"準・特・身")+SUMIFS($U$13:$U$22,$W$13:$W$22,"中",$X$13:$X$22,"準・特・身")+SUMIFS($H$55:$H$84,$J$55:$J$84,"中",$K$55:$K$84,"準・特・身")+SUMIFS($U$55:$U$84,$W$55:$W$84,"中",$X$55:$X$84,"準・特・身")+SUMIFS($H$98:$H$127,$J$98:$J$127,"中",$K$98:$K$127,"準・特・身")+SUMIFS($H$141:$H$170,$J$141:$J$170,"中",$K$141:$K$170,"準・特・身")+SUMIFS($H$184:$H$213,$J$184:$J$213,"中",$K$184:$K$213,"準・特・身")+SUMIFS($H$227:$H$256,$J$227:$J$256,"中",$K$227:$K$256,"準・特・身")+SUMIFS($U$98:$U$127,$W$98:$W$127,"中",$X$98:$X$127,"準・特・身")+SUMIFS($U$141:$U$170,$W$141:$W$170,"中",$X$141:$X$170,"準・特・身")+SUMIFS($U$184:$U$213,$W$184:$W$213,"中",$X$184:$X$213,"準・特・身")+SUMIFS($U$227:$U$256,$W$227:$W$256,"中",$X$227:$X$256,"準・特・身")</f>
        <v>0</v>
      </c>
      <c r="BW28" s="844">
        <f>SUMIFS($I$13:$I$22,$J$13:$J$22,"中",$K$13:$K$22,"準・特・身")+SUMIFS($V$13:$V$22,$W$13:$W$22,"中",$X$13:$X$22,"準・特・身")+SUMIFS($I$55:$I$84,$J$55:$J$84,"中",$K$55:$K$84,"準・特・身")+SUMIFS($V$55:$V$84,$W$55:$W$84,"中",$X$55:$X$84,"準・特・身")+SUMIFS($I$98:$I$127,$J$98:$J$127,"中",$K$98:$K$127,"準・特・身")+SUMIFS($I$141:$I$170,$J$141:$J$170,"中",$K$141:$K$170,"準・特・身")+SUMIFS($I$184:$I$213,$J$184:$J$213,"中",$K$184:$K$213,"準・特・身")+SUMIFS($I$227:$I$256,$J$227:$J$256,"中",$K$227:$K$256,"準・特・身")+SUMIFS($V$98:$V$127,$W$98:$W$127,"中",$X$98:$X$127,"準・特・身")+SUMIFS($V$141:$V$170,$W$141:$W$170,"中",$X$141:$X$170,"準・特・身")+SUMIFS($V$184:$V$213,$W$184:$W$213,"中",$X$184:$X$213,"準・特・身")+SUMIFS($V$227:$V$256,$W$227:$W$256,"中",$X$227:$X$256,"準・特・身")</f>
        <v>0</v>
      </c>
      <c r="BX28" s="825"/>
      <c r="BY28" s="825"/>
      <c r="BZ28" s="825"/>
      <c r="CA28" s="825"/>
      <c r="CB28" s="825"/>
      <c r="CC28" s="796" t="str">
        <f t="shared" si="7"/>
        <v>小泊/準・特・療</v>
      </c>
      <c r="CD28" s="839">
        <f t="shared" si="8"/>
        <v>0</v>
      </c>
      <c r="CE28" s="796">
        <f>IF(OR(BT29="",BT29=0),0,99)</f>
        <v>0</v>
      </c>
      <c r="CF28" s="796">
        <v>330</v>
      </c>
      <c r="CG28" s="834">
        <v>99</v>
      </c>
      <c r="CH28" s="825"/>
      <c r="CI28" s="829"/>
      <c r="CJ28" s="829"/>
      <c r="CK28" s="825"/>
      <c r="CL28" s="825"/>
      <c r="CM28" s="825"/>
      <c r="CN28" s="825"/>
      <c r="CO28" s="825"/>
      <c r="CP28" s="825"/>
      <c r="CQ28" s="825"/>
      <c r="CR28" s="825"/>
      <c r="CS28" s="825"/>
      <c r="CT28" s="825"/>
      <c r="CU28" s="825"/>
      <c r="CV28" s="825"/>
      <c r="CW28" s="825"/>
      <c r="CX28" s="825"/>
      <c r="CY28" s="825"/>
    </row>
    <row r="29" spans="1:103" s="8" customFormat="1" ht="21" customHeight="1" thickBot="1">
      <c r="A29" s="338"/>
      <c r="B29" s="2067"/>
      <c r="C29" s="2068"/>
      <c r="D29" s="2071"/>
      <c r="E29" s="2072"/>
      <c r="F29" s="2067"/>
      <c r="G29" s="2068"/>
      <c r="H29" s="2071"/>
      <c r="I29" s="2072"/>
      <c r="J29" s="2067"/>
      <c r="K29" s="2068"/>
      <c r="L29" s="2071"/>
      <c r="M29" s="2072"/>
      <c r="N29" s="2067"/>
      <c r="O29" s="2068"/>
      <c r="P29" s="2071"/>
      <c r="Q29" s="2072"/>
      <c r="R29" s="2067"/>
      <c r="S29" s="2068"/>
      <c r="T29" s="2071"/>
      <c r="U29" s="2072"/>
      <c r="V29" s="2067"/>
      <c r="W29" s="2068"/>
      <c r="X29" s="2071"/>
      <c r="Y29" s="2072"/>
      <c r="Z29" s="340"/>
      <c r="AA29" s="338"/>
      <c r="AB29" s="2067"/>
      <c r="AC29" s="2068"/>
      <c r="AD29" s="2071"/>
      <c r="AE29" s="2072"/>
      <c r="AF29" s="2067"/>
      <c r="AG29" s="2068"/>
      <c r="AH29" s="2071"/>
      <c r="AI29" s="2072"/>
      <c r="AJ29" s="2067"/>
      <c r="AK29" s="2068"/>
      <c r="AL29" s="2071"/>
      <c r="AM29" s="2072"/>
      <c r="AN29" s="2067"/>
      <c r="AO29" s="2068"/>
      <c r="AP29" s="2071"/>
      <c r="AQ29" s="2072"/>
      <c r="AR29" s="2067"/>
      <c r="AS29" s="2068"/>
      <c r="AT29" s="2071"/>
      <c r="AU29" s="2072"/>
      <c r="AV29" s="2067"/>
      <c r="AW29" s="2068"/>
      <c r="AX29" s="2071"/>
      <c r="AY29" s="2072"/>
      <c r="AZ29" s="340"/>
      <c r="BA29" s="67">
        <v>17</v>
      </c>
      <c r="BB29" s="68">
        <f t="shared" si="13"/>
        <v>0</v>
      </c>
      <c r="BC29" s="192">
        <f t="shared" si="14"/>
        <v>0</v>
      </c>
      <c r="BD29" s="70">
        <f t="shared" si="15"/>
        <v>0</v>
      </c>
      <c r="BE29" s="71">
        <f t="shared" si="15"/>
        <v>0</v>
      </c>
      <c r="BF29" s="849" t="s">
        <v>520</v>
      </c>
      <c r="BG29" s="839">
        <f>COUNTIF($K$13:$M$22,"準・特・療")</f>
        <v>0</v>
      </c>
      <c r="BH29" s="843">
        <f>COUNTIF($X$13:$Z$22,"準・特・療")</f>
        <v>0</v>
      </c>
      <c r="BI29" s="839">
        <f>COUNTIF($K$55:$M$84,"準・特・療")</f>
        <v>0</v>
      </c>
      <c r="BJ29" s="839">
        <f>COUNTIF($X$55:$Z$84,"準・特・療")</f>
        <v>0</v>
      </c>
      <c r="BK29" s="839">
        <f>COUNTIF($K$98:$M$127,"準・特・療")</f>
        <v>0</v>
      </c>
      <c r="BL29" s="839">
        <f>COUNTIF($X$98:$Z$127,"準・特・療")</f>
        <v>0</v>
      </c>
      <c r="BM29" s="839">
        <f>COUNTIF($K$141:$M$170,"準・特・療")</f>
        <v>0</v>
      </c>
      <c r="BN29" s="839">
        <f>COUNTIF($X$141:$Z$170,"準・特・療")</f>
        <v>0</v>
      </c>
      <c r="BO29" s="839">
        <f>COUNTIF($K$184:$M$213,"準・特・療")</f>
        <v>0</v>
      </c>
      <c r="BP29" s="839">
        <f>COUNTIF($X$184:$Z$213,"準・特・療")</f>
        <v>0</v>
      </c>
      <c r="BQ29" s="839">
        <f>COUNTIF($K$227:$M$256,"準・特・療")</f>
        <v>0</v>
      </c>
      <c r="BR29" s="839">
        <f>COUNTIF($X$227:$Z$256,"準・特・療")</f>
        <v>0</v>
      </c>
      <c r="BS29" s="839">
        <f t="shared" si="12"/>
        <v>0</v>
      </c>
      <c r="BT29" s="844">
        <f>SUMIFS($H$13:$H$22,$J$13:$J$22,"小",$K$13:$K$22,"準・特・療")+SUMIFS($U$13:$U$22,$W$13:$W$22,"小",$X$13:$X$22,"準・特・療")+SUMIFS($H$55:$H$84,$J$55:$J$84,"小",$K$55:$K$84,"準・特・療")+SUMIFS($U$55:$U$84,$W$55:$W$84,"小",$X$55:$X$84,"準・特・療")+SUMIFS($H$98:$H$127,$J$98:$J$127,"小",$K$98:$K$127,"準・特・療")+SUMIFS($H$141:$H$170,$J$141:$J$170,"小",$K$141:$K$170,"準・特・療")+SUMIFS($H$184:$H$213,$J$184:$J$213,"小",$K$184:$K$213,"準・特・療")+SUMIFS($H$227:$H$256,$J$227:$J$256,"小",$K$227:$K$256,"準・特・療")+SUMIFS($U$98:$U$127,$W$98:$W$127,"小",$X$98:$X$127,"準・特・療")+SUMIFS($U$141:$U$170,$W$141:$W$170,"小",$X$141:$X$170,"準・特・療")+SUMIFS($U$184:$U$213,$W$184:$W$213,"小",$X$184:$X$213,"準・特・療")+SUMIFS($U$227:$U$256,$W$227:$W$256,"小",$X$227:$X$256,"準・特・療")</f>
        <v>0</v>
      </c>
      <c r="BU29" s="844">
        <f>SUMIFS($I$13:$I$22,$J$13:$J$22,"小",$K$13:$K$22,"準・特・療")+SUMIFS($V$13:$V$22,$W$13:$W$22,"小",$X$13:$X$22,"準・特・療")+SUMIFS($I$55:$I$84,$J$55:$J$84,"小",$K$55:$K$84,"準・特・療")+SUMIFS($V$55:$V$84,$W$55:$W$84,"小",$X$55:$X$84,"準・特・療")+SUMIFS($I$98:$I$127,$J$98:$J$127,"小",$K$98:$K$127,"準・特・療")+SUMIFS($I$141:$I$170,$J$141:$J$170,"小",$K$141:$K$170,"準・特・療")+SUMIFS($I$184:$I$213,$J$184:$J$213,"小",$K$184:$K$213,"準・特・療")+SUMIFS($I$227:$I$256,$J$227:$J$256,"小",$K$227:$K$256,"準・特・療")+SUMIFS($V$98:$V$127,$W$98:$W$127,"小",$X$98:$X$127,"準・特・療")+SUMIFS($V$141:$V$170,$W$141:$W$170,"小",$X$141:$X$170,"準・特・療")+SUMIFS($V$184:$V$213,$W$184:$W$213,"小",$X$184:$X$213,"準・特・療")+SUMIFS($V$227:$V$256,$W$227:$W$256,"小",$X$227:$X$256,"準・特・療")</f>
        <v>0</v>
      </c>
      <c r="BV29" s="844">
        <f>SUMIFS($H$13:$H$22,$J$13:$J$22,"中",$K$13:$K$22,"準・特・療")+SUMIFS($U$13:$U$22,$W$13:$W$22,"中",$X$13:$X$22,"準・特・療")+SUMIFS($H$55:$H$84,$J$55:$J$84,"中",$K$55:$K$84,"準・特・療")+SUMIFS($U$55:$U$84,$W$55:$W$84,"中",$X$55:$X$84,"準・特・療")+SUMIFS($H$98:$H$127,$J$98:$J$127,"中",$K$98:$K$127,"準・特・療")+SUMIFS($H$141:$H$170,$J$141:$J$170,"中",$K$141:$K$170,"準・特・療")+SUMIFS($H$184:$H$213,$J$184:$J$213,"中",$K$184:$K$213,"準・特・療")+SUMIFS($H$227:$H$256,$J$227:$J$256,"中",$K$227:$K$256,"準・特・療")+SUMIFS($U$98:$U$127,$W$98:$W$127,"中",$X$98:$X$127,"準・特・療")+SUMIFS($U$141:$U$170,$W$141:$W$170,"中",$X$141:$X$170,"準・特・療")+SUMIFS($U$184:$U$213,$W$184:$W$213,"中",$X$184:$X$213,"準・特・療")+SUMIFS($U$227:$U$256,$W$227:$W$256,"中",$X$227:$X$256,"準・特・療")</f>
        <v>0</v>
      </c>
      <c r="BW29" s="844">
        <f>SUMIFS($I$13:$I$22,$J$13:$J$22,"中",$K$13:$K$22,"準・特・療")+SUMIFS($V$13:$V$22,$W$13:$W$22,"中",$X$13:$X$22,"準・特・療")+SUMIFS($I$55:$I$84,$J$55:$J$84,"中",$K$55:$K$84,"準・特・療")+SUMIFS($V$55:$V$84,$W$55:$W$84,"中",$X$55:$X$84,"準・特・療")+SUMIFS($I$98:$I$127,$J$98:$J$127,"中",$K$98:$K$127,"準・特・療")+SUMIFS($I$141:$I$170,$J$141:$J$170,"中",$K$141:$K$170,"準・特・療")+SUMIFS($I$184:$I$213,$J$184:$J$213,"中",$K$184:$K$213,"準・特・療")+SUMIFS($I$227:$I$256,$J$227:$J$256,"中",$K$227:$K$256,"準・特・療")+SUMIFS($V$98:$V$127,$W$98:$W$127,"中",$X$98:$X$127,"準・特・療")+SUMIFS($V$141:$V$170,$W$141:$W$170,"中",$X$141:$X$170,"準・特・療")+SUMIFS($V$184:$V$213,$W$184:$W$213,"中",$X$184:$X$213,"準・特・療")+SUMIFS($V$227:$V$256,$W$227:$W$256,"中",$X$227:$X$256,"準・特・療")</f>
        <v>0</v>
      </c>
      <c r="BX29" s="825"/>
      <c r="BY29" s="825"/>
      <c r="BZ29" s="825"/>
      <c r="CA29" s="825"/>
      <c r="CB29" s="825"/>
      <c r="CC29" s="796" t="str">
        <f t="shared" si="7"/>
        <v>小泊/準・特・精</v>
      </c>
      <c r="CD29" s="839">
        <f t="shared" si="8"/>
        <v>0</v>
      </c>
      <c r="CE29" s="796">
        <f>IF(OR(BT30="",BT30=0),0,98)</f>
        <v>0</v>
      </c>
      <c r="CF29" s="796">
        <v>330</v>
      </c>
      <c r="CG29" s="834">
        <v>98</v>
      </c>
      <c r="CH29" s="825"/>
      <c r="CI29" s="829"/>
      <c r="CJ29" s="829"/>
      <c r="CK29" s="825"/>
      <c r="CL29" s="825"/>
      <c r="CM29" s="825"/>
      <c r="CN29" s="825"/>
      <c r="CO29" s="825"/>
      <c r="CP29" s="825"/>
      <c r="CQ29" s="825"/>
      <c r="CR29" s="825"/>
      <c r="CS29" s="825"/>
      <c r="CT29" s="825"/>
      <c r="CU29" s="825"/>
      <c r="CV29" s="825"/>
      <c r="CW29" s="825"/>
      <c r="CX29" s="825"/>
      <c r="CY29" s="825"/>
    </row>
    <row r="30" spans="1:103" s="8" customFormat="1" ht="21" customHeight="1">
      <c r="A30" s="338"/>
      <c r="B30" s="2065" t="str">
        <f>IF(D30=0,"",CI9)</f>
        <v/>
      </c>
      <c r="C30" s="2066"/>
      <c r="D30" s="2069">
        <f>CJ9</f>
        <v>0</v>
      </c>
      <c r="E30" s="2070"/>
      <c r="F30" s="2065" t="str">
        <f>IF(H30=0,"",CI10)</f>
        <v/>
      </c>
      <c r="G30" s="2066"/>
      <c r="H30" s="2069">
        <f>CJ10</f>
        <v>0</v>
      </c>
      <c r="I30" s="2070"/>
      <c r="J30" s="2065" t="str">
        <f>IF(L30=0,"",CI11)</f>
        <v/>
      </c>
      <c r="K30" s="2066"/>
      <c r="L30" s="2069">
        <f>CJ11</f>
        <v>0</v>
      </c>
      <c r="M30" s="2070"/>
      <c r="N30" s="2065" t="str">
        <f>IF(P30=0,"",CI12)</f>
        <v/>
      </c>
      <c r="O30" s="2066"/>
      <c r="P30" s="2069">
        <f>CJ12</f>
        <v>0</v>
      </c>
      <c r="Q30" s="2070"/>
      <c r="R30" s="2065" t="str">
        <f>IF(T30=0,"",CI13)</f>
        <v/>
      </c>
      <c r="S30" s="2066"/>
      <c r="T30" s="2069">
        <f>CJ13</f>
        <v>0</v>
      </c>
      <c r="U30" s="2070"/>
      <c r="V30" s="2065" t="str">
        <f>IF(X30=0,"",CI14)</f>
        <v/>
      </c>
      <c r="W30" s="2066"/>
      <c r="X30" s="2069">
        <f>CJ14</f>
        <v>0</v>
      </c>
      <c r="Y30" s="2070"/>
      <c r="Z30" s="252"/>
      <c r="AA30" s="338"/>
      <c r="AB30" s="2087"/>
      <c r="AC30" s="2088"/>
      <c r="AD30" s="2083"/>
      <c r="AE30" s="2084"/>
      <c r="AF30" s="2087" t="str">
        <f>IF(AH30=0,"",DI10)</f>
        <v/>
      </c>
      <c r="AG30" s="2088"/>
      <c r="AH30" s="2083">
        <f>DJ10</f>
        <v>0</v>
      </c>
      <c r="AI30" s="2084"/>
      <c r="AJ30" s="2087" t="str">
        <f>IF(AL30=0,"",DI11)</f>
        <v/>
      </c>
      <c r="AK30" s="2088"/>
      <c r="AL30" s="2083">
        <f>DJ11</f>
        <v>0</v>
      </c>
      <c r="AM30" s="2084"/>
      <c r="AN30" s="2091" t="str">
        <f>IF(AP30=0,"",DI12)</f>
        <v/>
      </c>
      <c r="AO30" s="2092"/>
      <c r="AP30" s="2083">
        <f>DJ12</f>
        <v>0</v>
      </c>
      <c r="AQ30" s="2084"/>
      <c r="AR30" s="2065" t="str">
        <f>IF(AT30=0,"",DI13)</f>
        <v/>
      </c>
      <c r="AS30" s="2066"/>
      <c r="AT30" s="2083">
        <f>DJ13</f>
        <v>0</v>
      </c>
      <c r="AU30" s="2084"/>
      <c r="AV30" s="2065" t="str">
        <f>IF(AX30=0,"",DI14)</f>
        <v/>
      </c>
      <c r="AW30" s="2066"/>
      <c r="AX30" s="2083">
        <f>DJ14</f>
        <v>0</v>
      </c>
      <c r="AY30" s="2084"/>
      <c r="AZ30" s="252"/>
      <c r="BA30" s="67">
        <v>18</v>
      </c>
      <c r="BB30" s="68">
        <f t="shared" si="13"/>
        <v>0</v>
      </c>
      <c r="BC30" s="192">
        <f t="shared" si="14"/>
        <v>0</v>
      </c>
      <c r="BD30" s="70">
        <f t="shared" si="15"/>
        <v>0</v>
      </c>
      <c r="BE30" s="71">
        <f t="shared" si="15"/>
        <v>0</v>
      </c>
      <c r="BF30" s="849" t="s">
        <v>521</v>
      </c>
      <c r="BG30" s="839">
        <f>COUNTIF($K$13:$M$22,"準・特・精")</f>
        <v>0</v>
      </c>
      <c r="BH30" s="843">
        <f>COUNTIF($X$13:$Z$22,"準・特・精")</f>
        <v>0</v>
      </c>
      <c r="BI30" s="839">
        <f>COUNTIF($K$55:$M$84,"準・特・精")</f>
        <v>0</v>
      </c>
      <c r="BJ30" s="839">
        <f>COUNTIF($X$55:$Z$84,"準・特・精")</f>
        <v>0</v>
      </c>
      <c r="BK30" s="839">
        <f>COUNTIF($K$98:$M$127,"準・特・精")</f>
        <v>0</v>
      </c>
      <c r="BL30" s="839">
        <f>COUNTIF($X$98:$Z$127,"準・特・精")</f>
        <v>0</v>
      </c>
      <c r="BM30" s="839">
        <f>COUNTIF($K$141:$M$170,"準・特・精")</f>
        <v>0</v>
      </c>
      <c r="BN30" s="839">
        <f>COUNTIF($X$141:$Z$170,"準・特・精")</f>
        <v>0</v>
      </c>
      <c r="BO30" s="839">
        <f>COUNTIF($K$184:$M$213,"準・特・精")</f>
        <v>0</v>
      </c>
      <c r="BP30" s="839">
        <f>COUNTIF($X$184:$Z$213,"準・特・精")</f>
        <v>0</v>
      </c>
      <c r="BQ30" s="839">
        <f>COUNTIF($K$227:$M$256,"準・特・精")</f>
        <v>0</v>
      </c>
      <c r="BR30" s="839">
        <f>COUNTIF($X$227:$Z$256,"準・特・精")</f>
        <v>0</v>
      </c>
      <c r="BS30" s="839">
        <f t="shared" si="12"/>
        <v>0</v>
      </c>
      <c r="BT30" s="844">
        <f>SUMIFS($H$13:$H$22,$J$13:$J$22,"小",$K$13:$K$22,"準・特・精")+SUMIFS($U$13:$U$22,$W$13:$W$22,"小",$X$13:$X$22,"準・特・精")+SUMIFS($H$55:$H$84,$J$55:$J$84,"小",$K$55:$K$84,"準・特・精")+SUMIFS($U$55:$U$84,$W$55:$W$84,"小",$X$55:$X$84,"準・特・精")+SUMIFS($H$98:$H$127,$J$98:$J$127,"小",$K$98:$K$127,"準・特・精")+SUMIFS($H$141:$H$170,$J$141:$J$170,"小",$K$141:$K$170,"準・特・精")+SUMIFS($H$184:$H$213,$J$184:$J$213,"小",$K$184:$K$213,"準・特・精")+SUMIFS($H$227:$H$256,$J$227:$J$256,"小",$K$227:$K$256,"準・特・精")+SUMIFS($U$98:$U$127,$W$98:$W$127,"小",$X$98:$X$127,"準・特・精")+SUMIFS($U$141:$U$170,$W$141:$W$170,"小",$X$141:$X$170,"準・特・精")+SUMIFS($U$184:$U$213,$W$184:$W$213,"小",$X$184:$X$213,"準・特・精")+SUMIFS($U$227:$U$256,$W$227:$W$256,"小",$X$227:$X$256,"準・特・精")</f>
        <v>0</v>
      </c>
      <c r="BU30" s="844">
        <f>SUMIFS($I$13:$I$22,$J$13:$J$22,"小",$K$13:$K$22,"準・特・精")+SUMIFS($V$13:$V$22,$W$13:$W$22,"小",$X$13:$X$22,"準・特・精")+SUMIFS($I$55:$I$84,$J$55:$J$84,"小",$K$55:$K$84,"準・特・精")+SUMIFS($V$55:$V$84,$W$55:$W$84,"小",$X$55:$X$84,"準・特・精")+SUMIFS($I$98:$I$127,$J$98:$J$127,"小",$K$98:$K$127,"準・特・精")+SUMIFS($I$141:$I$170,$J$141:$J$170,"小",$K$141:$K$170,"準・特・精")+SUMIFS($I$184:$I$213,$J$184:$J$213,"小",$K$184:$K$213,"準・特・精")+SUMIFS($I$227:$I$256,$J$227:$J$256,"小",$K$227:$K$256,"準・特・精")+SUMIFS($V$98:$V$127,$W$98:$W$127,"小",$X$98:$X$127,"準・特・精")+SUMIFS($V$141:$V$170,$W$141:$W$170,"小",$X$141:$X$170,"準・特・精")+SUMIFS($V$184:$V$213,$W$184:$W$213,"小",$X$184:$X$213,"準・特・精")+SUMIFS($V$227:$V$256,$W$227:$W$256,"小",$X$227:$X$256,"準・特・精")</f>
        <v>0</v>
      </c>
      <c r="BV30" s="844">
        <f>SUMIFS($H$13:$H$22,$J$13:$J$22,"中",$K$13:$K$22,"準・特・精")+SUMIFS($U$13:$U$22,$W$13:$W$22,"中",$X$13:$X$22,"準・特・精")+SUMIFS($H$55:$H$84,$J$55:$J$84,"中",$K$55:$K$84,"準・特・精")+SUMIFS($U$55:$U$84,$W$55:$W$84,"中",$X$55:$X$84,"準・特・精")+SUMIFS($H$98:$H$127,$J$98:$J$127,"中",$K$98:$K$127,"準・特・精")+SUMIFS($H$141:$H$170,$J$141:$J$170,"中",$K$141:$K$170,"準・特・精")+SUMIFS($H$184:$H$213,$J$184:$J$213,"中",$K$184:$K$213,"準・特・精")+SUMIFS($H$227:$H$256,$J$227:$J$256,"中",$K$227:$K$256,"準・特・精")+SUMIFS($U$98:$U$127,$W$98:$W$127,"中",$X$98:$X$127,"準・特・精")+SUMIFS($U$141:$U$170,$W$141:$W$170,"中",$X$141:$X$170,"準・特・精")+SUMIFS($U$184:$U$213,$W$184:$W$213,"中",$X$184:$X$213,"準・特・精")+SUMIFS($U$227:$U$256,$W$227:$W$256,"中",$X$227:$X$256,"準・特・精")</f>
        <v>0</v>
      </c>
      <c r="BW30" s="844">
        <f>SUMIFS($I$13:$I$22,$J$13:$J$22,"中",$K$13:$K$22,"準・特・精")+SUMIFS($V$13:$V$22,$W$13:$W$22,"中",$X$13:$X$22,"準・特・精")+SUMIFS($I$55:$I$84,$J$55:$J$84,"中",$K$55:$K$84,"準・特・精")+SUMIFS($V$55:$V$84,$W$55:$W$84,"中",$X$55:$X$84,"準・特・精")+SUMIFS($I$98:$I$127,$J$98:$J$127,"中",$K$98:$K$127,"準・特・精")+SUMIFS($I$141:$I$170,$J$141:$J$170,"中",$K$141:$K$170,"準・特・精")+SUMIFS($I$184:$I$213,$J$184:$J$213,"中",$K$184:$K$213,"準・特・精")+SUMIFS($I$227:$I$256,$J$227:$J$256,"中",$K$227:$K$256,"準・特・精")+SUMIFS($V$98:$V$127,$W$98:$W$127,"中",$X$98:$X$127,"準・特・精")+SUMIFS($V$141:$V$170,$W$141:$W$170,"中",$X$141:$X$170,"準・特・精")+SUMIFS($V$184:$V$213,$W$184:$W$213,"中",$X$184:$X$213,"準・特・精")+SUMIFS($V$227:$V$256,$W$227:$W$256,"中",$X$227:$X$256,"準・特・精")</f>
        <v>0</v>
      </c>
      <c r="BX30" s="825"/>
      <c r="BY30" s="825"/>
      <c r="BZ30" s="825"/>
      <c r="CA30" s="825"/>
      <c r="CB30" s="825"/>
      <c r="CC30" s="796" t="str">
        <f t="shared" si="7"/>
        <v>小泊/準・身・療</v>
      </c>
      <c r="CD30" s="839">
        <f t="shared" si="8"/>
        <v>0</v>
      </c>
      <c r="CE30" s="796">
        <f>IF(OR(BT31="",BT31=0),0,97)</f>
        <v>0</v>
      </c>
      <c r="CF30" s="796">
        <v>330</v>
      </c>
      <c r="CG30" s="834">
        <v>97</v>
      </c>
      <c r="CH30" s="825"/>
      <c r="CI30" s="829"/>
      <c r="CJ30" s="829"/>
      <c r="CK30" s="825"/>
      <c r="CL30" s="825"/>
      <c r="CM30" s="825"/>
      <c r="CN30" s="825"/>
      <c r="CO30" s="825"/>
      <c r="CP30" s="825"/>
      <c r="CQ30" s="825"/>
      <c r="CR30" s="825"/>
      <c r="CS30" s="825"/>
      <c r="CT30" s="825"/>
      <c r="CU30" s="825"/>
      <c r="CV30" s="825"/>
      <c r="CW30" s="825"/>
      <c r="CX30" s="825"/>
      <c r="CY30" s="825"/>
    </row>
    <row r="31" spans="1:103" s="8" customFormat="1" ht="27.95" customHeight="1" thickBot="1">
      <c r="A31" s="341"/>
      <c r="B31" s="2067"/>
      <c r="C31" s="2068"/>
      <c r="D31" s="2071"/>
      <c r="E31" s="2072"/>
      <c r="F31" s="2067"/>
      <c r="G31" s="2068"/>
      <c r="H31" s="2071"/>
      <c r="I31" s="2072"/>
      <c r="J31" s="2067"/>
      <c r="K31" s="2068"/>
      <c r="L31" s="2071"/>
      <c r="M31" s="2072"/>
      <c r="N31" s="2067"/>
      <c r="O31" s="2068"/>
      <c r="P31" s="2071"/>
      <c r="Q31" s="2072"/>
      <c r="R31" s="2067"/>
      <c r="S31" s="2068"/>
      <c r="T31" s="2071"/>
      <c r="U31" s="2072"/>
      <c r="V31" s="2067"/>
      <c r="W31" s="2068"/>
      <c r="X31" s="2071"/>
      <c r="Y31" s="2072"/>
      <c r="Z31" s="252"/>
      <c r="AA31" s="341"/>
      <c r="AB31" s="2089"/>
      <c r="AC31" s="2090"/>
      <c r="AD31" s="2085"/>
      <c r="AE31" s="2086"/>
      <c r="AF31" s="2089"/>
      <c r="AG31" s="2090"/>
      <c r="AH31" s="2085"/>
      <c r="AI31" s="2086"/>
      <c r="AJ31" s="2089"/>
      <c r="AK31" s="2090"/>
      <c r="AL31" s="2085"/>
      <c r="AM31" s="2086"/>
      <c r="AN31" s="2093"/>
      <c r="AO31" s="2094"/>
      <c r="AP31" s="2085"/>
      <c r="AQ31" s="2086"/>
      <c r="AR31" s="2067"/>
      <c r="AS31" s="2068"/>
      <c r="AT31" s="2085"/>
      <c r="AU31" s="2086"/>
      <c r="AV31" s="2067"/>
      <c r="AW31" s="2068"/>
      <c r="AX31" s="2085"/>
      <c r="AY31" s="2086"/>
      <c r="AZ31" s="252"/>
      <c r="BA31" s="67">
        <v>19</v>
      </c>
      <c r="BB31" s="68">
        <f t="shared" si="13"/>
        <v>0</v>
      </c>
      <c r="BC31" s="192">
        <f t="shared" si="14"/>
        <v>0</v>
      </c>
      <c r="BD31" s="70">
        <f t="shared" si="15"/>
        <v>0</v>
      </c>
      <c r="BE31" s="71">
        <f t="shared" si="15"/>
        <v>0</v>
      </c>
      <c r="BF31" s="849" t="s">
        <v>522</v>
      </c>
      <c r="BG31" s="839">
        <f>COUNTIF($K$13:$M$22,"準・身・療")</f>
        <v>0</v>
      </c>
      <c r="BH31" s="843">
        <f>COUNTIF($X$13:$Z$22,"準・身・療")</f>
        <v>0</v>
      </c>
      <c r="BI31" s="839">
        <f>COUNTIF($K$55:$M$84,"準・身・療")</f>
        <v>0</v>
      </c>
      <c r="BJ31" s="839">
        <f>COUNTIF($X$55:$Z$84,"準・身・療")</f>
        <v>0</v>
      </c>
      <c r="BK31" s="839">
        <f>COUNTIF($K$98:$M$127,"準・身・療")</f>
        <v>0</v>
      </c>
      <c r="BL31" s="839">
        <f>COUNTIF($X$98:$Z$127,"準・身・療")</f>
        <v>0</v>
      </c>
      <c r="BM31" s="839">
        <f>COUNTIF($K$141:$M$170,"準・身・療")</f>
        <v>0</v>
      </c>
      <c r="BN31" s="839">
        <f>COUNTIF($X$141:$Z$170,"準・身・療")</f>
        <v>0</v>
      </c>
      <c r="BO31" s="839">
        <f>COUNTIF($K$184:$M$213,"準・身・療")</f>
        <v>0</v>
      </c>
      <c r="BP31" s="839">
        <f>COUNTIF($X$184:$Z$213,"準・身・療")</f>
        <v>0</v>
      </c>
      <c r="BQ31" s="839">
        <f>COUNTIF($K$227:$M$256,"準・身・療")</f>
        <v>0</v>
      </c>
      <c r="BR31" s="839">
        <f>COUNTIF($X$227:$Z$256,"準・身・療")</f>
        <v>0</v>
      </c>
      <c r="BS31" s="839">
        <f t="shared" si="12"/>
        <v>0</v>
      </c>
      <c r="BT31" s="844">
        <f>SUMIFS($H$13:$H$22,$J$13:$J$22,"小",$K$13:$K$22,"準・身・療")+SUMIFS($U$13:$U$22,$W$13:$W$22,"小",$X$13:$X$22,"準・身・療")+SUMIFS($H$55:$H$84,$J$55:$J$84,"小",$K$55:$K$84,"準・身・療")+SUMIFS($U$55:$U$84,$W$55:$W$84,"小",$X$55:$X$84,"準・身・療")+SUMIFS($H$98:$H$127,$J$98:$J$127,"小",$K$98:$K$127,"準・身・療")+SUMIFS($H$141:$H$170,$J$141:$J$170,"小",$K$141:$K$170,"準・身・療")+SUMIFS($H$184:$H$213,$J$184:$J$213,"小",$K$184:$K$213,"準・身・療")+SUMIFS($H$227:$H$256,$J$227:$J$256,"小",$K$227:$K$256,"準・身・療")+SUMIFS($U$98:$U$127,$W$98:$W$127,"小",$X$98:$X$127,"準・身・療")+SUMIFS($U$141:$U$170,$W$141:$W$170,"小",$X$141:$X$170,"準・身・療")+SUMIFS($U$184:$U$213,$W$184:$W$213,"小",$X$184:$X$213,"準・身・療")+SUMIFS($U$227:$U$256,$W$227:$W$256,"小",$X$227:$X$256,"準・身・療")</f>
        <v>0</v>
      </c>
      <c r="BU31" s="844">
        <f>SUMIFS($I$13:$I$22,$J$13:$J$22,"小",$K$13:$K$22,"準・身・療")+SUMIFS($V$13:$V$22,$W$13:$W$22,"小",$X$13:$X$22,"準・身・療")+SUMIFS($I$55:$I$84,$J$55:$J$84,"小",$K$55:$K$84,"準・身・療")+SUMIFS($V$55:$V$84,$W$55:$W$84,"小",$X$55:$X$84,"準・身・療")+SUMIFS($I$98:$I$127,$J$98:$J$127,"小",$K$98:$K$127,"準・身・療")+SUMIFS($I$141:$I$170,$J$141:$J$170,"小",$K$141:$K$170,"準・身・療")+SUMIFS($I$184:$I$213,$J$184:$J$213,"小",$K$184:$K$213,"準・身・療")+SUMIFS($I$227:$I$256,$J$227:$J$256,"小",$K$227:$K$256,"準・身・療")+SUMIFS($V$98:$V$127,$W$98:$W$127,"小",$X$98:$X$127,"準・身・療")+SUMIFS($V$141:$V$170,$W$141:$W$170,"小",$X$141:$X$170,"準・身・療")+SUMIFS($V$184:$V$213,$W$184:$W$213,"小",$X$184:$X$213,"準・身・療")+SUMIFS($V$227:$V$256,$W$227:$W$256,"小",$X$227:$X$256,"準・身・療")</f>
        <v>0</v>
      </c>
      <c r="BV31" s="844">
        <f>SUMIFS($H$13:$H$22,$J$13:$J$22,"中",$K$13:$K$22,"準・身・療")+SUMIFS($U$13:$U$22,$W$13:$W$22,"中",$X$13:$X$22,"準・身・療")+SUMIFS($H$55:$H$84,$J$55:$J$84,"中",$K$55:$K$84,"準・身・療")+SUMIFS($U$55:$U$84,$W$55:$W$84,"中",$X$55:$X$84,"準・身・療")+SUMIFS($H$98:$H$127,$J$98:$J$127,"中",$K$98:$K$127,"準・身・療")+SUMIFS($H$141:$H$170,$J$141:$J$170,"中",$K$141:$K$170,"準・身・療")+SUMIFS($H$184:$H$213,$J$184:$J$213,"中",$K$184:$K$213,"準・身・療")+SUMIFS($H$227:$H$256,$J$227:$J$256,"中",$K$227:$K$256,"準・身・療")+SUMIFS($U$98:$U$127,$W$98:$W$127,"中",$X$98:$X$127,"準・身・療")+SUMIFS($U$141:$U$170,$W$141:$W$170,"中",$X$141:$X$170,"準・身・療")+SUMIFS($U$184:$U$213,$W$184:$W$213,"中",$X$184:$X$213,"準・身・療")+SUMIFS($U$227:$U$256,$W$227:$W$256,"中",$X$227:$X$256,"準・身・療")</f>
        <v>0</v>
      </c>
      <c r="BW31" s="844">
        <f>SUMIFS($I$13:$I$22,$J$13:$J$22,"中",$K$13:$K$22,"準・身・療")+SUMIFS($V$13:$V$22,$W$13:$W$22,"中",$X$13:$X$22,"準・身・療")+SUMIFS($I$55:$I$84,$J$55:$J$84,"中",$K$55:$K$84,"準・身・療")+SUMIFS($V$55:$V$84,$W$55:$W$84,"中",$X$55:$X$84,"準・身・療")+SUMIFS($I$98:$I$127,$J$98:$J$127,"中",$K$98:$K$127,"準・身・療")+SUMIFS($I$141:$I$170,$J$141:$J$170,"中",$K$141:$K$170,"準・身・療")+SUMIFS($I$184:$I$213,$J$184:$J$213,"中",$K$184:$K$213,"準・身・療")+SUMIFS($I$227:$I$256,$J$227:$J$256,"中",$K$227:$K$256,"準・身・療")+SUMIFS($V$98:$V$127,$W$98:$W$127,"中",$X$98:$X$127,"準・身・療")+SUMIFS($V$141:$V$170,$W$141:$W$170,"中",$X$141:$X$170,"準・身・療")+SUMIFS($V$184:$V$213,$W$184:$W$213,"中",$X$184:$X$213,"準・身・療")+SUMIFS($V$227:$V$256,$W$227:$W$256,"中",$X$227:$X$256,"準・身・療")</f>
        <v>0</v>
      </c>
      <c r="BX31" s="825"/>
      <c r="BY31" s="825"/>
      <c r="BZ31" s="825"/>
      <c r="CA31" s="825"/>
      <c r="CB31" s="825"/>
      <c r="CC31" s="796" t="str">
        <f t="shared" si="7"/>
        <v>小泊/準・身・精</v>
      </c>
      <c r="CD31" s="839">
        <f t="shared" si="8"/>
        <v>0</v>
      </c>
      <c r="CE31" s="796">
        <f>IF(OR(BT32="",BT32=0),0,96)</f>
        <v>0</v>
      </c>
      <c r="CF31" s="796">
        <v>330</v>
      </c>
      <c r="CG31" s="834">
        <v>96</v>
      </c>
      <c r="CH31" s="825"/>
      <c r="CI31" s="829"/>
      <c r="CJ31" s="829"/>
      <c r="CK31" s="825"/>
      <c r="CL31" s="825"/>
      <c r="CM31" s="825"/>
      <c r="CN31" s="825"/>
      <c r="CO31" s="825"/>
      <c r="CP31" s="825"/>
      <c r="CQ31" s="825"/>
      <c r="CR31" s="825"/>
      <c r="CS31" s="825"/>
      <c r="CT31" s="825"/>
      <c r="CU31" s="825"/>
      <c r="CV31" s="825"/>
      <c r="CW31" s="825"/>
      <c r="CX31" s="825"/>
      <c r="CY31" s="825"/>
    </row>
    <row r="32" spans="1:103" s="8" customFormat="1" ht="27.95" customHeight="1">
      <c r="A32" s="252"/>
      <c r="B32" s="252"/>
      <c r="C32" s="252"/>
      <c r="D32" s="252"/>
      <c r="E32" s="252"/>
      <c r="F32" s="252"/>
      <c r="G32" s="252"/>
      <c r="H32" s="252"/>
      <c r="I32" s="252"/>
      <c r="J32" s="252"/>
      <c r="K32" s="303"/>
      <c r="L32" s="303"/>
      <c r="M32" s="252"/>
      <c r="N32" s="252"/>
      <c r="O32" s="342"/>
      <c r="P32" s="252"/>
      <c r="Q32" s="252"/>
      <c r="R32" s="252"/>
      <c r="S32" s="252"/>
      <c r="T32" s="252"/>
      <c r="U32" s="252"/>
      <c r="V32" s="252"/>
      <c r="W32" s="252"/>
      <c r="X32" s="252"/>
      <c r="Y32" s="252"/>
      <c r="Z32" s="252"/>
      <c r="AA32" s="252"/>
      <c r="AB32" s="252"/>
      <c r="AC32" s="252"/>
      <c r="AD32" s="252"/>
      <c r="AE32" s="252"/>
      <c r="AF32" s="252"/>
      <c r="AG32" s="252"/>
      <c r="AH32" s="252"/>
      <c r="AI32" s="252"/>
      <c r="AJ32" s="252"/>
      <c r="AK32" s="303"/>
      <c r="AL32" s="303"/>
      <c r="AM32" s="252"/>
      <c r="AN32" s="252"/>
      <c r="AO32" s="342"/>
      <c r="AP32" s="252"/>
      <c r="AQ32" s="252"/>
      <c r="AR32" s="252"/>
      <c r="AS32" s="252"/>
      <c r="AT32" s="252"/>
      <c r="AU32" s="252"/>
      <c r="AV32" s="252"/>
      <c r="AW32" s="252"/>
      <c r="AX32" s="252"/>
      <c r="AY32" s="252"/>
      <c r="AZ32" s="252"/>
      <c r="BA32" s="67">
        <v>20</v>
      </c>
      <c r="BB32" s="68">
        <f t="shared" si="13"/>
        <v>0</v>
      </c>
      <c r="BC32" s="192">
        <f t="shared" si="14"/>
        <v>0</v>
      </c>
      <c r="BD32" s="70">
        <f t="shared" si="15"/>
        <v>0</v>
      </c>
      <c r="BE32" s="71">
        <f t="shared" si="15"/>
        <v>0</v>
      </c>
      <c r="BF32" s="829" t="s">
        <v>523</v>
      </c>
      <c r="BG32" s="839">
        <f>COUNTIF($K$13:$M$22,"準・身・精")</f>
        <v>0</v>
      </c>
      <c r="BH32" s="843">
        <f>COUNTIF($X$13:$Z$22,"準・身・精")</f>
        <v>0</v>
      </c>
      <c r="BI32" s="839">
        <f>COUNTIF($K$55:$M$84,"準・身・精")</f>
        <v>0</v>
      </c>
      <c r="BJ32" s="839">
        <f>COUNTIF($X$55:$Z$84,"準・身・精")</f>
        <v>0</v>
      </c>
      <c r="BK32" s="839">
        <f>COUNTIF($K$98:$M$127,"準・身・精")</f>
        <v>0</v>
      </c>
      <c r="BL32" s="839">
        <f>COUNTIF($X$98:$Z$127,"準・身・精")</f>
        <v>0</v>
      </c>
      <c r="BM32" s="839">
        <f>COUNTIF($K$141:$M$170,"準・身・精")</f>
        <v>0</v>
      </c>
      <c r="BN32" s="839">
        <f>COUNTIF($X$141:$Z$170,"準・身・精")</f>
        <v>0</v>
      </c>
      <c r="BO32" s="839">
        <f>COUNTIF($K$184:$M$213,"準・身・精")</f>
        <v>0</v>
      </c>
      <c r="BP32" s="839">
        <f>COUNTIF($X$184:$Z$213,"準・身・精")</f>
        <v>0</v>
      </c>
      <c r="BQ32" s="839">
        <f>COUNTIF($K$227:$M$256,"準・身・精")</f>
        <v>0</v>
      </c>
      <c r="BR32" s="839">
        <f>COUNTIF($X$227:$Z$256,"準・身・精")</f>
        <v>0</v>
      </c>
      <c r="BS32" s="839">
        <f t="shared" si="12"/>
        <v>0</v>
      </c>
      <c r="BT32" s="844">
        <f>SUMIFS($H$13:$H$22,$J$13:$J$22,"小",$K$13:$K$22,"準・身・精")+SUMIFS($U$13:$U$22,$W$13:$W$22,"小",$X$13:$X$22,"準・身・精")+SUMIFS($H$55:$H$84,$J$55:$J$84,"小",$K$55:$K$84,"準・身・精")+SUMIFS($U$55:$U$84,$W$55:$W$84,"小",$X$55:$X$84,"準・身・精")+SUMIFS($H$98:$H$127,$J$98:$J$127,"小",$K$98:$K$127,"準・身・精")+SUMIFS($H$141:$H$170,$J$141:$J$170,"小",$K$141:$K$170,"準・身・精")+SUMIFS($H$184:$H$213,$J$184:$J$213,"小",$K$184:$K$213,"準・身・精")+SUMIFS($H$227:$H$256,$J$227:$J$256,"小",$K$227:$K$256,"準・身・精")+SUMIFS($U$98:$U$127,$W$98:$W$127,"小",$X$98:$X$127,"準・身・精")+SUMIFS($U$141:$U$170,$W$141:$W$170,"小",$X$141:$X$170,"準・身・精")+SUMIFS($U$184:$U$213,$W$184:$W$213,"小",$X$184:$X$213,"準・身・精")+SUMIFS($U$227:$U$256,$W$227:$W$256,"小",$X$227:$X$256,"準・身・精")</f>
        <v>0</v>
      </c>
      <c r="BU32" s="844">
        <f>SUMIFS($I$13:$I$22,$J$13:$J$22,"小",$K$13:$K$22,"準・身・精")+SUMIFS($V$13:$V$22,$W$13:$W$22,"小",$X$13:$X$22,"準・身・精")+SUMIFS($I$55:$I$84,$J$55:$J$84,"小",$K$55:$K$84,"準・身・精")+SUMIFS($V$55:$V$84,$W$55:$W$84,"小",$X$55:$X$84,"準・身・精")+SUMIFS($I$98:$I$127,$J$98:$J$127,"小",$K$98:$K$127,"準・身・精")+SUMIFS($I$141:$I$170,$J$141:$J$170,"小",$K$141:$K$170,"準・身・精")+SUMIFS($I$184:$I$213,$J$184:$J$213,"小",$K$184:$K$213,"準・身・精")+SUMIFS($I$227:$I$256,$J$227:$J$256,"小",$K$227:$K$256,"準・身・精")+SUMIFS($V$98:$V$127,$W$98:$W$127,"小",$X$98:$X$127,"準・身・精")+SUMIFS($V$141:$V$170,$W$141:$W$170,"小",$X$141:$X$170,"準・身・精")+SUMIFS($V$184:$V$213,$W$184:$W$213,"小",$X$184:$X$213,"準・身・精")+SUMIFS($V$227:$V$256,$W$227:$W$256,"小",$X$227:$X$256,"準・身・精")</f>
        <v>0</v>
      </c>
      <c r="BV32" s="844">
        <f>SUMIFS($H$13:$H$22,$J$13:$J$22,"中",$K$13:$K$22,"準・身・精")+SUMIFS($U$13:$U$22,$W$13:$W$22,"中",$X$13:$X$22,"準・身・精")+SUMIFS($H$55:$H$84,$J$55:$J$84,"中",$K$55:$K$84,"準・身・精")+SUMIFS($U$55:$U$84,$W$55:$W$84,"中",$X$55:$X$84,"準・身・精")+SUMIFS($H$98:$H$127,$J$98:$J$127,"中",$K$98:$K$127,"準・身・精")+SUMIFS($H$141:$H$170,$J$141:$J$170,"中",$K$141:$K$170,"準・身・精")+SUMIFS($H$184:$H$213,$J$184:$J$213,"中",$K$184:$K$213,"準・身・精")+SUMIFS($H$227:$H$256,$J$227:$J$256,"中",$K$227:$K$256,"準・身・精")+SUMIFS($U$98:$U$127,$W$98:$W$127,"中",$X$98:$X$127,"準・身・精")+SUMIFS($U$141:$U$170,$W$141:$W$170,"中",$X$141:$X$170,"準・身・精")+SUMIFS($U$184:$U$213,$W$184:$W$213,"中",$X$184:$X$213,"準・身・精")+SUMIFS($U$227:$U$256,$W$227:$W$256,"中",$X$227:$X$256,"準・身・精")</f>
        <v>0</v>
      </c>
      <c r="BW32" s="844">
        <f>SUMIFS($I$13:$I$22,$J$13:$J$22,"中",$K$13:$K$22,"準・身・精")+SUMIFS($V$13:$V$22,$W$13:$W$22,"中",$X$13:$X$22,"準・身・精")+SUMIFS($I$55:$I$84,$J$55:$J$84,"中",$K$55:$K$84,"準・身・精")+SUMIFS($V$55:$V$84,$W$55:$W$84,"中",$X$55:$X$84,"準・身・精")+SUMIFS($I$98:$I$127,$J$98:$J$127,"中",$K$98:$K$127,"準・身・精")+SUMIFS($I$141:$I$170,$J$141:$J$170,"中",$K$141:$K$170,"準・身・精")+SUMIFS($I$184:$I$213,$J$184:$J$213,"中",$K$184:$K$213,"準・身・精")+SUMIFS($I$227:$I$256,$J$227:$J$256,"中",$K$227:$K$256,"準・身・精")+SUMIFS($V$98:$V$127,$W$98:$W$127,"中",$X$98:$X$127,"準・身・精")+SUMIFS($V$141:$V$170,$W$141:$W$170,"中",$X$141:$X$170,"準・身・精")+SUMIFS($V$184:$V$213,$W$184:$W$213,"中",$X$184:$X$213,"準・身・精")+SUMIFS($V$227:$V$256,$W$227:$W$256,"中",$X$227:$X$256,"準・身・精")</f>
        <v>0</v>
      </c>
      <c r="BX32" s="825"/>
      <c r="BY32" s="825"/>
      <c r="BZ32" s="825"/>
      <c r="CA32" s="825"/>
      <c r="CB32" s="825"/>
      <c r="CC32" s="796" t="str">
        <f t="shared" si="7"/>
        <v>小泊/準・療・精</v>
      </c>
      <c r="CD32" s="839">
        <f t="shared" si="8"/>
        <v>0</v>
      </c>
      <c r="CE32" s="796">
        <f>IF(OR(BT33="",BT33=0),0,95)</f>
        <v>0</v>
      </c>
      <c r="CF32" s="796">
        <v>330</v>
      </c>
      <c r="CG32" s="834">
        <v>95</v>
      </c>
      <c r="CH32" s="825"/>
      <c r="CI32" s="829"/>
      <c r="CJ32" s="829"/>
      <c r="CK32" s="825"/>
      <c r="CL32" s="825"/>
      <c r="CM32" s="825"/>
      <c r="CN32" s="825"/>
      <c r="CO32" s="825"/>
      <c r="CP32" s="825"/>
      <c r="CQ32" s="825"/>
      <c r="CR32" s="825"/>
      <c r="CS32" s="825"/>
      <c r="CT32" s="825"/>
      <c r="CU32" s="825"/>
      <c r="CV32" s="825"/>
      <c r="CW32" s="825"/>
      <c r="CX32" s="825"/>
      <c r="CY32" s="825"/>
    </row>
    <row r="33" spans="1:103" s="8" customFormat="1" ht="20.100000000000001" customHeight="1" thickBot="1">
      <c r="A33" s="252"/>
      <c r="B33" s="1773" t="s">
        <v>1875</v>
      </c>
      <c r="C33" s="1773"/>
      <c r="D33" s="1773"/>
      <c r="E33" s="2095" t="s">
        <v>1874</v>
      </c>
      <c r="F33" s="2096"/>
      <c r="G33" s="2097" t="s">
        <v>116</v>
      </c>
      <c r="H33" s="2098"/>
      <c r="I33" s="2098" t="s">
        <v>167</v>
      </c>
      <c r="J33" s="2098"/>
      <c r="K33" s="2098" t="s">
        <v>530</v>
      </c>
      <c r="L33" s="2098"/>
      <c r="M33" s="2135" t="s">
        <v>194</v>
      </c>
      <c r="N33" s="2098"/>
      <c r="O33" s="342"/>
      <c r="P33" s="252"/>
      <c r="Q33" s="252"/>
      <c r="R33" s="252"/>
      <c r="S33" s="252"/>
      <c r="T33" s="252"/>
      <c r="U33" s="252"/>
      <c r="V33" s="252"/>
      <c r="W33" s="252"/>
      <c r="X33" s="252"/>
      <c r="Y33" s="252"/>
      <c r="Z33" s="252"/>
      <c r="AA33" s="252"/>
      <c r="AB33" s="1773" t="s">
        <v>1875</v>
      </c>
      <c r="AC33" s="1773"/>
      <c r="AD33" s="1773"/>
      <c r="AE33" s="2095" t="s">
        <v>1874</v>
      </c>
      <c r="AF33" s="2096"/>
      <c r="AG33" s="2097" t="s">
        <v>116</v>
      </c>
      <c r="AH33" s="2098"/>
      <c r="AI33" s="2098" t="s">
        <v>167</v>
      </c>
      <c r="AJ33" s="2098"/>
      <c r="AK33" s="2098" t="s">
        <v>530</v>
      </c>
      <c r="AL33" s="2098"/>
      <c r="AM33" s="2135" t="s">
        <v>194</v>
      </c>
      <c r="AN33" s="2098"/>
      <c r="AO33" s="342"/>
      <c r="AP33" s="252"/>
      <c r="AQ33" s="252"/>
      <c r="AR33" s="252"/>
      <c r="AS33" s="252"/>
      <c r="AT33" s="252"/>
      <c r="AU33" s="252"/>
      <c r="AV33" s="252"/>
      <c r="AW33" s="252"/>
      <c r="AX33" s="252"/>
      <c r="AY33" s="252"/>
      <c r="AZ33" s="252"/>
      <c r="BA33" s="67">
        <v>21</v>
      </c>
      <c r="BB33" s="68">
        <f t="shared" ref="BB33:BB62" si="16">COUNTA(H55:I55)</f>
        <v>0</v>
      </c>
      <c r="BC33" s="192">
        <f t="shared" ref="BC33:BC62" si="17">COUNTA(K55)</f>
        <v>0</v>
      </c>
      <c r="BD33" s="70">
        <f t="shared" ref="BD33:BE62" si="18">BB33-COUNTA(H55)</f>
        <v>0</v>
      </c>
      <c r="BE33" s="70">
        <f t="shared" si="18"/>
        <v>0</v>
      </c>
      <c r="BF33" s="829" t="s">
        <v>524</v>
      </c>
      <c r="BG33" s="839">
        <f>COUNTIF($K$13:$M$22,"準・療・精")</f>
        <v>0</v>
      </c>
      <c r="BH33" s="843">
        <f>COUNTIF($X$13:$Z$22,"準・療・精")</f>
        <v>0</v>
      </c>
      <c r="BI33" s="839">
        <f>COUNTIF($K$55:$M$84,"準・療・精")</f>
        <v>0</v>
      </c>
      <c r="BJ33" s="839">
        <f>COUNTIF($X$55:$Z$84,"準・療・精")</f>
        <v>0</v>
      </c>
      <c r="BK33" s="839">
        <f>COUNTIF($K$98:$M$127,"準・療・精")</f>
        <v>0</v>
      </c>
      <c r="BL33" s="839">
        <f>COUNTIF($X$98:$Z$127,"準・療・精")</f>
        <v>0</v>
      </c>
      <c r="BM33" s="839">
        <f>COUNTIF($K$141:$M$170,"準・療・精")</f>
        <v>0</v>
      </c>
      <c r="BN33" s="839">
        <f>COUNTIF($X$141:$Z$170,"準・療・精")</f>
        <v>0</v>
      </c>
      <c r="BO33" s="839">
        <f>COUNTIF($K$184:$M$213,"準・療・精")</f>
        <v>0</v>
      </c>
      <c r="BP33" s="839">
        <f>COUNTIF($X$184:$Z$213,"準・療・精")</f>
        <v>0</v>
      </c>
      <c r="BQ33" s="839">
        <f>COUNTIF($K$227:$M$256,"準・療・精")</f>
        <v>0</v>
      </c>
      <c r="BR33" s="839">
        <f>COUNTIF($X$227:$Z$256,"準・療・精")</f>
        <v>0</v>
      </c>
      <c r="BS33" s="839">
        <f t="shared" si="12"/>
        <v>0</v>
      </c>
      <c r="BT33" s="844">
        <f>SUMIFS($H$13:$H$22,$J$13:$J$22,"小",$K$13:$K$22,"準・療・精")+SUMIFS($U$13:$U$22,$W$13:$W$22,"小",$X$13:$X$22,"準・療・精")+SUMIFS($H$55:$H$84,$J$55:$J$84,"小",$K$55:$K$84,"準・療・精")+SUMIFS($U$55:$U$84,$W$55:$W$84,"小",$X$55:$X$84,"準・療・精")+SUMIFS($H$98:$H$127,$J$98:$J$127,"小",$K$98:$K$127,"準・療・精")+SUMIFS($H$141:$H$170,$J$141:$J$170,"小",$K$141:$K$170,"準・療・精")+SUMIFS($H$184:$H$213,$J$184:$J$213,"小",$K$184:$K$213,"準・療・精")+SUMIFS($H$227:$H$256,$J$227:$J$256,"小",$K$227:$K$256,"準・療・精")+SUMIFS($U$98:$U$127,$W$98:$W$127,"小",$X$98:$X$127,"準・療・精")+SUMIFS($U$141:$U$170,$W$141:$W$170,"小",$X$141:$X$170,"準・療・精")+SUMIFS($U$184:$U$213,$W$184:$W$213,"小",$X$184:$X$213,"準・療・精")+SUMIFS($U$227:$U$256,$W$227:$W$256,"小",$X$227:$X$256,"準・療・精")</f>
        <v>0</v>
      </c>
      <c r="BU33" s="844">
        <f>SUMIFS($I$13:$I$22,$J$13:$J$22,"小",$K$13:$K$22,"準・療・精")+SUMIFS($V$13:$V$22,$W$13:$W$22,"小",$X$13:$X$22,"準・療・精")+SUMIFS($I$55:$I$84,$J$55:$J$84,"小",$K$55:$K$84,"準・療・精")+SUMIFS($V$55:$V$84,$W$55:$W$84,"小",$X$55:$X$84,"準・療・精")+SUMIFS($I$98:$I$127,$J$98:$J$127,"小",$K$98:$K$127,"準・療・精")+SUMIFS($I$141:$I$170,$J$141:$J$170,"小",$K$141:$K$170,"準・療・精")+SUMIFS($I$184:$I$213,$J$184:$J$213,"小",$K$184:$K$213,"準・療・精")+SUMIFS($I$227:$I$256,$J$227:$J$256,"小",$K$227:$K$256,"準・療・精")+SUMIFS($V$98:$V$127,$W$98:$W$127,"小",$X$98:$X$127,"準・療・精")+SUMIFS($V$141:$V$170,$W$141:$W$170,"小",$X$141:$X$170,"準・療・精")+SUMIFS($V$184:$V$213,$W$184:$W$213,"小",$X$184:$X$213,"準・療・精")+SUMIFS($V$227:$V$256,$W$227:$W$256,"小",$X$227:$X$256,"準・療・精")</f>
        <v>0</v>
      </c>
      <c r="BV33" s="844">
        <f>SUMIFS($H$13:$H$22,$J$13:$J$22,"中",$K$13:$K$22,"準・療・精")+SUMIFS($U$13:$U$22,$W$13:$W$22,"中",$X$13:$X$22,"準・療・精")+SUMIFS($H$55:$H$84,$J$55:$J$84,"中",$K$55:$K$84,"準・療・精")+SUMIFS($U$55:$U$84,$W$55:$W$84,"中",$X$55:$X$84,"準・療・精")+SUMIFS($H$98:$H$127,$J$98:$J$127,"中",$K$98:$K$127,"準・療・精")+SUMIFS($H$141:$H$170,$J$141:$J$170,"中",$K$141:$K$170,"準・療・精")+SUMIFS($H$184:$H$213,$J$184:$J$213,"中",$K$184:$K$213,"準・療・精")+SUMIFS($H$227:$H$256,$J$227:$J$256,"中",$K$227:$K$256,"準・療・精")+SUMIFS($U$98:$U$127,$W$98:$W$127,"中",$X$98:$X$127,"準・療・精")+SUMIFS($U$141:$U$170,$W$141:$W$170,"中",$X$141:$X$170,"準・療・精")+SUMIFS($U$184:$U$213,$W$184:$W$213,"中",$X$184:$X$213,"準・療・精")+SUMIFS($U$227:$U$256,$W$227:$W$256,"中",$X$227:$X$256,"準・療・精")</f>
        <v>0</v>
      </c>
      <c r="BW33" s="844">
        <f>SUMIFS($I$13:$I$22,$J$13:$J$22,"中",$K$13:$K$22,"準・療・精")+SUMIFS($V$13:$V$22,$W$13:$W$22,"中",$X$13:$X$22,"準・療・精")+SUMIFS($I$55:$I$84,$J$55:$J$84,"中",$K$55:$K$84,"準・療・精")+SUMIFS($V$55:$V$84,$W$55:$W$84,"中",$X$55:$X$84,"準・療・精")+SUMIFS($I$98:$I$127,$J$98:$J$127,"中",$K$98:$K$127,"準・療・精")+SUMIFS($I$141:$I$170,$J$141:$J$170,"中",$K$141:$K$170,"準・療・精")+SUMIFS($I$184:$I$213,$J$184:$J$213,"中",$K$184:$K$213,"準・療・精")+SUMIFS($I$227:$I$256,$J$227:$J$256,"中",$K$227:$K$256,"準・療・精")+SUMIFS($V$98:$V$127,$W$98:$W$127,"中",$X$98:$X$127,"準・療・精")+SUMIFS($V$141:$V$170,$W$141:$W$170,"中",$X$141:$X$170,"準・療・精")+SUMIFS($V$184:$V$213,$W$184:$W$213,"中",$X$184:$X$213,"準・療・精")+SUMIFS($V$227:$V$256,$W$227:$W$256,"中",$X$227:$X$256,"準・療・精")</f>
        <v>0</v>
      </c>
      <c r="BX33" s="825"/>
      <c r="BY33" s="825"/>
      <c r="BZ33" s="825"/>
      <c r="CA33" s="825"/>
      <c r="CB33" s="825"/>
      <c r="CC33" s="796" t="str">
        <f t="shared" si="7"/>
        <v>小泊/特・身・療</v>
      </c>
      <c r="CD33" s="839">
        <f t="shared" si="8"/>
        <v>0</v>
      </c>
      <c r="CE33" s="796">
        <f>IF(OR(BT34="",BT34=0),0,94)</f>
        <v>0</v>
      </c>
      <c r="CF33" s="796">
        <v>330</v>
      </c>
      <c r="CG33" s="834">
        <v>94</v>
      </c>
      <c r="CH33" s="825"/>
      <c r="CI33" s="829"/>
      <c r="CJ33" s="829"/>
      <c r="CK33" s="825"/>
      <c r="CL33" s="825"/>
      <c r="CM33" s="825"/>
      <c r="CN33" s="825"/>
      <c r="CO33" s="825"/>
      <c r="CP33" s="825"/>
      <c r="CQ33" s="825"/>
      <c r="CR33" s="825"/>
      <c r="CS33" s="825"/>
      <c r="CT33" s="825"/>
      <c r="CU33" s="825"/>
      <c r="CV33" s="825"/>
      <c r="CW33" s="825"/>
      <c r="CX33" s="825"/>
      <c r="CY33" s="825"/>
    </row>
    <row r="34" spans="1:103" s="8" customFormat="1" ht="20.100000000000001" customHeight="1" thickTop="1">
      <c r="A34" s="252"/>
      <c r="B34" s="1773"/>
      <c r="C34" s="1773"/>
      <c r="D34" s="1773"/>
      <c r="E34" s="2019" t="s">
        <v>48</v>
      </c>
      <c r="F34" s="2020"/>
      <c r="G34" s="2133">
        <f>BG86</f>
        <v>0</v>
      </c>
      <c r="H34" s="2134"/>
      <c r="I34" s="2134">
        <f>BI86</f>
        <v>0</v>
      </c>
      <c r="J34" s="2134"/>
      <c r="K34" s="2134">
        <f>BK86</f>
        <v>0</v>
      </c>
      <c r="L34" s="2134"/>
      <c r="M34" s="2134">
        <f>BM86</f>
        <v>0</v>
      </c>
      <c r="N34" s="2134"/>
      <c r="O34" s="343"/>
      <c r="P34" s="252"/>
      <c r="Q34" s="252"/>
      <c r="R34" s="344"/>
      <c r="S34" s="344"/>
      <c r="T34" s="344"/>
      <c r="U34" s="345"/>
      <c r="V34" s="252"/>
      <c r="W34" s="252"/>
      <c r="X34" s="346"/>
      <c r="Y34" s="346"/>
      <c r="Z34" s="347"/>
      <c r="AA34" s="252"/>
      <c r="AB34" s="1773"/>
      <c r="AC34" s="1773"/>
      <c r="AD34" s="1773"/>
      <c r="AE34" s="2019" t="s">
        <v>48</v>
      </c>
      <c r="AF34" s="2020"/>
      <c r="AG34" s="2133">
        <v>100</v>
      </c>
      <c r="AH34" s="2134"/>
      <c r="AI34" s="2134">
        <f>CJ86</f>
        <v>0</v>
      </c>
      <c r="AJ34" s="2134"/>
      <c r="AK34" s="2134">
        <v>8</v>
      </c>
      <c r="AL34" s="2134"/>
      <c r="AM34" s="2134">
        <v>1</v>
      </c>
      <c r="AN34" s="2134"/>
      <c r="AO34" s="343"/>
      <c r="AP34" s="252"/>
      <c r="AQ34" s="252"/>
      <c r="AR34" s="344"/>
      <c r="AS34" s="344"/>
      <c r="AT34" s="344"/>
      <c r="AU34" s="345"/>
      <c r="AV34" s="252"/>
      <c r="AW34" s="252"/>
      <c r="AX34" s="346"/>
      <c r="AY34" s="346"/>
      <c r="AZ34" s="339"/>
      <c r="BA34" s="67">
        <v>22</v>
      </c>
      <c r="BB34" s="68">
        <f t="shared" si="16"/>
        <v>0</v>
      </c>
      <c r="BC34" s="192">
        <f t="shared" si="17"/>
        <v>0</v>
      </c>
      <c r="BD34" s="70">
        <f t="shared" si="18"/>
        <v>0</v>
      </c>
      <c r="BE34" s="70">
        <f t="shared" si="18"/>
        <v>0</v>
      </c>
      <c r="BF34" s="829" t="s">
        <v>525</v>
      </c>
      <c r="BG34" s="839">
        <f>COUNTIF($K$13:$M$22,"特・身・療")</f>
        <v>0</v>
      </c>
      <c r="BH34" s="843">
        <f>COUNTIF($X$13:$Z$22,"特・身・療")</f>
        <v>0</v>
      </c>
      <c r="BI34" s="839">
        <f>COUNTIF($K$55:$M$84,"特・身・療")</f>
        <v>0</v>
      </c>
      <c r="BJ34" s="839">
        <f>COUNTIF($X$55:$Z$84,"特・身・療")</f>
        <v>0</v>
      </c>
      <c r="BK34" s="839">
        <f>COUNTIF($K$98:$M$127,"特・身・療")</f>
        <v>0</v>
      </c>
      <c r="BL34" s="839">
        <f>COUNTIF($X$98:$Z$127,"特・身・療")</f>
        <v>0</v>
      </c>
      <c r="BM34" s="839">
        <f>COUNTIF($K$141:$M$170,"特・身・療")</f>
        <v>0</v>
      </c>
      <c r="BN34" s="839">
        <f>COUNTIF($X$141:$Z$170,"特・身・療")</f>
        <v>0</v>
      </c>
      <c r="BO34" s="839">
        <f>COUNTIF($K$184:$M$213,"特・身・療")</f>
        <v>0</v>
      </c>
      <c r="BP34" s="839">
        <f>COUNTIF($X$184:$Z$213,"特・身・療")</f>
        <v>0</v>
      </c>
      <c r="BQ34" s="839">
        <f>COUNTIF($K$227:$M$256,"特・身・療")</f>
        <v>0</v>
      </c>
      <c r="BR34" s="839">
        <f>COUNTIF($X$227:$Z$256,"特・身・療")</f>
        <v>0</v>
      </c>
      <c r="BS34" s="839">
        <f t="shared" si="12"/>
        <v>0</v>
      </c>
      <c r="BT34" s="844">
        <f>SUMIFS($H$13:$H$22,$J$13:$J$22,"小",$K$13:$K$22,"特・身・療")+SUMIFS($U$13:$U$22,$W$13:$W$22,"小",$X$13:$X$22,"特・身・療")+SUMIFS($H$55:$H$84,$J$55:$J$84,"小",$K$55:$K$84,"特・身・療")+SUMIFS($U$55:$U$84,$W$55:$W$84,"小",$X$55:$X$84,"特・身・療")+SUMIFS($H$98:$H$127,$J$98:$J$127,"小",$K$98:$K$127,"特・身・療")+SUMIFS($H$141:$H$170,$J$141:$J$170,"小",$K$141:$K$170,"特・身・療")+SUMIFS($H$184:$H$213,$J$184:$J$213,"小",$K$184:$K$213,"特・身・療")+SUMIFS($H$227:$H$256,$J$227:$J$256,"小",$K$227:$K$256,"特・身・療")+SUMIFS($U$98:$U$127,$W$98:$W$127,"小",$X$98:$X$127,"特・身・療")+SUMIFS($U$141:$U$170,$W$141:$W$170,"小",$X$141:$X$170,"特・身・療")+SUMIFS($U$184:$U$213,$W$184:$W$213,"小",$X$184:$X$213,"特・身・療")+SUMIFS($U$227:$U$256,$W$227:$W$256,"小",$X$227:$X$256,"特・身・療")</f>
        <v>0</v>
      </c>
      <c r="BU34" s="844">
        <f>SUMIFS($I$13:$I$22,$J$13:$J$22,"小",$K$13:$K$22,"特・身・療")+SUMIFS($V$13:$V$22,$W$13:$W$22,"小",$X$13:$X$22,"特・身・療")+SUMIFS($I$55:$I$84,$J$55:$J$84,"小",$K$55:$K$84,"特・身・療")+SUMIFS($V$55:$V$84,$W$55:$W$84,"小",$X$55:$X$84,"特・身・療")+SUMIFS($I$98:$I$127,$J$98:$J$127,"小",$K$98:$K$127,"特・身・療")+SUMIFS($I$141:$I$170,$J$141:$J$170,"小",$K$141:$K$170,"特・身・療")+SUMIFS($I$184:$I$213,$J$184:$J$213,"小",$K$184:$K$213,"特・身・療")+SUMIFS($I$227:$I$256,$J$227:$J$256,"小",$K$227:$K$256,"特・身・療")+SUMIFS($V$98:$V$127,$W$98:$W$127,"小",$X$98:$X$127,"特・身・療")+SUMIFS($V$141:$V$170,$W$141:$W$170,"小",$X$141:$X$170,"特・身・療")+SUMIFS($V$184:$V$213,$W$184:$W$213,"小",$X$184:$X$213,"特・身・療")+SUMIFS($V$227:$V$256,$W$227:$W$256,"小",$X$227:$X$256,"特・身・療")</f>
        <v>0</v>
      </c>
      <c r="BV34" s="844">
        <f>SUMIFS($H$13:$H$22,$J$13:$J$22,"中",$K$13:$K$22,"特・身・療")+SUMIFS($U$13:$U$22,$W$13:$W$22,"中",$X$13:$X$22,"特・身・療")+SUMIFS($H$55:$H$84,$J$55:$J$84,"中",$K$55:$K$84,"特・身・療")+SUMIFS($U$55:$U$84,$W$55:$W$84,"中",$X$55:$X$84,"特・身・療")+SUMIFS($H$98:$H$127,$J$98:$J$127,"中",$K$98:$K$127,"特・身・療")+SUMIFS($H$141:$H$170,$J$141:$J$170,"中",$K$141:$K$170,"特・身・療")+SUMIFS($H$184:$H$213,$J$184:$J$213,"中",$K$184:$K$213,"特・身・療")+SUMIFS($H$227:$H$256,$J$227:$J$256,"中",$K$227:$K$256,"特・身・療")+SUMIFS($U$98:$U$127,$W$98:$W$127,"中",$X$98:$X$127,"特・身・療")+SUMIFS($U$141:$U$170,$W$141:$W$170,"中",$X$141:$X$170,"特・身・療")+SUMIFS($U$184:$U$213,$W$184:$W$213,"中",$X$184:$X$213,"特・身・療")+SUMIFS($U$227:$U$256,$W$227:$W$256,"中",$X$227:$X$256,"特・身・療")</f>
        <v>0</v>
      </c>
      <c r="BW34" s="844">
        <f>SUMIFS($I$13:$I$22,$J$13:$J$22,"中",$K$13:$K$22,"特・身・療")+SUMIFS($V$13:$V$22,$W$13:$W$22,"中",$X$13:$X$22,"特・身・療")+SUMIFS($I$55:$I$84,$J$55:$J$84,"中",$K$55:$K$84,"特・身・療")+SUMIFS($V$55:$V$84,$W$55:$W$84,"中",$X$55:$X$84,"特・身・療")+SUMIFS($I$98:$I$127,$J$98:$J$127,"中",$K$98:$K$127,"特・身・療")+SUMIFS($I$141:$I$170,$J$141:$J$170,"中",$K$141:$K$170,"特・身・療")+SUMIFS($I$184:$I$213,$J$184:$J$213,"中",$K$184:$K$213,"特・身・療")+SUMIFS($I$227:$I$256,$J$227:$J$256,"中",$K$227:$K$256,"特・身・療")+SUMIFS($V$98:$V$127,$W$98:$W$127,"中",$X$98:$X$127,"特・身・療")+SUMIFS($V$141:$V$170,$W$141:$W$170,"中",$X$141:$X$170,"特・身・療")+SUMIFS($V$184:$V$213,$W$184:$W$213,"中",$X$184:$X$213,"特・身・療")+SUMIFS($V$227:$V$256,$W$227:$W$256,"中",$X$227:$X$256,"特・身・療")</f>
        <v>0</v>
      </c>
      <c r="BX34" s="825"/>
      <c r="BY34" s="825"/>
      <c r="BZ34" s="825"/>
      <c r="CA34" s="825"/>
      <c r="CB34" s="825"/>
      <c r="CC34" s="796" t="str">
        <f t="shared" si="7"/>
        <v>小泊/特・身・精</v>
      </c>
      <c r="CD34" s="839">
        <f t="shared" si="8"/>
        <v>0</v>
      </c>
      <c r="CE34" s="796">
        <f>IF(OR(BT35="",BT35=0),0,93)</f>
        <v>0</v>
      </c>
      <c r="CF34" s="796">
        <v>330</v>
      </c>
      <c r="CG34" s="834">
        <v>93</v>
      </c>
      <c r="CH34" s="825"/>
      <c r="CI34" s="829"/>
      <c r="CJ34" s="829"/>
      <c r="CK34" s="825"/>
      <c r="CL34" s="825"/>
      <c r="CM34" s="825"/>
      <c r="CN34" s="825"/>
      <c r="CO34" s="825"/>
      <c r="CP34" s="825"/>
      <c r="CQ34" s="825"/>
      <c r="CR34" s="825"/>
      <c r="CS34" s="825"/>
      <c r="CT34" s="825"/>
      <c r="CU34" s="825"/>
      <c r="CV34" s="825"/>
      <c r="CW34" s="825"/>
      <c r="CX34" s="825"/>
      <c r="CY34" s="825"/>
    </row>
    <row r="35" spans="1:103" s="8" customFormat="1" ht="20.100000000000001" customHeight="1" thickBot="1">
      <c r="A35" s="252"/>
      <c r="B35" s="1773"/>
      <c r="C35" s="1773"/>
      <c r="D35" s="1773"/>
      <c r="E35" s="1773" t="s">
        <v>47</v>
      </c>
      <c r="F35" s="2106"/>
      <c r="G35" s="2102">
        <f>BH86</f>
        <v>0</v>
      </c>
      <c r="H35" s="2103"/>
      <c r="I35" s="2103">
        <f>BJ86</f>
        <v>0</v>
      </c>
      <c r="J35" s="2103"/>
      <c r="K35" s="2103">
        <f>BL86</f>
        <v>0</v>
      </c>
      <c r="L35" s="2103"/>
      <c r="M35" s="2103">
        <f>BN86</f>
        <v>0</v>
      </c>
      <c r="N35" s="2103"/>
      <c r="O35" s="343"/>
      <c r="P35" s="252"/>
      <c r="Q35" s="252"/>
      <c r="R35" s="344"/>
      <c r="S35" s="344"/>
      <c r="T35" s="344"/>
      <c r="U35" s="252"/>
      <c r="V35" s="252"/>
      <c r="W35" s="252"/>
      <c r="X35" s="346"/>
      <c r="Y35" s="346"/>
      <c r="Z35" s="252"/>
      <c r="AA35" s="252"/>
      <c r="AB35" s="1773"/>
      <c r="AC35" s="1773"/>
      <c r="AD35" s="1773"/>
      <c r="AE35" s="1773" t="s">
        <v>47</v>
      </c>
      <c r="AF35" s="2106"/>
      <c r="AG35" s="2102">
        <f>CI86</f>
        <v>0</v>
      </c>
      <c r="AH35" s="2103"/>
      <c r="AI35" s="2103">
        <f>CK86</f>
        <v>0</v>
      </c>
      <c r="AJ35" s="2103"/>
      <c r="AK35" s="2103">
        <f>CM86</f>
        <v>0</v>
      </c>
      <c r="AL35" s="2103"/>
      <c r="AM35" s="2103">
        <v>1</v>
      </c>
      <c r="AN35" s="2103"/>
      <c r="AO35" s="343"/>
      <c r="AP35" s="252"/>
      <c r="AQ35" s="252"/>
      <c r="AR35" s="344"/>
      <c r="AS35" s="344"/>
      <c r="AT35" s="344"/>
      <c r="AU35" s="252"/>
      <c r="AV35" s="252"/>
      <c r="AW35" s="252"/>
      <c r="AX35" s="346"/>
      <c r="AY35" s="346"/>
      <c r="AZ35" s="252"/>
      <c r="BA35" s="67">
        <v>23</v>
      </c>
      <c r="BB35" s="68">
        <f t="shared" si="16"/>
        <v>0</v>
      </c>
      <c r="BC35" s="192">
        <f t="shared" si="17"/>
        <v>0</v>
      </c>
      <c r="BD35" s="70">
        <f t="shared" si="18"/>
        <v>0</v>
      </c>
      <c r="BE35" s="70">
        <f t="shared" si="18"/>
        <v>0</v>
      </c>
      <c r="BF35" s="829" t="s">
        <v>526</v>
      </c>
      <c r="BG35" s="839">
        <f>COUNTIF($K$13:$M$22,"特・身・精")</f>
        <v>0</v>
      </c>
      <c r="BH35" s="843">
        <f>COUNTIF($X$13:$Z$22,"特・身・精")</f>
        <v>0</v>
      </c>
      <c r="BI35" s="839">
        <f>COUNTIF($K$55:$M$84,"特・身・精")</f>
        <v>0</v>
      </c>
      <c r="BJ35" s="839">
        <f>COUNTIF($X$55:$Z$84,"特・身・精")</f>
        <v>0</v>
      </c>
      <c r="BK35" s="839">
        <f>COUNTIF($K$98:$M$127,"特・身・精")</f>
        <v>0</v>
      </c>
      <c r="BL35" s="839">
        <f>COUNTIF($X$98:$Z$127,"特・身・精")</f>
        <v>0</v>
      </c>
      <c r="BM35" s="839">
        <f>COUNTIF($K$141:$M$170,"特・身・精")</f>
        <v>0</v>
      </c>
      <c r="BN35" s="839">
        <f>COUNTIF($X$141:$Z$170,"特・身・精")</f>
        <v>0</v>
      </c>
      <c r="BO35" s="839">
        <f>COUNTIF($K$184:$M$213,"特・身・精")</f>
        <v>0</v>
      </c>
      <c r="BP35" s="839">
        <f>COUNTIF($X$184:$Z$213,"特・身・精")</f>
        <v>0</v>
      </c>
      <c r="BQ35" s="839">
        <f>COUNTIF($K$227:$M$256,"特・身・精")</f>
        <v>0</v>
      </c>
      <c r="BR35" s="839">
        <f>COUNTIF($X$227:$Z$256,"特・身・精")</f>
        <v>0</v>
      </c>
      <c r="BS35" s="839">
        <f t="shared" si="12"/>
        <v>0</v>
      </c>
      <c r="BT35" s="844">
        <f>SUMIFS($H$13:$H$22,$J$13:$J$22,"小",$K$13:$K$22,"特・身・精")+SUMIFS($U$13:$U$22,$W$13:$W$22,"小",$X$13:$X$22,"特・身・精")+SUMIFS($H$55:$H$84,$J$55:$J$84,"小",$K$55:$K$84,"特・身・精")+SUMIFS($U$55:$U$84,$W$55:$W$84,"小",$X$55:$X$84,"特・身・精")+SUMIFS($H$98:$H$127,$J$98:$J$127,"小",$K$98:$K$127,"特・身・精")+SUMIFS($H$141:$H$170,$J$141:$J$170,"小",$K$141:$K$170,"特・身・精")+SUMIFS($H$184:$H$213,$J$184:$J$213,"小",$K$184:$K$213,"特・身・精")+SUMIFS($H$227:$H$256,$J$227:$J$256,"小",$K$227:$K$256,"特・身・精")+SUMIFS($U$98:$U$127,$W$98:$W$127,"小",$X$98:$X$127,"特・身・精")+SUMIFS($U$141:$U$170,$W$141:$W$170,"小",$X$141:$X$170,"特・身・精")+SUMIFS($U$184:$U$213,$W$184:$W$213,"小",$X$184:$X$213,"特・身・精")+SUMIFS($U$227:$U$256,$W$227:$W$256,"小",$X$227:$X$256,"特・身・精")</f>
        <v>0</v>
      </c>
      <c r="BU35" s="844">
        <f>SUMIFS($I$13:$I$22,$J$13:$J$22,"小",$K$13:$K$22,"特・身・精")+SUMIFS($V$13:$V$22,$W$13:$W$22,"小",$X$13:$X$22,"特・身・精")+SUMIFS($I$55:$I$84,$J$55:$J$84,"小",$K$55:$K$84,"特・身・精")+SUMIFS($V$55:$V$84,$W$55:$W$84,"小",$X$55:$X$84,"特・身・精")+SUMIFS($I$98:$I$127,$J$98:$J$127,"小",$K$98:$K$127,"特・身・精")+SUMIFS($I$141:$I$170,$J$141:$J$170,"小",$K$141:$K$170,"特・身・精")+SUMIFS($I$184:$I$213,$J$184:$J$213,"小",$K$184:$K$213,"特・身・精")+SUMIFS($I$227:$I$256,$J$227:$J$256,"小",$K$227:$K$256,"特・身・精")+SUMIFS($V$98:$V$127,$W$98:$W$127,"小",$X$98:$X$127,"特・身・精")+SUMIFS($V$141:$V$170,$W$141:$W$170,"小",$X$141:$X$170,"特・身・精")+SUMIFS($V$184:$V$213,$W$184:$W$213,"小",$X$184:$X$213,"特・身・精")+SUMIFS($V$227:$V$256,$W$227:$W$256,"小",$X$227:$X$256,"特・身・精")</f>
        <v>0</v>
      </c>
      <c r="BV35" s="844">
        <f>SUMIFS($H$13:$H$22,$J$13:$J$22,"中",$K$13:$K$22,"特・身・精")+SUMIFS($U$13:$U$22,$W$13:$W$22,"中",$X$13:$X$22,"特・身・精")+SUMIFS($H$55:$H$84,$J$55:$J$84,"中",$K$55:$K$84,"特・身・精")+SUMIFS($U$55:$U$84,$W$55:$W$84,"中",$X$55:$X$84,"特・身・精")+SUMIFS($H$98:$H$127,$J$98:$J$127,"中",$K$98:$K$127,"特・身・精")+SUMIFS($H$141:$H$170,$J$141:$J$170,"中",$K$141:$K$170,"特・身・精")+SUMIFS($H$184:$H$213,$J$184:$J$213,"中",$K$184:$K$213,"特・身・精")+SUMIFS($H$227:$H$256,$J$227:$J$256,"中",$K$227:$K$256,"特・身・精")+SUMIFS($U$98:$U$127,$W$98:$W$127,"中",$X$98:$X$127,"特・身・精")+SUMIFS($U$141:$U$170,$W$141:$W$170,"中",$X$141:$X$170,"特・身・精")+SUMIFS($U$184:$U$213,$W$184:$W$213,"中",$X$184:$X$213,"特・身・精")+SUMIFS($U$227:$U$256,$W$227:$W$256,"中",$X$227:$X$256,"特・身・精")</f>
        <v>0</v>
      </c>
      <c r="BW35" s="844">
        <f>SUMIFS($I$13:$I$22,$J$13:$J$22,"中",$K$13:$K$22,"特・身・精")+SUMIFS($V$13:$V$22,$W$13:$W$22,"中",$X$13:$X$22,"特・身・精")+SUMIFS($I$55:$I$84,$J$55:$J$84,"中",$K$55:$K$84,"特・身・精")+SUMIFS($V$55:$V$84,$W$55:$W$84,"中",$X$55:$X$84,"特・身・精")+SUMIFS($I$98:$I$127,$J$98:$J$127,"中",$K$98:$K$127,"特・身・精")+SUMIFS($I$141:$I$170,$J$141:$J$170,"中",$K$141:$K$170,"特・身・精")+SUMIFS($I$184:$I$213,$J$184:$J$213,"中",$K$184:$K$213,"特・身・精")+SUMIFS($I$227:$I$256,$J$227:$J$256,"中",$K$227:$K$256,"特・身・精")+SUMIFS($V$98:$V$127,$W$98:$W$127,"中",$X$98:$X$127,"特・身・精")+SUMIFS($V$141:$V$170,$W$141:$W$170,"中",$X$141:$X$170,"特・身・精")+SUMIFS($V$184:$V$213,$W$184:$W$213,"中",$X$184:$X$213,"特・身・精")+SUMIFS($V$227:$V$256,$W$227:$W$256,"中",$X$227:$X$256,"特・身・精")</f>
        <v>0</v>
      </c>
      <c r="BX35" s="825"/>
      <c r="BY35" s="825"/>
      <c r="BZ35" s="825"/>
      <c r="CA35" s="825"/>
      <c r="CB35" s="825"/>
      <c r="CC35" s="796" t="str">
        <f t="shared" si="7"/>
        <v>小泊/身・療・精</v>
      </c>
      <c r="CD35" s="839">
        <f t="shared" si="8"/>
        <v>0</v>
      </c>
      <c r="CE35" s="796">
        <f>IF(OR(BT36="",BT36=0),0,92)</f>
        <v>0</v>
      </c>
      <c r="CF35" s="796">
        <v>330</v>
      </c>
      <c r="CG35" s="834">
        <v>92</v>
      </c>
      <c r="CH35" s="825"/>
      <c r="CI35" s="829"/>
      <c r="CJ35" s="829"/>
      <c r="CK35" s="825"/>
      <c r="CL35" s="825"/>
      <c r="CM35" s="825"/>
      <c r="CN35" s="825"/>
      <c r="CO35" s="825"/>
      <c r="CP35" s="825"/>
      <c r="CQ35" s="825"/>
      <c r="CR35" s="825"/>
      <c r="CS35" s="825"/>
      <c r="CT35" s="825"/>
      <c r="CU35" s="825"/>
      <c r="CV35" s="825"/>
      <c r="CW35" s="825"/>
      <c r="CX35" s="825"/>
      <c r="CY35" s="825"/>
    </row>
    <row r="36" spans="1:103" s="8" customFormat="1" ht="20.25" customHeight="1" thickBot="1">
      <c r="A36" s="2105" t="s">
        <v>166</v>
      </c>
      <c r="B36" s="2105"/>
      <c r="C36" s="2105"/>
      <c r="D36" s="2105"/>
      <c r="E36" s="2105"/>
      <c r="F36" s="2105"/>
      <c r="G36" s="2105"/>
      <c r="H36" s="2105"/>
      <c r="I36" s="2105"/>
      <c r="J36" s="2105"/>
      <c r="K36" s="2105"/>
      <c r="L36" s="2105"/>
      <c r="M36" s="2105"/>
      <c r="N36" s="348"/>
      <c r="O36" s="348"/>
      <c r="P36" s="2109" t="s">
        <v>1867</v>
      </c>
      <c r="Q36" s="2110"/>
      <c r="R36" s="2110"/>
      <c r="S36" s="2110"/>
      <c r="T36" s="2110"/>
      <c r="U36" s="2110"/>
      <c r="V36" s="2110"/>
      <c r="W36" s="2110"/>
      <c r="X36" s="2110"/>
      <c r="Y36" s="2110"/>
      <c r="Z36" s="2111"/>
      <c r="AA36" s="2105" t="s">
        <v>166</v>
      </c>
      <c r="AB36" s="2105"/>
      <c r="AC36" s="2105"/>
      <c r="AD36" s="2105"/>
      <c r="AE36" s="2105"/>
      <c r="AF36" s="2105"/>
      <c r="AG36" s="2105"/>
      <c r="AH36" s="2105"/>
      <c r="AI36" s="2105"/>
      <c r="AJ36" s="2105"/>
      <c r="AK36" s="2105"/>
      <c r="AL36" s="2105"/>
      <c r="AM36" s="2105"/>
      <c r="AN36" s="348"/>
      <c r="AO36" s="348"/>
      <c r="AP36" s="2109" t="s">
        <v>1867</v>
      </c>
      <c r="AQ36" s="2110"/>
      <c r="AR36" s="2110"/>
      <c r="AS36" s="2110"/>
      <c r="AT36" s="2110"/>
      <c r="AU36" s="2110"/>
      <c r="AV36" s="2110"/>
      <c r="AW36" s="2110"/>
      <c r="AX36" s="2110"/>
      <c r="AY36" s="2110"/>
      <c r="AZ36" s="2111"/>
      <c r="BA36" s="67">
        <v>24</v>
      </c>
      <c r="BB36" s="68">
        <f t="shared" si="16"/>
        <v>0</v>
      </c>
      <c r="BC36" s="192">
        <f t="shared" si="17"/>
        <v>0</v>
      </c>
      <c r="BD36" s="70">
        <f t="shared" si="18"/>
        <v>0</v>
      </c>
      <c r="BE36" s="70">
        <f t="shared" si="18"/>
        <v>0</v>
      </c>
      <c r="BF36" s="829" t="s">
        <v>527</v>
      </c>
      <c r="BG36" s="839">
        <f>COUNTIF($K$13:$M$22,"身・療・精")</f>
        <v>0</v>
      </c>
      <c r="BH36" s="843">
        <f>COUNTIF($X$13:$Z$22,"身・療・精")</f>
        <v>0</v>
      </c>
      <c r="BI36" s="839">
        <f>COUNTIF($K$55:$M$84,"身・療・精")</f>
        <v>0</v>
      </c>
      <c r="BJ36" s="839">
        <f>COUNTIF($X$55:$Z$84,"身・療・精")</f>
        <v>0</v>
      </c>
      <c r="BK36" s="839">
        <f>COUNTIF($K$98:$M$127,"身・療・精")</f>
        <v>0</v>
      </c>
      <c r="BL36" s="839">
        <f>COUNTIF($X$98:$Z$127,"身・療・精")</f>
        <v>0</v>
      </c>
      <c r="BM36" s="839">
        <f>COUNTIF($K$141:$M$170,"身・療・精")</f>
        <v>0</v>
      </c>
      <c r="BN36" s="839">
        <f>COUNTIF($X$141:$Z$170,"身・療・精")</f>
        <v>0</v>
      </c>
      <c r="BO36" s="839">
        <f>COUNTIF($K$184:$M$213,"身・療・精")</f>
        <v>0</v>
      </c>
      <c r="BP36" s="839">
        <f>COUNTIF($X$184:$Z$213,"身・療・精")</f>
        <v>0</v>
      </c>
      <c r="BQ36" s="839">
        <f>COUNTIF($K$227:$M$256,"身・療・精")</f>
        <v>0</v>
      </c>
      <c r="BR36" s="839">
        <f>COUNTIF($X$227:$Z$256,"身・療・精")</f>
        <v>0</v>
      </c>
      <c r="BS36" s="839">
        <f t="shared" si="12"/>
        <v>0</v>
      </c>
      <c r="BT36" s="844">
        <f>SUMIFS($H$13:$H$22,$J$13:$J$22,"小",$K$13:$K$22,"身・療・精")+SUMIFS($U$13:$U$22,$W$13:$W$22,"小",$X$13:$X$22,"身・療・精")+SUMIFS($H$55:$H$84,$J$55:$J$84,"小",$K$55:$K$84,"身・療・精")+SUMIFS($U$55:$U$84,$W$55:$W$84,"小",$X$55:$X$84,"身・療・精")+SUMIFS($H$98:$H$127,$J$98:$J$127,"小",$K$98:$K$127,"身・療・精")+SUMIFS($H$141:$H$170,$J$141:$J$170,"小",$K$141:$K$170,"身・療・精")+SUMIFS($H$184:$H$213,$J$184:$J$213,"小",$K$184:$K$213,"身・療・精")+SUMIFS($H$227:$H$256,$J$227:$J$256,"小",$K$227:$K$256,"身・療・精")+SUMIFS($U$98:$U$127,$W$98:$W$127,"小",$X$98:$X$127,"身・療・精")+SUMIFS($U$141:$U$170,$W$141:$W$170,"小",$X$141:$X$170,"身・療・精")+SUMIFS($U$184:$U$213,$W$184:$W$213,"小",$X$184:$X$213,"身・療・精")+SUMIFS($U$227:$U$256,$W$227:$W$256,"小",$X$227:$X$256,"身・療・精")</f>
        <v>0</v>
      </c>
      <c r="BU36" s="844">
        <f>SUMIFS($I$13:$I$22,$J$13:$J$22,"小",$K$13:$K$22,"身・療・精")+SUMIFS($V$13:$V$22,$W$13:$W$22,"小",$X$13:$X$22,"身・療・精")+SUMIFS($I$55:$I$84,$J$55:$J$84,"小",$K$55:$K$84,"身・療・精")+SUMIFS($V$55:$V$84,$W$55:$W$84,"小",$X$55:$X$84,"身・療・精")+SUMIFS($I$98:$I$127,$J$98:$J$127,"小",$K$98:$K$127,"身・療・精")+SUMIFS($I$141:$I$170,$J$141:$J$170,"小",$K$141:$K$170,"身・療・精")+SUMIFS($I$184:$I$213,$J$184:$J$213,"小",$K$184:$K$213,"身・療・精")+SUMIFS($I$227:$I$256,$J$227:$J$256,"小",$K$227:$K$256,"身・療・精")+SUMIFS($V$98:$V$127,$W$98:$W$127,"小",$X$98:$X$127,"身・療・精")+SUMIFS($V$141:$V$170,$W$141:$W$170,"小",$X$141:$X$170,"身・療・精")+SUMIFS($V$184:$V$213,$W$184:$W$213,"小",$X$184:$X$213,"身・療・精")+SUMIFS($V$227:$V$256,$W$227:$W$256,"小",$X$227:$X$256,"身・療・精")</f>
        <v>0</v>
      </c>
      <c r="BV36" s="844">
        <f>SUMIFS($H$13:$H$22,$J$13:$J$22,"中",$K$13:$K$22,"身・療・精")+SUMIFS($U$13:$U$22,$W$13:$W$22,"中",$X$13:$X$22,"身・療・精")+SUMIFS($H$55:$H$84,$J$55:$J$84,"中",$K$55:$K$84,"身・療・精")+SUMIFS($U$55:$U$84,$W$55:$W$84,"中",$X$55:$X$84,"身・療・精")+SUMIFS($H$98:$H$127,$J$98:$J$127,"中",$K$98:$K$127,"身・療・精")+SUMIFS($H$141:$H$170,$J$141:$J$170,"中",$K$141:$K$170,"身・療・精")+SUMIFS($H$184:$H$213,$J$184:$J$213,"中",$K$184:$K$213,"身・療・精")+SUMIFS($H$227:$H$256,$J$227:$J$256,"中",$K$227:$K$256,"身・療・精")+SUMIFS($U$98:$U$127,$W$98:$W$127,"中",$X$98:$X$127,"身・療・精")+SUMIFS($U$141:$U$170,$W$141:$W$170,"中",$X$141:$X$170,"身・療・精")+SUMIFS($U$184:$U$213,$W$184:$W$213,"中",$X$184:$X$213,"身・療・精")+SUMIFS($U$227:$U$256,$W$227:$W$256,"中",$X$227:$X$256,"身・療・精")</f>
        <v>0</v>
      </c>
      <c r="BW36" s="844">
        <f>SUMIFS($I$13:$I$22,$J$13:$J$22,"中",$K$13:$K$22,"身・療・精")+SUMIFS($V$13:$V$22,$W$13:$W$22,"中",$X$13:$X$22,"身・療・精")+SUMIFS($I$55:$I$84,$J$55:$J$84,"中",$K$55:$K$84,"身・療・精")+SUMIFS($V$55:$V$84,$W$55:$W$84,"中",$X$55:$X$84,"身・療・精")+SUMIFS($I$98:$I$127,$J$98:$J$127,"中",$K$98:$K$127,"身・療・精")+SUMIFS($I$141:$I$170,$J$141:$J$170,"中",$K$141:$K$170,"身・療・精")+SUMIFS($I$184:$I$213,$J$184:$J$213,"中",$K$184:$K$213,"身・療・精")+SUMIFS($I$227:$I$256,$J$227:$J$256,"中",$K$227:$K$256,"身・療・精")+SUMIFS($V$98:$V$127,$W$98:$W$127,"中",$X$98:$X$127,"身・療・精")+SUMIFS($V$141:$V$170,$W$141:$W$170,"中",$X$141:$X$170,"身・療・精")+SUMIFS($V$184:$V$213,$W$184:$W$213,"中",$X$184:$X$213,"身・療・精")+SUMIFS($V$227:$V$256,$W$227:$W$256,"中",$X$227:$X$256,"身・療・精")</f>
        <v>0</v>
      </c>
      <c r="BX36" s="825"/>
      <c r="BY36" s="825"/>
      <c r="BZ36" s="825"/>
      <c r="CA36" s="825"/>
      <c r="CB36" s="825"/>
      <c r="CC36" s="796" t="str">
        <f t="shared" si="7"/>
        <v>小泊/特・療・精</v>
      </c>
      <c r="CD36" s="839">
        <f t="shared" si="8"/>
        <v>0</v>
      </c>
      <c r="CE36" s="796">
        <f>IF(OR(BT37="",BT37=0),0,91)</f>
        <v>0</v>
      </c>
      <c r="CF36" s="796">
        <v>330</v>
      </c>
      <c r="CG36" s="834">
        <v>91</v>
      </c>
      <c r="CH36" s="825"/>
      <c r="CI36" s="829"/>
      <c r="CJ36" s="829"/>
      <c r="CK36" s="825"/>
      <c r="CL36" s="825"/>
      <c r="CM36" s="825"/>
      <c r="CN36" s="825"/>
      <c r="CO36" s="825"/>
      <c r="CP36" s="825"/>
      <c r="CQ36" s="825"/>
      <c r="CR36" s="825"/>
      <c r="CS36" s="825"/>
      <c r="CT36" s="825"/>
      <c r="CU36" s="825"/>
      <c r="CV36" s="825"/>
      <c r="CW36" s="825"/>
      <c r="CX36" s="825"/>
      <c r="CY36" s="825"/>
    </row>
    <row r="37" spans="1:103" s="81" customFormat="1" ht="24" customHeight="1" thickBot="1">
      <c r="A37" s="2016" t="s">
        <v>529</v>
      </c>
      <c r="B37" s="1991" t="s">
        <v>538</v>
      </c>
      <c r="C37" s="1992"/>
      <c r="D37" s="1993"/>
      <c r="E37" s="2000" t="s">
        <v>539</v>
      </c>
      <c r="F37" s="1992"/>
      <c r="G37" s="1993"/>
      <c r="H37" s="2001" t="s">
        <v>540</v>
      </c>
      <c r="I37" s="2002"/>
      <c r="J37" s="2003"/>
      <c r="K37" s="2001" t="s">
        <v>541</v>
      </c>
      <c r="L37" s="2002"/>
      <c r="M37" s="2104"/>
      <c r="N37" s="349"/>
      <c r="O37" s="349"/>
      <c r="P37" s="2081" t="s">
        <v>48</v>
      </c>
      <c r="Q37" s="2082"/>
      <c r="R37" s="2080">
        <f>$H$23</f>
        <v>0</v>
      </c>
      <c r="S37" s="2080"/>
      <c r="T37" s="2080"/>
      <c r="U37" s="361" t="s">
        <v>459</v>
      </c>
      <c r="V37" s="2143" t="s">
        <v>458</v>
      </c>
      <c r="W37" s="2143"/>
      <c r="X37" s="2082">
        <f>COUNTIFS($BB$13:$BB$332,1,$BC$13:$BC$332,1,$BD$13:$BD$332,0)</f>
        <v>0</v>
      </c>
      <c r="Y37" s="2082"/>
      <c r="Z37" s="363" t="s">
        <v>32</v>
      </c>
      <c r="AA37" s="2016" t="s">
        <v>529</v>
      </c>
      <c r="AB37" s="1991" t="s">
        <v>538</v>
      </c>
      <c r="AC37" s="1992"/>
      <c r="AD37" s="1993"/>
      <c r="AE37" s="2000" t="s">
        <v>539</v>
      </c>
      <c r="AF37" s="1992"/>
      <c r="AG37" s="1993"/>
      <c r="AH37" s="2001" t="s">
        <v>540</v>
      </c>
      <c r="AI37" s="2002"/>
      <c r="AJ37" s="2003"/>
      <c r="AK37" s="2001" t="s">
        <v>541</v>
      </c>
      <c r="AL37" s="2002"/>
      <c r="AM37" s="2104"/>
      <c r="AN37" s="349"/>
      <c r="AO37" s="349"/>
      <c r="AP37" s="2081" t="s">
        <v>48</v>
      </c>
      <c r="AQ37" s="2082"/>
      <c r="AR37" s="2080">
        <v>109</v>
      </c>
      <c r="AS37" s="2080"/>
      <c r="AT37" s="2080"/>
      <c r="AU37" s="361" t="s">
        <v>459</v>
      </c>
      <c r="AV37" s="2082" t="s">
        <v>458</v>
      </c>
      <c r="AW37" s="2082"/>
      <c r="AX37" s="2082">
        <v>10</v>
      </c>
      <c r="AY37" s="2082"/>
      <c r="AZ37" s="363" t="s">
        <v>32</v>
      </c>
      <c r="BA37" s="168">
        <v>25</v>
      </c>
      <c r="BB37" s="68">
        <f t="shared" si="16"/>
        <v>0</v>
      </c>
      <c r="BC37" s="192">
        <f t="shared" si="17"/>
        <v>0</v>
      </c>
      <c r="BD37" s="70">
        <f t="shared" si="18"/>
        <v>0</v>
      </c>
      <c r="BE37" s="70">
        <f t="shared" si="18"/>
        <v>0</v>
      </c>
      <c r="BF37" s="829" t="s">
        <v>544</v>
      </c>
      <c r="BG37" s="839">
        <f>COUNTIF($K$13:$M$22,"特・療・精")</f>
        <v>0</v>
      </c>
      <c r="BH37" s="843">
        <f>COUNTIF($X$13:$Z$22,"特・療・精")</f>
        <v>0</v>
      </c>
      <c r="BI37" s="839">
        <f>COUNTIF($K$55:$M$84,"特・療・精")</f>
        <v>0</v>
      </c>
      <c r="BJ37" s="839">
        <f>COUNTIF($X$55:$Z$84,"特・療・精")</f>
        <v>0</v>
      </c>
      <c r="BK37" s="839">
        <f>COUNTIF($K$98:$M$127,"特・療・精")</f>
        <v>0</v>
      </c>
      <c r="BL37" s="839">
        <f>COUNTIF($X$98:$Z$127,"特・療・精")</f>
        <v>0</v>
      </c>
      <c r="BM37" s="839">
        <f>COUNTIF($K$141:$M$170,"特・療・精")</f>
        <v>0</v>
      </c>
      <c r="BN37" s="839">
        <f>COUNTIF($X$141:$Z$170,"特・療・精")</f>
        <v>0</v>
      </c>
      <c r="BO37" s="839">
        <f>COUNTIF($K$184:$M$213,"特・療・精")</f>
        <v>0</v>
      </c>
      <c r="BP37" s="839">
        <f>COUNTIF($X$184:$Z$213,"特・療・精")</f>
        <v>0</v>
      </c>
      <c r="BQ37" s="839">
        <f>COUNTIF($K$227:$M$256,"特・療・精")</f>
        <v>0</v>
      </c>
      <c r="BR37" s="839">
        <f>COUNTIF($X$227:$Z$256,"特・療・精")</f>
        <v>0</v>
      </c>
      <c r="BS37" s="839">
        <f>SUM(BG37:BR37)</f>
        <v>0</v>
      </c>
      <c r="BT37" s="844">
        <f>SUMIFS($H$13:$H$22,$J$13:$J$22,"小",$K$13:$K$22,"特・療・精")+SUMIFS($U$13:$U$22,$W$13:$W$22,"小",$X$13:$X$22,"特・療・精")+SUMIFS($H$55:$H$84,$J$55:$J$84,"小",$K$55:$K$84,"特・療・精")+SUMIFS($U$55:$U$84,$W$55:$W$84,"小",$X$55:$X$84,"特・療・精")+SUMIFS($H$98:$H$127,$J$98:$J$127,"小",$K$98:$K$127,"特・療・精")+SUMIFS($H$141:$H$170,$J$141:$J$170,"小",$K$141:$K$170,"特・療・精")+SUMIFS($H$184:$H$213,$J$184:$J$213,"小",$K$184:$K$213,"特・療・精")+SUMIFS($H$227:$H$256,$J$227:$J$256,"小",$K$227:$K$256,"特・療・精")+SUMIFS($U$98:$U$127,$W$98:$W$127,"小",$X$98:$X$127,"特・療・精")+SUMIFS($U$141:$U$170,$W$141:$W$170,"小",$X$141:$X$170,"特・療・精")+SUMIFS($U$184:$U$213,$W$184:$W$213,"小",$X$184:$X$213,"特・療・精")+SUMIFS($U$227:$U$256,$W$227:$W$256,"小",$X$227:$X$256,"特・療・精")</f>
        <v>0</v>
      </c>
      <c r="BU37" s="844">
        <f>SUMIFS($I$13:$I$22,$J$13:$J$22,"小",$K$13:$K$22,"特・療・精")+SUMIFS($V$13:$V$22,$W$13:$W$22,"小",$X$13:$X$22,"特・療・精")+SUMIFS($I$55:$I$84,$J$55:$J$84,"小",$K$55:$K$84,"特・療・精")+SUMIFS($V$55:$V$84,$W$55:$W$84,"小",$X$55:$X$84,"特・療・精")+SUMIFS($I$98:$I$127,$J$98:$J$127,"小",$K$98:$K$127,"特・療・精")+SUMIFS($I$141:$I$170,$J$141:$J$170,"小",$K$141:$K$170,"特・療・精")+SUMIFS($I$184:$I$213,$J$184:$J$213,"小",$K$184:$K$213,"特・療・精")+SUMIFS($I$227:$I$256,$J$227:$J$256,"小",$K$227:$K$256,"特・療・精")+SUMIFS($V$98:$V$127,$W$98:$W$127,"小",$X$98:$X$127,"特・療・精")+SUMIFS($V$141:$V$170,$W$141:$W$170,"小",$X$141:$X$170,"特・療・精")+SUMIFS($V$184:$V$213,$W$184:$W$213,"小",$X$184:$X$213,"特・療・精")+SUMIFS($V$227:$V$256,$W$227:$W$256,"小",$X$227:$X$256,"特・療・精")</f>
        <v>0</v>
      </c>
      <c r="BV37" s="844">
        <f>SUMIFS($H$13:$H$22,$J$13:$J$22,"中",$K$13:$K$22,"特・療・精")+SUMIFS($U$13:$U$22,$W$13:$W$22,"中",$X$13:$X$22,"特・療・精")+SUMIFS($H$55:$H$84,$J$55:$J$84,"中",$K$55:$K$84,"特・療・精")+SUMIFS($U$55:$U$84,$W$55:$W$84,"中",$X$55:$X$84,"特・療・精")+SUMIFS($H$98:$H$127,$J$98:$J$127,"中",$K$98:$K$127,"特・療・精")+SUMIFS($H$141:$H$170,$J$141:$J$170,"中",$K$141:$K$170,"特・療・精")+SUMIFS($H$184:$H$213,$J$184:$J$213,"中",$K$184:$K$213,"特・療・精")+SUMIFS($H$227:$H$256,$J$227:$J$256,"中",$K$227:$K$256,"特・療・精")+SUMIFS($U$98:$U$127,$W$98:$W$127,"中",$X$98:$X$127,"特・療・精")+SUMIFS($U$141:$U$170,$W$141:$W$170,"中",$X$141:$X$170,"特・療・精")+SUMIFS($U$184:$U$213,$W$184:$W$213,"中",$X$184:$X$213,"特・療・精")+SUMIFS($U$227:$U$256,$W$227:$W$256,"中",$X$227:$X$256,"特・療・精")</f>
        <v>0</v>
      </c>
      <c r="BW37" s="844">
        <f>SUMIFS($I$13:$I$22,$J$13:$J$22,"中",$K$13:$K$22,"特・療・精")+SUMIFS($V$13:$V$22,$W$13:$W$22,"中",$X$13:$X$22,"特・療・精")+SUMIFS($I$55:$I$84,$J$55:$J$84,"中",$K$55:$K$84,"特・療・精")+SUMIFS($V$55:$V$84,$W$55:$W$84,"中",$X$55:$X$84,"特・療・精")+SUMIFS($I$98:$I$127,$J$98:$J$127,"中",$K$98:$K$127,"特・療・精")+SUMIFS($I$141:$I$170,$J$141:$J$170,"中",$K$141:$K$170,"特・療・精")+SUMIFS($I$184:$I$213,$J$184:$J$213,"中",$K$184:$K$213,"特・療・精")+SUMIFS($I$227:$I$256,$J$227:$J$256,"中",$K$227:$K$256,"特・療・精")+SUMIFS($V$98:$V$127,$W$98:$W$127,"中",$X$98:$X$127,"特・療・精")+SUMIFS($V$141:$V$170,$W$141:$W$170,"中",$X$141:$X$170,"特・療・精")+SUMIFS($V$184:$V$213,$W$184:$W$213,"中",$X$184:$X$213,"特・療・精")+SUMIFS($V$227:$V$256,$W$227:$W$256,"中",$X$227:$X$256,"特・療・精")</f>
        <v>0</v>
      </c>
      <c r="BX37" s="825"/>
      <c r="BY37" s="825"/>
      <c r="BZ37" s="825"/>
      <c r="CA37" s="825"/>
      <c r="CB37" s="825"/>
      <c r="CC37" s="796" t="str">
        <f t="shared" ref="CC37:CC62" si="19">$BU$11&amp;BF12</f>
        <v>小日帰/準</v>
      </c>
      <c r="CD37" s="850">
        <f>BU12</f>
        <v>0</v>
      </c>
      <c r="CE37" s="796">
        <f>IF(OR(BU12="",BU12=0),0,89)</f>
        <v>0</v>
      </c>
      <c r="CF37" s="796">
        <v>110</v>
      </c>
      <c r="CG37" s="851">
        <v>89</v>
      </c>
      <c r="CH37" s="825"/>
      <c r="CI37" s="829"/>
      <c r="CJ37" s="829"/>
      <c r="CK37" s="825"/>
      <c r="CL37" s="825"/>
      <c r="CM37" s="825"/>
      <c r="CN37" s="825"/>
      <c r="CO37" s="825"/>
      <c r="CP37" s="825"/>
      <c r="CQ37" s="825"/>
      <c r="CR37" s="825"/>
      <c r="CS37" s="825"/>
      <c r="CT37" s="825"/>
      <c r="CU37" s="825"/>
      <c r="CV37" s="825"/>
      <c r="CW37" s="825"/>
      <c r="CX37" s="825"/>
      <c r="CY37" s="825"/>
    </row>
    <row r="38" spans="1:103" s="8" customFormat="1" ht="24" customHeight="1" thickBot="1">
      <c r="A38" s="2017"/>
      <c r="B38" s="1994" t="s">
        <v>116</v>
      </c>
      <c r="C38" s="1995"/>
      <c r="D38" s="1996"/>
      <c r="E38" s="1994" t="s">
        <v>167</v>
      </c>
      <c r="F38" s="1995"/>
      <c r="G38" s="1996"/>
      <c r="H38" s="1795" t="s">
        <v>530</v>
      </c>
      <c r="I38" s="1796"/>
      <c r="J38" s="2004"/>
      <c r="K38" s="2113" t="s">
        <v>2945</v>
      </c>
      <c r="L38" s="1796"/>
      <c r="M38" s="2004"/>
      <c r="N38" s="349"/>
      <c r="O38" s="349"/>
      <c r="P38" s="2078" t="s">
        <v>47</v>
      </c>
      <c r="Q38" s="2079"/>
      <c r="R38" s="2077">
        <f>$I$23</f>
        <v>0</v>
      </c>
      <c r="S38" s="2077"/>
      <c r="T38" s="2077"/>
      <c r="U38" s="362" t="s">
        <v>459</v>
      </c>
      <c r="V38" s="2148" t="s">
        <v>458</v>
      </c>
      <c r="W38" s="2148"/>
      <c r="X38" s="2142">
        <f>COUNTIFS($BB$13:$BB$332,1,$BC$13:$BC$332,1,$BD$13:$BD$332,1)</f>
        <v>0</v>
      </c>
      <c r="Y38" s="2142"/>
      <c r="Z38" s="364" t="s">
        <v>32</v>
      </c>
      <c r="AA38" s="2017"/>
      <c r="AB38" s="1994" t="s">
        <v>116</v>
      </c>
      <c r="AC38" s="1995"/>
      <c r="AD38" s="1996"/>
      <c r="AE38" s="1994" t="s">
        <v>167</v>
      </c>
      <c r="AF38" s="1995"/>
      <c r="AG38" s="1996"/>
      <c r="AH38" s="1795" t="s">
        <v>530</v>
      </c>
      <c r="AI38" s="1796"/>
      <c r="AJ38" s="2004"/>
      <c r="AK38" s="2113" t="s">
        <v>2945</v>
      </c>
      <c r="AL38" s="1796"/>
      <c r="AM38" s="2004"/>
      <c r="AN38" s="349"/>
      <c r="AO38" s="349"/>
      <c r="AP38" s="2078" t="s">
        <v>47</v>
      </c>
      <c r="AQ38" s="2079"/>
      <c r="AR38" s="2077">
        <v>1</v>
      </c>
      <c r="AS38" s="2077"/>
      <c r="AT38" s="2077"/>
      <c r="AU38" s="362" t="s">
        <v>459</v>
      </c>
      <c r="AV38" s="2079" t="s">
        <v>458</v>
      </c>
      <c r="AW38" s="2079"/>
      <c r="AX38" s="2142">
        <v>0</v>
      </c>
      <c r="AY38" s="2142"/>
      <c r="AZ38" s="364" t="s">
        <v>32</v>
      </c>
      <c r="BA38" s="67">
        <v>26</v>
      </c>
      <c r="BB38" s="68">
        <f t="shared" si="16"/>
        <v>0</v>
      </c>
      <c r="BC38" s="192">
        <f t="shared" si="17"/>
        <v>0</v>
      </c>
      <c r="BD38" s="70">
        <f t="shared" si="18"/>
        <v>0</v>
      </c>
      <c r="BE38" s="70">
        <f t="shared" si="18"/>
        <v>0</v>
      </c>
      <c r="BF38" s="829"/>
      <c r="BG38" s="825"/>
      <c r="BH38" s="825"/>
      <c r="BI38" s="825"/>
      <c r="BJ38" s="825"/>
      <c r="BK38" s="825"/>
      <c r="BL38" s="825"/>
      <c r="BM38" s="825"/>
      <c r="BN38" s="825"/>
      <c r="BO38" s="825"/>
      <c r="BP38" s="825"/>
      <c r="BQ38" s="825"/>
      <c r="BR38" s="829" t="s">
        <v>537</v>
      </c>
      <c r="BS38" s="850">
        <f>SUM(BS12:BS36)</f>
        <v>0</v>
      </c>
      <c r="BT38" s="850">
        <f>SUM(BT12:BT37)</f>
        <v>0</v>
      </c>
      <c r="BU38" s="850">
        <f>SUM(BU12:BU37)</f>
        <v>0</v>
      </c>
      <c r="BV38" s="850">
        <f>SUM(BV12:BV37)</f>
        <v>0</v>
      </c>
      <c r="BW38" s="850">
        <f>SUM(BW12:BW37)</f>
        <v>0</v>
      </c>
      <c r="BX38" s="850">
        <f>BX17</f>
        <v>0</v>
      </c>
      <c r="BY38" s="850">
        <f>BY17</f>
        <v>0</v>
      </c>
      <c r="BZ38" s="850">
        <f>BZ17</f>
        <v>0</v>
      </c>
      <c r="CA38" s="850">
        <f>CA17</f>
        <v>0</v>
      </c>
      <c r="CB38" s="825"/>
      <c r="CC38" s="796" t="str">
        <f t="shared" si="19"/>
        <v>小日帰/特</v>
      </c>
      <c r="CD38" s="850">
        <f t="shared" ref="CD38:CD62" si="20">BU13</f>
        <v>0</v>
      </c>
      <c r="CE38" s="796">
        <f>IF(OR(BU13="",BU13=0),0,88)</f>
        <v>0</v>
      </c>
      <c r="CF38" s="796">
        <v>110</v>
      </c>
      <c r="CG38" s="851">
        <v>88</v>
      </c>
      <c r="CH38" s="825"/>
      <c r="CI38" s="829"/>
      <c r="CJ38" s="829"/>
      <c r="CK38" s="825"/>
      <c r="CL38" s="825"/>
      <c r="CM38" s="825"/>
      <c r="CN38" s="825"/>
      <c r="CO38" s="825"/>
      <c r="CP38" s="825"/>
      <c r="CQ38" s="825"/>
      <c r="CR38" s="825"/>
      <c r="CS38" s="825"/>
      <c r="CT38" s="825"/>
      <c r="CU38" s="825"/>
      <c r="CV38" s="825"/>
      <c r="CW38" s="825"/>
      <c r="CX38" s="825"/>
      <c r="CY38" s="825"/>
    </row>
    <row r="39" spans="1:103" s="8" customFormat="1" ht="24" customHeight="1" thickBot="1">
      <c r="A39" s="2018"/>
      <c r="B39" s="1997"/>
      <c r="C39" s="1998"/>
      <c r="D39" s="1999"/>
      <c r="E39" s="1997"/>
      <c r="F39" s="1998"/>
      <c r="G39" s="1999"/>
      <c r="H39" s="2005"/>
      <c r="I39" s="1454"/>
      <c r="J39" s="2006"/>
      <c r="K39" s="2005"/>
      <c r="L39" s="1454"/>
      <c r="M39" s="2006"/>
      <c r="N39" s="350"/>
      <c r="O39" s="350"/>
      <c r="P39" s="2145" t="s">
        <v>121</v>
      </c>
      <c r="Q39" s="2146"/>
      <c r="R39" s="2140">
        <f>SUM($R$37:$T$38)</f>
        <v>0</v>
      </c>
      <c r="S39" s="2140"/>
      <c r="T39" s="2140"/>
      <c r="U39" s="361" t="s">
        <v>459</v>
      </c>
      <c r="V39" s="2147" t="s">
        <v>460</v>
      </c>
      <c r="W39" s="2147"/>
      <c r="X39" s="2146">
        <f>SUM($X$37:$Y$38)</f>
        <v>0</v>
      </c>
      <c r="Y39" s="2146"/>
      <c r="Z39" s="363" t="s">
        <v>32</v>
      </c>
      <c r="AA39" s="2018"/>
      <c r="AB39" s="1997"/>
      <c r="AC39" s="1998"/>
      <c r="AD39" s="1999"/>
      <c r="AE39" s="1997"/>
      <c r="AF39" s="1998"/>
      <c r="AG39" s="1999"/>
      <c r="AH39" s="2005"/>
      <c r="AI39" s="1454"/>
      <c r="AJ39" s="2006"/>
      <c r="AK39" s="2005"/>
      <c r="AL39" s="1454"/>
      <c r="AM39" s="2006"/>
      <c r="AN39" s="350"/>
      <c r="AO39" s="350"/>
      <c r="AP39" s="2145" t="s">
        <v>121</v>
      </c>
      <c r="AQ39" s="2146"/>
      <c r="AR39" s="2140">
        <v>110</v>
      </c>
      <c r="AS39" s="2140"/>
      <c r="AT39" s="2140"/>
      <c r="AU39" s="361" t="s">
        <v>459</v>
      </c>
      <c r="AV39" s="2146" t="s">
        <v>460</v>
      </c>
      <c r="AW39" s="2146"/>
      <c r="AX39" s="2146">
        <f>SUM($X$34:$Y$37)</f>
        <v>0</v>
      </c>
      <c r="AY39" s="2146"/>
      <c r="AZ39" s="363" t="s">
        <v>32</v>
      </c>
      <c r="BA39" s="67">
        <v>27</v>
      </c>
      <c r="BB39" s="68">
        <f t="shared" si="16"/>
        <v>0</v>
      </c>
      <c r="BC39" s="192">
        <f t="shared" si="17"/>
        <v>0</v>
      </c>
      <c r="BD39" s="70">
        <f t="shared" si="18"/>
        <v>0</v>
      </c>
      <c r="BE39" s="70">
        <f t="shared" si="18"/>
        <v>0</v>
      </c>
      <c r="BF39" s="840" t="s">
        <v>546</v>
      </c>
      <c r="BG39" s="192"/>
      <c r="BH39" s="192"/>
      <c r="BI39" s="192"/>
      <c r="BJ39" s="192"/>
      <c r="BK39" s="192"/>
      <c r="BL39" s="825"/>
      <c r="BM39" s="825"/>
      <c r="BN39" s="825"/>
      <c r="BO39" s="825"/>
      <c r="BP39" s="825"/>
      <c r="BQ39" s="825"/>
      <c r="BR39" s="825"/>
      <c r="BS39" s="829" t="s">
        <v>545</v>
      </c>
      <c r="BT39" s="850">
        <f>BT38-(BT12+BT13+BT18)</f>
        <v>0</v>
      </c>
      <c r="BU39" s="850">
        <f>BU38-(BU12+BU13+BU18)</f>
        <v>0</v>
      </c>
      <c r="BV39" s="850">
        <f>BV38-(BV12+BV13+BV18)</f>
        <v>0</v>
      </c>
      <c r="BW39" s="850">
        <f>BW38-(BW12+BW13+BW18)</f>
        <v>0</v>
      </c>
      <c r="BX39" s="850">
        <f>BX17</f>
        <v>0</v>
      </c>
      <c r="BY39" s="850">
        <f>BY17</f>
        <v>0</v>
      </c>
      <c r="BZ39" s="850">
        <f>BZ17</f>
        <v>0</v>
      </c>
      <c r="CA39" s="850">
        <f>CA17</f>
        <v>0</v>
      </c>
      <c r="CB39" s="825"/>
      <c r="CC39" s="796" t="str">
        <f t="shared" si="19"/>
        <v>小日帰/身</v>
      </c>
      <c r="CD39" s="850">
        <f t="shared" si="20"/>
        <v>0</v>
      </c>
      <c r="CE39" s="796">
        <f>IF(OR(BU14="",BU14=0),0,87)</f>
        <v>0</v>
      </c>
      <c r="CF39" s="796">
        <v>110</v>
      </c>
      <c r="CG39" s="851">
        <v>87</v>
      </c>
      <c r="CH39" s="825"/>
      <c r="CI39" s="829"/>
      <c r="CJ39" s="829"/>
      <c r="CK39" s="825"/>
      <c r="CL39" s="825"/>
      <c r="CM39" s="825"/>
      <c r="CN39" s="825"/>
      <c r="CO39" s="825"/>
      <c r="CP39" s="825"/>
      <c r="CQ39" s="825"/>
      <c r="CR39" s="825"/>
      <c r="CS39" s="825"/>
      <c r="CT39" s="825"/>
      <c r="CU39" s="825"/>
      <c r="CV39" s="825"/>
      <c r="CW39" s="825"/>
      <c r="CX39" s="825"/>
      <c r="CY39" s="825"/>
    </row>
    <row r="40" spans="1:103" s="8" customFormat="1" ht="13.5" customHeight="1" thickBot="1">
      <c r="A40" s="351"/>
      <c r="B40" s="352"/>
      <c r="C40" s="352"/>
      <c r="D40" s="352"/>
      <c r="E40" s="352"/>
      <c r="F40" s="352"/>
      <c r="G40" s="352"/>
      <c r="H40" s="303"/>
      <c r="I40" s="313"/>
      <c r="J40" s="303"/>
      <c r="K40" s="303"/>
      <c r="L40" s="303"/>
      <c r="M40" s="313"/>
      <c r="N40" s="352"/>
      <c r="O40" s="352"/>
      <c r="P40" s="352"/>
      <c r="Q40" s="352"/>
      <c r="R40" s="352"/>
      <c r="S40" s="352"/>
      <c r="T40" s="352"/>
      <c r="U40" s="352"/>
      <c r="V40" s="262"/>
      <c r="W40" s="353"/>
      <c r="X40" s="353"/>
      <c r="Y40" s="353"/>
      <c r="Z40" s="353"/>
      <c r="AA40" s="351"/>
      <c r="AB40" s="352"/>
      <c r="AC40" s="352"/>
      <c r="AD40" s="352"/>
      <c r="AE40" s="352"/>
      <c r="AF40" s="352"/>
      <c r="AG40" s="352"/>
      <c r="AH40" s="303"/>
      <c r="AI40" s="313"/>
      <c r="AJ40" s="303"/>
      <c r="AK40" s="303"/>
      <c r="AL40" s="303"/>
      <c r="AM40" s="313"/>
      <c r="AN40" s="352"/>
      <c r="AO40" s="352"/>
      <c r="AP40" s="352"/>
      <c r="AQ40" s="352"/>
      <c r="AR40" s="352"/>
      <c r="AS40" s="352"/>
      <c r="AT40" s="352"/>
      <c r="AU40" s="352"/>
      <c r="AV40" s="262"/>
      <c r="AW40" s="353"/>
      <c r="AX40" s="353"/>
      <c r="AY40" s="353"/>
      <c r="AZ40" s="353"/>
      <c r="BA40" s="67">
        <v>28</v>
      </c>
      <c r="BB40" s="68">
        <f t="shared" si="16"/>
        <v>0</v>
      </c>
      <c r="BC40" s="192">
        <f t="shared" si="17"/>
        <v>0</v>
      </c>
      <c r="BD40" s="70">
        <f t="shared" si="18"/>
        <v>0</v>
      </c>
      <c r="BE40" s="70">
        <f t="shared" si="18"/>
        <v>0</v>
      </c>
      <c r="BF40" s="192" t="str">
        <f>I13&amp;J13&amp;K13</f>
        <v/>
      </c>
      <c r="BG40" s="852" t="str">
        <f>V13&amp;W13&amp;X13</f>
        <v/>
      </c>
      <c r="BH40" s="192" t="str">
        <f t="shared" ref="BH40:BH69" si="21">I55&amp;J55&amp;K55</f>
        <v/>
      </c>
      <c r="BI40" s="192" t="str">
        <f>V55&amp;X55&amp;W55</f>
        <v/>
      </c>
      <c r="BJ40" s="192" t="str">
        <f>I98&amp;J98&amp;K98</f>
        <v/>
      </c>
      <c r="BK40" s="192" t="str">
        <f t="shared" ref="BK40:BK69" si="22">V98&amp;X98&amp;W98</f>
        <v/>
      </c>
      <c r="BL40" s="825" t="str">
        <f>I141&amp;J141&amp;K141</f>
        <v/>
      </c>
      <c r="BM40" s="825" t="str">
        <f>V141&amp;X141&amp;W141</f>
        <v/>
      </c>
      <c r="BN40" s="825" t="str">
        <f t="shared" ref="BN40:BN69" si="23">I184&amp;J184&amp;K184</f>
        <v/>
      </c>
      <c r="BO40" s="825" t="str">
        <f>V184&amp;X184&amp;W184</f>
        <v/>
      </c>
      <c r="BP40" s="825" t="str">
        <f>I227&amp;J227&amp;K227</f>
        <v/>
      </c>
      <c r="BQ40" s="825" t="str">
        <f>V227&amp;X227&amp;W227</f>
        <v/>
      </c>
      <c r="BR40" s="825"/>
      <c r="BS40" s="825"/>
      <c r="BT40" s="825"/>
      <c r="BU40" s="825"/>
      <c r="BV40" s="825"/>
      <c r="BW40" s="825"/>
      <c r="BX40" s="825"/>
      <c r="BY40" s="825"/>
      <c r="BZ40" s="825"/>
      <c r="CA40" s="825"/>
      <c r="CB40" s="825"/>
      <c r="CC40" s="796" t="str">
        <f t="shared" si="19"/>
        <v>小日帰/療</v>
      </c>
      <c r="CD40" s="850">
        <f t="shared" si="20"/>
        <v>0</v>
      </c>
      <c r="CE40" s="796">
        <f>IF(OR(BU15="",BU15=0),0,86)</f>
        <v>0</v>
      </c>
      <c r="CF40" s="796">
        <v>110</v>
      </c>
      <c r="CG40" s="851">
        <v>86</v>
      </c>
      <c r="CH40" s="825"/>
      <c r="CI40" s="829"/>
      <c r="CJ40" s="829"/>
      <c r="CK40" s="825"/>
      <c r="CL40" s="825"/>
      <c r="CM40" s="825"/>
      <c r="CN40" s="825"/>
      <c r="CO40" s="825"/>
      <c r="CP40" s="825"/>
      <c r="CQ40" s="825"/>
      <c r="CR40" s="825"/>
      <c r="CS40" s="825"/>
      <c r="CT40" s="825"/>
      <c r="CU40" s="825"/>
      <c r="CV40" s="825"/>
      <c r="CW40" s="825"/>
      <c r="CX40" s="825"/>
      <c r="CY40" s="825"/>
    </row>
    <row r="41" spans="1:103" s="8" customFormat="1" ht="24" customHeight="1" thickBot="1">
      <c r="A41" s="2114" t="s">
        <v>528</v>
      </c>
      <c r="B41" s="2108" t="s">
        <v>504</v>
      </c>
      <c r="C41" s="2107"/>
      <c r="D41" s="2107"/>
      <c r="E41" s="2107" t="s">
        <v>503</v>
      </c>
      <c r="F41" s="2107"/>
      <c r="G41" s="2107"/>
      <c r="H41" s="2001" t="s">
        <v>505</v>
      </c>
      <c r="I41" s="2002"/>
      <c r="J41" s="2002"/>
      <c r="K41" s="2001" t="s">
        <v>506</v>
      </c>
      <c r="L41" s="2002"/>
      <c r="M41" s="2003"/>
      <c r="N41" s="2001" t="s">
        <v>507</v>
      </c>
      <c r="O41" s="2002"/>
      <c r="P41" s="2002"/>
      <c r="Q41" s="2001" t="s">
        <v>508</v>
      </c>
      <c r="R41" s="2002"/>
      <c r="S41" s="2104"/>
      <c r="T41" s="354"/>
      <c r="U41" s="252"/>
      <c r="V41" s="355"/>
      <c r="W41" s="354"/>
      <c r="X41" s="354"/>
      <c r="Y41" s="354"/>
      <c r="Z41" s="354"/>
      <c r="AA41" s="2114" t="s">
        <v>528</v>
      </c>
      <c r="AB41" s="2108" t="s">
        <v>504</v>
      </c>
      <c r="AC41" s="2107"/>
      <c r="AD41" s="2107"/>
      <c r="AE41" s="2107" t="s">
        <v>503</v>
      </c>
      <c r="AF41" s="2107"/>
      <c r="AG41" s="2107"/>
      <c r="AH41" s="2001" t="s">
        <v>505</v>
      </c>
      <c r="AI41" s="2002"/>
      <c r="AJ41" s="2002"/>
      <c r="AK41" s="2001" t="s">
        <v>506</v>
      </c>
      <c r="AL41" s="2002"/>
      <c r="AM41" s="2003"/>
      <c r="AN41" s="2001" t="s">
        <v>507</v>
      </c>
      <c r="AO41" s="2002"/>
      <c r="AP41" s="2002"/>
      <c r="AQ41" s="2001" t="s">
        <v>508</v>
      </c>
      <c r="AR41" s="2002"/>
      <c r="AS41" s="2104"/>
      <c r="AT41" s="354"/>
      <c r="AU41" s="252"/>
      <c r="AV41" s="355"/>
      <c r="AW41" s="354"/>
      <c r="AX41" s="354"/>
      <c r="AY41" s="354"/>
      <c r="AZ41" s="354"/>
      <c r="BA41" s="67">
        <v>29</v>
      </c>
      <c r="BB41" s="68">
        <f t="shared" si="16"/>
        <v>0</v>
      </c>
      <c r="BC41" s="192">
        <f t="shared" si="17"/>
        <v>0</v>
      </c>
      <c r="BD41" s="70">
        <f t="shared" si="18"/>
        <v>0</v>
      </c>
      <c r="BE41" s="70">
        <f t="shared" si="18"/>
        <v>0</v>
      </c>
      <c r="BF41" s="192" t="str">
        <f>I14&amp;J14&amp;K14</f>
        <v/>
      </c>
      <c r="BG41" s="852" t="str">
        <f t="shared" ref="BG41:BG49" si="24">V14&amp;W14&amp;X14</f>
        <v/>
      </c>
      <c r="BH41" s="192" t="str">
        <f t="shared" si="21"/>
        <v/>
      </c>
      <c r="BI41" s="192" t="str">
        <f t="shared" ref="BI41:BI69" si="25">V56&amp;X56&amp;W56</f>
        <v/>
      </c>
      <c r="BJ41" s="192" t="str">
        <f>I99&amp;J99&amp;K99</f>
        <v/>
      </c>
      <c r="BK41" s="192" t="str">
        <f t="shared" si="22"/>
        <v/>
      </c>
      <c r="BL41" s="825" t="str">
        <f t="shared" ref="BL41:BL69" si="26">I142&amp;J142&amp;K142</f>
        <v/>
      </c>
      <c r="BM41" s="825" t="str">
        <f t="shared" ref="BM41:BM69" si="27">V142&amp;X142&amp;W142</f>
        <v/>
      </c>
      <c r="BN41" s="825" t="str">
        <f t="shared" si="23"/>
        <v/>
      </c>
      <c r="BO41" s="825" t="str">
        <f t="shared" ref="BO41:BO69" si="28">V185&amp;X185&amp;W185</f>
        <v/>
      </c>
      <c r="BP41" s="825" t="str">
        <f t="shared" ref="BP41:BP69" si="29">I228&amp;J228&amp;K228</f>
        <v/>
      </c>
      <c r="BQ41" s="825" t="str">
        <f t="shared" ref="BQ41:BQ69" si="30">V228&amp;X228&amp;W228</f>
        <v/>
      </c>
      <c r="BR41" s="825"/>
      <c r="BS41" s="853"/>
      <c r="BT41" s="829" t="s">
        <v>1839</v>
      </c>
      <c r="BU41" s="829" t="s">
        <v>1838</v>
      </c>
      <c r="BV41" s="829" t="s">
        <v>1840</v>
      </c>
      <c r="BW41" s="829" t="s">
        <v>1841</v>
      </c>
      <c r="BX41" s="849" t="s">
        <v>1842</v>
      </c>
      <c r="BY41" s="849" t="s">
        <v>1843</v>
      </c>
      <c r="BZ41" s="849" t="s">
        <v>1844</v>
      </c>
      <c r="CA41" s="849" t="s">
        <v>1845</v>
      </c>
      <c r="CB41" s="825"/>
      <c r="CC41" s="796" t="str">
        <f t="shared" si="19"/>
        <v>小日帰/精</v>
      </c>
      <c r="CD41" s="850">
        <f t="shared" si="20"/>
        <v>0</v>
      </c>
      <c r="CE41" s="796">
        <f>IF(OR(BU16="",BU16=0),0,85)</f>
        <v>0</v>
      </c>
      <c r="CF41" s="796">
        <v>110</v>
      </c>
      <c r="CG41" s="851">
        <v>85</v>
      </c>
      <c r="CH41" s="825"/>
      <c r="CI41" s="829"/>
      <c r="CJ41" s="829"/>
      <c r="CK41" s="825"/>
      <c r="CL41" s="825"/>
      <c r="CM41" s="825"/>
      <c r="CN41" s="825"/>
      <c r="CO41" s="825"/>
      <c r="CP41" s="825"/>
      <c r="CQ41" s="825"/>
      <c r="CR41" s="825"/>
      <c r="CS41" s="825"/>
      <c r="CT41" s="825"/>
      <c r="CU41" s="825"/>
      <c r="CV41" s="825"/>
      <c r="CW41" s="825"/>
      <c r="CX41" s="825"/>
      <c r="CY41" s="825"/>
    </row>
    <row r="42" spans="1:103" s="8" customFormat="1" ht="60" customHeight="1">
      <c r="A42" s="2114"/>
      <c r="B42" s="2099" t="s">
        <v>2946</v>
      </c>
      <c r="C42" s="2100"/>
      <c r="D42" s="2101"/>
      <c r="E42" s="2099" t="s">
        <v>2947</v>
      </c>
      <c r="F42" s="2100"/>
      <c r="G42" s="2101"/>
      <c r="H42" s="2120" t="s">
        <v>2948</v>
      </c>
      <c r="I42" s="2116"/>
      <c r="J42" s="2117"/>
      <c r="K42" s="2120" t="s">
        <v>2949</v>
      </c>
      <c r="L42" s="2116"/>
      <c r="M42" s="2117"/>
      <c r="N42" s="2123" t="s">
        <v>2950</v>
      </c>
      <c r="O42" s="2116"/>
      <c r="P42" s="2117"/>
      <c r="Q42" s="2115" t="s">
        <v>2951</v>
      </c>
      <c r="R42" s="2116"/>
      <c r="S42" s="2117"/>
      <c r="T42" s="356"/>
      <c r="U42" s="2119"/>
      <c r="V42" s="2119"/>
      <c r="W42" s="2139"/>
      <c r="X42" s="2139"/>
      <c r="Y42" s="2139"/>
      <c r="Z42" s="357"/>
      <c r="AA42" s="2114"/>
      <c r="AB42" s="2099" t="s">
        <v>2946</v>
      </c>
      <c r="AC42" s="2100"/>
      <c r="AD42" s="2101"/>
      <c r="AE42" s="2099" t="s">
        <v>2947</v>
      </c>
      <c r="AF42" s="2100"/>
      <c r="AG42" s="2101"/>
      <c r="AH42" s="2120" t="s">
        <v>2948</v>
      </c>
      <c r="AI42" s="2116"/>
      <c r="AJ42" s="2117"/>
      <c r="AK42" s="2120" t="s">
        <v>2949</v>
      </c>
      <c r="AL42" s="2116"/>
      <c r="AM42" s="2117"/>
      <c r="AN42" s="2123" t="s">
        <v>2950</v>
      </c>
      <c r="AO42" s="2116"/>
      <c r="AP42" s="2117"/>
      <c r="AQ42" s="2115" t="s">
        <v>2951</v>
      </c>
      <c r="AR42" s="2116"/>
      <c r="AS42" s="2117"/>
      <c r="AT42" s="356"/>
      <c r="AU42" s="2119"/>
      <c r="AV42" s="2119"/>
      <c r="AW42" s="2139"/>
      <c r="AX42" s="2139"/>
      <c r="AY42" s="2139"/>
      <c r="AZ42" s="357"/>
      <c r="BA42" s="67">
        <v>30</v>
      </c>
      <c r="BB42" s="68">
        <f t="shared" si="16"/>
        <v>0</v>
      </c>
      <c r="BC42" s="192">
        <f t="shared" si="17"/>
        <v>0</v>
      </c>
      <c r="BD42" s="70">
        <f t="shared" si="18"/>
        <v>0</v>
      </c>
      <c r="BE42" s="70">
        <f t="shared" si="18"/>
        <v>0</v>
      </c>
      <c r="BF42" s="192" t="str">
        <f>I15&amp;J15&amp;K15</f>
        <v/>
      </c>
      <c r="BG42" s="852" t="str">
        <f t="shared" si="24"/>
        <v/>
      </c>
      <c r="BH42" s="192" t="str">
        <f t="shared" si="21"/>
        <v/>
      </c>
      <c r="BI42" s="192" t="str">
        <f t="shared" si="25"/>
        <v/>
      </c>
      <c r="BJ42" s="192" t="str">
        <f t="shared" ref="BJ42:BJ69" si="31">I100&amp;J100&amp;K100</f>
        <v/>
      </c>
      <c r="BK42" s="192" t="str">
        <f t="shared" si="22"/>
        <v/>
      </c>
      <c r="BL42" s="825" t="str">
        <f t="shared" si="26"/>
        <v/>
      </c>
      <c r="BM42" s="825" t="str">
        <f t="shared" si="27"/>
        <v/>
      </c>
      <c r="BN42" s="825" t="str">
        <f t="shared" si="23"/>
        <v/>
      </c>
      <c r="BO42" s="825" t="str">
        <f t="shared" si="28"/>
        <v/>
      </c>
      <c r="BP42" s="825" t="str">
        <f t="shared" si="29"/>
        <v/>
      </c>
      <c r="BQ42" s="825" t="str">
        <f t="shared" si="30"/>
        <v/>
      </c>
      <c r="BR42" s="825"/>
      <c r="BS42" s="840" t="s">
        <v>498</v>
      </c>
      <c r="BT42" s="825"/>
      <c r="BU42" s="825">
        <f>IF(OR(BU12="",BU12=0),0,26)</f>
        <v>0</v>
      </c>
      <c r="BV42" s="825">
        <f>IF(OR(BV12="",BV12=0),0,26)</f>
        <v>0</v>
      </c>
      <c r="BW42" s="825">
        <f>IF(OR(BW12="",BW12=0),0,26)</f>
        <v>0</v>
      </c>
      <c r="BX42" s="825"/>
      <c r="BY42" s="825"/>
      <c r="BZ42" s="825"/>
      <c r="CA42" s="825"/>
      <c r="CB42" s="825"/>
      <c r="CC42" s="796" t="str">
        <f t="shared" si="19"/>
        <v>小日帰/介添</v>
      </c>
      <c r="CD42" s="850">
        <f t="shared" si="20"/>
        <v>0</v>
      </c>
      <c r="CE42" s="796">
        <f>IF(OR(BU17="",BU17=0),0,84)</f>
        <v>0</v>
      </c>
      <c r="CF42" s="796">
        <v>110</v>
      </c>
      <c r="CG42" s="851">
        <v>84</v>
      </c>
      <c r="CH42" s="825"/>
      <c r="CI42" s="829"/>
      <c r="CJ42" s="829"/>
      <c r="CK42" s="825"/>
      <c r="CL42" s="825"/>
      <c r="CM42" s="825"/>
      <c r="CN42" s="825"/>
      <c r="CO42" s="825"/>
      <c r="CP42" s="825"/>
      <c r="CQ42" s="825"/>
      <c r="CR42" s="825"/>
      <c r="CS42" s="825"/>
      <c r="CT42" s="825"/>
      <c r="CU42" s="825"/>
      <c r="CV42" s="825"/>
      <c r="CW42" s="825"/>
      <c r="CX42" s="825"/>
      <c r="CY42" s="825"/>
    </row>
    <row r="43" spans="1:103" ht="23.25">
      <c r="A43" s="1276" t="s">
        <v>461</v>
      </c>
      <c r="B43" s="1276"/>
      <c r="C43" s="1276"/>
      <c r="D43" s="1276"/>
      <c r="E43" s="1276"/>
      <c r="F43" s="1276"/>
      <c r="G43" s="1276"/>
      <c r="H43" s="1276"/>
      <c r="I43" s="1276"/>
      <c r="J43" s="1276"/>
      <c r="K43" s="1276"/>
      <c r="L43" s="1276"/>
      <c r="M43" s="1276"/>
      <c r="N43" s="1276"/>
      <c r="O43" s="1276"/>
      <c r="P43" s="1276"/>
      <c r="Q43" s="1276"/>
      <c r="R43" s="1276"/>
      <c r="S43" s="1276"/>
      <c r="T43" s="1276"/>
      <c r="U43" s="1276"/>
      <c r="V43" s="1276"/>
      <c r="W43" s="1276"/>
      <c r="X43" s="1276"/>
      <c r="Y43" s="1276"/>
      <c r="Z43" s="1276"/>
      <c r="AA43" s="2144" t="s">
        <v>168</v>
      </c>
      <c r="AB43" s="2144"/>
      <c r="AC43" s="2144"/>
      <c r="AD43" s="2144"/>
      <c r="AE43" s="2144"/>
      <c r="AF43" s="2144"/>
      <c r="AG43" s="2144"/>
      <c r="AH43" s="2144"/>
      <c r="AI43" s="2144"/>
      <c r="AJ43" s="2144"/>
      <c r="AK43" s="2144"/>
      <c r="AL43" s="2144"/>
      <c r="AM43" s="2144"/>
      <c r="AN43" s="2144"/>
      <c r="AO43" s="2144"/>
      <c r="AP43" s="2144"/>
      <c r="AQ43" s="2144"/>
      <c r="AR43" s="2144"/>
      <c r="AS43" s="2144"/>
      <c r="AT43" s="2144"/>
      <c r="AU43" s="2144"/>
      <c r="AV43" s="2144"/>
      <c r="AW43" s="2144"/>
      <c r="AX43" s="2144"/>
      <c r="AY43" s="2144"/>
      <c r="AZ43" s="2144"/>
      <c r="BA43" s="67">
        <v>31</v>
      </c>
      <c r="BB43" s="68">
        <f t="shared" si="16"/>
        <v>0</v>
      </c>
      <c r="BC43" s="192">
        <f t="shared" si="17"/>
        <v>0</v>
      </c>
      <c r="BD43" s="70">
        <f t="shared" si="18"/>
        <v>0</v>
      </c>
      <c r="BE43" s="70">
        <f t="shared" si="18"/>
        <v>0</v>
      </c>
      <c r="BF43" s="192" t="str">
        <f t="shared" ref="BF43:BF48" si="32">I16&amp;J16&amp;K16</f>
        <v/>
      </c>
      <c r="BG43" s="852" t="str">
        <f t="shared" si="24"/>
        <v/>
      </c>
      <c r="BH43" s="192" t="str">
        <f t="shared" si="21"/>
        <v/>
      </c>
      <c r="BI43" s="192" t="str">
        <f t="shared" si="25"/>
        <v/>
      </c>
      <c r="BJ43" s="192" t="str">
        <f t="shared" si="31"/>
        <v/>
      </c>
      <c r="BK43" s="192" t="str">
        <f t="shared" si="22"/>
        <v/>
      </c>
      <c r="BL43" s="825" t="str">
        <f t="shared" si="26"/>
        <v/>
      </c>
      <c r="BM43" s="825" t="str">
        <f t="shared" si="27"/>
        <v/>
      </c>
      <c r="BN43" s="825" t="str">
        <f t="shared" si="23"/>
        <v/>
      </c>
      <c r="BO43" s="825" t="str">
        <f t="shared" si="28"/>
        <v/>
      </c>
      <c r="BP43" s="825" t="str">
        <f t="shared" si="29"/>
        <v/>
      </c>
      <c r="BQ43" s="825" t="str">
        <f t="shared" si="30"/>
        <v/>
      </c>
      <c r="BR43" s="192"/>
      <c r="BS43" s="840" t="s">
        <v>499</v>
      </c>
      <c r="BT43" s="825">
        <f>IF(OR(BT13="",BT13=0),0,25)</f>
        <v>0</v>
      </c>
      <c r="BU43" s="825">
        <f>IF(OR(BU13="",BU13=0),0,25)</f>
        <v>0</v>
      </c>
      <c r="BV43" s="825">
        <f>IF(OR(BV13="",BV13=0),0,25)</f>
        <v>0</v>
      </c>
      <c r="BW43" s="825">
        <f>IF(OR(BW13="",BW13=0),0,25)</f>
        <v>0</v>
      </c>
      <c r="BX43" s="192"/>
      <c r="BY43" s="192"/>
      <c r="BZ43" s="192"/>
      <c r="CA43" s="192"/>
      <c r="CB43" s="192"/>
      <c r="CC43" s="796" t="str">
        <f t="shared" si="19"/>
        <v>小日帰/準・特</v>
      </c>
      <c r="CD43" s="850">
        <f t="shared" si="20"/>
        <v>0</v>
      </c>
      <c r="CE43" s="796">
        <f>IF(OR(BU18="",BU18=0),0,83)</f>
        <v>0</v>
      </c>
      <c r="CF43" s="796">
        <v>110</v>
      </c>
      <c r="CG43" s="851">
        <v>83</v>
      </c>
      <c r="CH43" s="192"/>
      <c r="CI43" s="796"/>
      <c r="CJ43" s="796"/>
      <c r="CK43" s="192"/>
      <c r="CL43" s="192"/>
      <c r="CM43" s="192"/>
      <c r="CN43" s="192"/>
      <c r="CO43" s="192"/>
      <c r="CP43" s="192"/>
      <c r="CQ43" s="192"/>
      <c r="CR43" s="192"/>
      <c r="CS43" s="192"/>
      <c r="CT43" s="192"/>
      <c r="CU43" s="192"/>
      <c r="CV43" s="192"/>
      <c r="CW43" s="192"/>
      <c r="CX43" s="192"/>
      <c r="CY43" s="192"/>
    </row>
    <row r="44" spans="1:103" ht="24.95" customHeight="1" thickBot="1">
      <c r="A44" s="296">
        <f>COUNTIFS(K55:K84,"a",H55:H84,"&gt;0")</f>
        <v>0</v>
      </c>
      <c r="B44" s="296">
        <f>COUNTIFS(X55:X84,"a",U55:U84,"&gt;0")</f>
        <v>0</v>
      </c>
      <c r="C44" s="296">
        <f>COUNTIFS(K55:K84,"b",H55:H84,"&gt;0")</f>
        <v>0</v>
      </c>
      <c r="D44" s="296">
        <f>COUNTIFS(X55:X84,"b",U55:U84,"&gt;0")</f>
        <v>0</v>
      </c>
      <c r="E44" s="296">
        <f>COUNTIFS(K55:K84,"c",H55:H84,"&gt;0")</f>
        <v>0</v>
      </c>
      <c r="F44" s="296">
        <f>COUNTIFS(X55:X84,"c",U55:U84,"&gt;0")</f>
        <v>0</v>
      </c>
      <c r="G44" s="296">
        <f>COUNTIFS(K55:K84,"d",H55:H84,"&gt;0")</f>
        <v>0</v>
      </c>
      <c r="H44" s="296">
        <f>COUNTIFS(X55:X84,"d",U55:U84,"&gt;0")</f>
        <v>0</v>
      </c>
      <c r="I44" s="296">
        <f>COUNTIFS(K55:K84,"e",H55:H84,"&gt;0")</f>
        <v>0</v>
      </c>
      <c r="J44" s="296">
        <f>COUNTIFS(X55:X84,"e",U55:U84,"&gt;0")</f>
        <v>0</v>
      </c>
      <c r="K44" s="296">
        <f>COUNTIFS(K55:K84,"f",H55:H84,"&gt;0")</f>
        <v>0</v>
      </c>
      <c r="L44" s="296">
        <f>COUNTIFS(X55:X84,"f",U55:U84,"&gt;0")</f>
        <v>0</v>
      </c>
      <c r="M44" s="317">
        <f>COUNTIFS(K55:K84,"g",H55:H84,"&gt;0")</f>
        <v>0</v>
      </c>
      <c r="N44" s="317">
        <f>COUNTIFS(X55:X84,"g",U55:U84,"&gt;0")</f>
        <v>0</v>
      </c>
      <c r="O44" s="317">
        <f>COUNTIFS(K55:K84,"h",H55:H84,"&gt;0")</f>
        <v>0</v>
      </c>
      <c r="P44" s="317">
        <f>COUNTIFS(X55:X84,"h",U55:U84,"&gt;0")</f>
        <v>0</v>
      </c>
      <c r="Q44" s="317">
        <f>COUNTIFS(K55:K84,"i",H55:H84,"&gt;0")</f>
        <v>0</v>
      </c>
      <c r="R44" s="317">
        <f>COUNTIFS(X55:X84,"i",U55:U84,"&gt;0")</f>
        <v>0</v>
      </c>
      <c r="S44" s="318">
        <f>SUM(A44:R44)</f>
        <v>0</v>
      </c>
      <c r="T44" s="308"/>
      <c r="U44" s="308"/>
      <c r="V44" s="308"/>
      <c r="W44" s="2024" t="s">
        <v>462</v>
      </c>
      <c r="X44" s="2024"/>
      <c r="Y44" s="2024">
        <v>2</v>
      </c>
      <c r="Z44" s="2024"/>
      <c r="AA44" s="2144"/>
      <c r="AB44" s="2144"/>
      <c r="AC44" s="2144"/>
      <c r="AD44" s="2144"/>
      <c r="AE44" s="2144"/>
      <c r="AF44" s="2144"/>
      <c r="AG44" s="2144"/>
      <c r="AH44" s="2144"/>
      <c r="AI44" s="2144"/>
      <c r="AJ44" s="2144"/>
      <c r="AK44" s="2144"/>
      <c r="AL44" s="2144"/>
      <c r="AM44" s="2144"/>
      <c r="AN44" s="2144"/>
      <c r="AO44" s="2144"/>
      <c r="AP44" s="2144"/>
      <c r="AQ44" s="2144"/>
      <c r="AR44" s="2144"/>
      <c r="AS44" s="2144"/>
      <c r="AT44" s="2144"/>
      <c r="AU44" s="2144"/>
      <c r="AV44" s="2144"/>
      <c r="AW44" s="2144"/>
      <c r="AX44" s="2144"/>
      <c r="AY44" s="2144"/>
      <c r="AZ44" s="2144"/>
      <c r="BA44" s="67">
        <v>32</v>
      </c>
      <c r="BB44" s="68">
        <f t="shared" si="16"/>
        <v>0</v>
      </c>
      <c r="BC44" s="192">
        <f t="shared" si="17"/>
        <v>0</v>
      </c>
      <c r="BD44" s="70">
        <f t="shared" si="18"/>
        <v>0</v>
      </c>
      <c r="BE44" s="70">
        <f t="shared" si="18"/>
        <v>0</v>
      </c>
      <c r="BF44" s="192" t="str">
        <f t="shared" si="32"/>
        <v/>
      </c>
      <c r="BG44" s="852" t="str">
        <f t="shared" si="24"/>
        <v/>
      </c>
      <c r="BH44" s="192" t="str">
        <f t="shared" si="21"/>
        <v/>
      </c>
      <c r="BI44" s="192" t="str">
        <f t="shared" si="25"/>
        <v/>
      </c>
      <c r="BJ44" s="192" t="str">
        <f t="shared" si="31"/>
        <v/>
      </c>
      <c r="BK44" s="192" t="str">
        <f t="shared" si="22"/>
        <v/>
      </c>
      <c r="BL44" s="825" t="str">
        <f t="shared" si="26"/>
        <v/>
      </c>
      <c r="BM44" s="825" t="str">
        <f t="shared" si="27"/>
        <v/>
      </c>
      <c r="BN44" s="825" t="str">
        <f t="shared" si="23"/>
        <v/>
      </c>
      <c r="BO44" s="825" t="str">
        <f t="shared" si="28"/>
        <v/>
      </c>
      <c r="BP44" s="825" t="str">
        <f t="shared" si="29"/>
        <v/>
      </c>
      <c r="BQ44" s="825" t="str">
        <f t="shared" si="30"/>
        <v/>
      </c>
      <c r="BR44" s="192"/>
      <c r="BS44" s="796" t="s">
        <v>500</v>
      </c>
      <c r="BT44" s="825">
        <f>IF(OR(BT14="",BT14=0),0,24)</f>
        <v>0</v>
      </c>
      <c r="BU44" s="825">
        <f>IF(OR(BU14="",BU14=0),0,24)</f>
        <v>0</v>
      </c>
      <c r="BV44" s="825">
        <f>IF(OR(BV14="",BV14=0),0,24)</f>
        <v>0</v>
      </c>
      <c r="BW44" s="825">
        <f>IF(OR(BW14="",BW14=0),0,24)</f>
        <v>0</v>
      </c>
      <c r="BX44" s="192"/>
      <c r="BY44" s="192"/>
      <c r="BZ44" s="192"/>
      <c r="CA44" s="192"/>
      <c r="CB44" s="192"/>
      <c r="CC44" s="796" t="str">
        <f t="shared" si="19"/>
        <v>小日帰/準・身</v>
      </c>
      <c r="CD44" s="850">
        <f t="shared" si="20"/>
        <v>0</v>
      </c>
      <c r="CE44" s="796">
        <f>IF(OR(BU19="",BU19=0),0,82)</f>
        <v>0</v>
      </c>
      <c r="CF44" s="796">
        <v>110</v>
      </c>
      <c r="CG44" s="851">
        <v>82</v>
      </c>
      <c r="CH44" s="192"/>
      <c r="CI44" s="796"/>
      <c r="CJ44" s="796"/>
      <c r="CK44" s="192"/>
      <c r="CL44" s="192"/>
      <c r="CM44" s="192"/>
      <c r="CN44" s="192"/>
      <c r="CO44" s="192"/>
      <c r="CP44" s="192"/>
      <c r="CQ44" s="192"/>
      <c r="CR44" s="192"/>
      <c r="CS44" s="192"/>
      <c r="CT44" s="192"/>
      <c r="CU44" s="192"/>
      <c r="CV44" s="192"/>
      <c r="CW44" s="192"/>
      <c r="CX44" s="192"/>
      <c r="CY44" s="192"/>
    </row>
    <row r="45" spans="1:103" s="43" customFormat="1" ht="24" customHeight="1">
      <c r="A45" s="317">
        <f>COUNTIFS(K55:K84,"a",I55:I84,"&gt;0")</f>
        <v>0</v>
      </c>
      <c r="B45" s="317">
        <f>COUNTIFS(X55:X84,"a",V55:V84,"&gt;0")</f>
        <v>0</v>
      </c>
      <c r="C45" s="317">
        <f>COUNTIFS(K55:K84,"b",I55:I84,"&gt;0")</f>
        <v>0</v>
      </c>
      <c r="D45" s="317">
        <f>COUNTIFS(X55:X84,"b",V55:V84,"&gt;0")</f>
        <v>0</v>
      </c>
      <c r="E45" s="317">
        <f>COUNTIFS(K55:K84,"c",I55:I84,"&gt;0")</f>
        <v>0</v>
      </c>
      <c r="F45" s="317">
        <f>COUNTIFS(X55:X84,"c",V55:V84,"&gt;0")</f>
        <v>0</v>
      </c>
      <c r="G45" s="317">
        <f>COUNTIFS(K55:K84,"d",I55:I84,"&gt;0")</f>
        <v>0</v>
      </c>
      <c r="H45" s="317">
        <f>COUNTIFS(X55:X84,"d",V55:V84,"&gt;0")</f>
        <v>0</v>
      </c>
      <c r="I45" s="317">
        <f>COUNTIFS(K55:K84,"e",I55:I84,"&gt;0")</f>
        <v>0</v>
      </c>
      <c r="J45" s="317">
        <f>COUNTIFS(X55:X84,"e",V55:V84,"&gt;0")</f>
        <v>0</v>
      </c>
      <c r="K45" s="317">
        <f>COUNTIFS(K55:K84,"f",I55:I84,"&gt;0")</f>
        <v>0</v>
      </c>
      <c r="L45" s="317">
        <f>COUNTIFS(X55:X84,"f",V55:V84,"&gt;0")</f>
        <v>0</v>
      </c>
      <c r="M45" s="317">
        <f>COUNTIFS(K55:K84,"g",I55:I84,"&gt;0")</f>
        <v>0</v>
      </c>
      <c r="N45" s="317">
        <f>COUNTIFS(X55:X84,"g",V55:V84,"&gt;0")</f>
        <v>0</v>
      </c>
      <c r="O45" s="317">
        <f>COUNTIFS(K55:K84,"h",I55:I84,"&gt;0")</f>
        <v>0</v>
      </c>
      <c r="P45" s="317">
        <f>COUNTIFS(X55:X84,"h",V55:V84,"&gt;0")</f>
        <v>0</v>
      </c>
      <c r="Q45" s="317">
        <f>COUNTIFS(K55:K84,"i",I55:I84,"&gt;0")</f>
        <v>0</v>
      </c>
      <c r="R45" s="317">
        <f>COUNTIFS(X55:X84,"i",V55:V84,"&gt;0")</f>
        <v>0</v>
      </c>
      <c r="S45" s="318">
        <f>SUM(A45:R45)</f>
        <v>0</v>
      </c>
      <c r="T45" s="318"/>
      <c r="U45" s="318"/>
      <c r="V45" s="318"/>
      <c r="W45" s="358"/>
      <c r="X45" s="358"/>
      <c r="Y45" s="358"/>
      <c r="Z45" s="358"/>
      <c r="AA45" s="2144"/>
      <c r="AB45" s="2144"/>
      <c r="AC45" s="2144"/>
      <c r="AD45" s="2144"/>
      <c r="AE45" s="2144"/>
      <c r="AF45" s="2144"/>
      <c r="AG45" s="2144"/>
      <c r="AH45" s="2144"/>
      <c r="AI45" s="2144"/>
      <c r="AJ45" s="2144"/>
      <c r="AK45" s="2144"/>
      <c r="AL45" s="2144"/>
      <c r="AM45" s="2144"/>
      <c r="AN45" s="2144"/>
      <c r="AO45" s="2144"/>
      <c r="AP45" s="2144"/>
      <c r="AQ45" s="2144"/>
      <c r="AR45" s="2144"/>
      <c r="AS45" s="2144"/>
      <c r="AT45" s="2144"/>
      <c r="AU45" s="2144"/>
      <c r="AV45" s="2144"/>
      <c r="AW45" s="2144"/>
      <c r="AX45" s="2144"/>
      <c r="AY45" s="2144"/>
      <c r="AZ45" s="2144"/>
      <c r="BA45" s="67">
        <v>33</v>
      </c>
      <c r="BB45" s="68">
        <f t="shared" si="16"/>
        <v>0</v>
      </c>
      <c r="BC45" s="192">
        <f t="shared" si="17"/>
        <v>0</v>
      </c>
      <c r="BD45" s="70">
        <f t="shared" si="18"/>
        <v>0</v>
      </c>
      <c r="BE45" s="70">
        <f t="shared" si="18"/>
        <v>0</v>
      </c>
      <c r="BF45" s="192" t="str">
        <f t="shared" si="32"/>
        <v/>
      </c>
      <c r="BG45" s="852" t="str">
        <f t="shared" si="24"/>
        <v/>
      </c>
      <c r="BH45" s="192" t="str">
        <f t="shared" si="21"/>
        <v/>
      </c>
      <c r="BI45" s="192" t="str">
        <f t="shared" si="25"/>
        <v/>
      </c>
      <c r="BJ45" s="192" t="str">
        <f t="shared" si="31"/>
        <v/>
      </c>
      <c r="BK45" s="192" t="str">
        <f t="shared" si="22"/>
        <v/>
      </c>
      <c r="BL45" s="825" t="str">
        <f t="shared" si="26"/>
        <v/>
      </c>
      <c r="BM45" s="825" t="str">
        <f t="shared" si="27"/>
        <v/>
      </c>
      <c r="BN45" s="825" t="str">
        <f t="shared" si="23"/>
        <v/>
      </c>
      <c r="BO45" s="825" t="str">
        <f t="shared" si="28"/>
        <v/>
      </c>
      <c r="BP45" s="825" t="str">
        <f t="shared" si="29"/>
        <v/>
      </c>
      <c r="BQ45" s="825" t="str">
        <f t="shared" si="30"/>
        <v/>
      </c>
      <c r="BR45" s="192"/>
      <c r="BS45" s="796" t="s">
        <v>501</v>
      </c>
      <c r="BT45" s="825">
        <f>IF(OR(BT15="",BT15=0),0,23)</f>
        <v>0</v>
      </c>
      <c r="BU45" s="825">
        <f>IF(OR(BU15="",BU15=0),0,23)</f>
        <v>0</v>
      </c>
      <c r="BV45" s="825">
        <f>IF(OR(BV15="",BV15=0),0,23)</f>
        <v>0</v>
      </c>
      <c r="BW45" s="825">
        <f>IF(OR(BW15="",BW15=0),0,23)</f>
        <v>0</v>
      </c>
      <c r="BX45" s="192"/>
      <c r="BY45" s="192"/>
      <c r="BZ45" s="192"/>
      <c r="CA45" s="192"/>
      <c r="CB45" s="192"/>
      <c r="CC45" s="796" t="str">
        <f t="shared" si="19"/>
        <v>小日帰/準・療</v>
      </c>
      <c r="CD45" s="850">
        <f t="shared" si="20"/>
        <v>0</v>
      </c>
      <c r="CE45" s="796">
        <f>IF(OR(BU20="",BU20=0),0,81)</f>
        <v>0</v>
      </c>
      <c r="CF45" s="796">
        <v>110</v>
      </c>
      <c r="CG45" s="851">
        <v>81</v>
      </c>
      <c r="CH45" s="192"/>
      <c r="CI45" s="796"/>
      <c r="CJ45" s="796"/>
      <c r="CK45" s="192"/>
      <c r="CL45" s="192"/>
      <c r="CM45" s="192"/>
      <c r="CN45" s="192"/>
      <c r="CO45" s="192"/>
      <c r="CP45" s="192"/>
      <c r="CQ45" s="192"/>
      <c r="CR45" s="192"/>
      <c r="CS45" s="192"/>
      <c r="CT45" s="192"/>
      <c r="CU45" s="192"/>
      <c r="CV45" s="192"/>
      <c r="CW45" s="192"/>
      <c r="CX45" s="192"/>
      <c r="CY45" s="192"/>
    </row>
    <row r="46" spans="1:103" ht="36" customHeight="1">
      <c r="A46" s="2122" t="s">
        <v>84</v>
      </c>
      <c r="B46" s="2122"/>
      <c r="C46" s="2118">
        <f>C4</f>
        <v>0</v>
      </c>
      <c r="D46" s="2118"/>
      <c r="E46" s="2118"/>
      <c r="F46" s="2118"/>
      <c r="G46" s="2118"/>
      <c r="H46" s="2118"/>
      <c r="I46" s="2118"/>
      <c r="J46" s="2118"/>
      <c r="K46" s="2118"/>
      <c r="L46" s="2118"/>
      <c r="M46" s="2118"/>
      <c r="N46" s="2118"/>
      <c r="O46" s="2118"/>
      <c r="P46" s="2118"/>
      <c r="Q46" s="2118"/>
      <c r="R46" s="2118"/>
      <c r="S46" s="2118"/>
      <c r="T46" s="2118"/>
      <c r="U46" s="307"/>
      <c r="V46" s="307"/>
      <c r="W46" s="307"/>
      <c r="X46" s="307"/>
      <c r="Y46" s="307"/>
      <c r="Z46" s="307"/>
      <c r="AA46" s="2144"/>
      <c r="AB46" s="2144"/>
      <c r="AC46" s="2144"/>
      <c r="AD46" s="2144"/>
      <c r="AE46" s="2144"/>
      <c r="AF46" s="2144"/>
      <c r="AG46" s="2144"/>
      <c r="AH46" s="2144"/>
      <c r="AI46" s="2144"/>
      <c r="AJ46" s="2144"/>
      <c r="AK46" s="2144"/>
      <c r="AL46" s="2144"/>
      <c r="AM46" s="2144"/>
      <c r="AN46" s="2144"/>
      <c r="AO46" s="2144"/>
      <c r="AP46" s="2144"/>
      <c r="AQ46" s="2144"/>
      <c r="AR46" s="2144"/>
      <c r="AS46" s="2144"/>
      <c r="AT46" s="2144"/>
      <c r="AU46" s="2144"/>
      <c r="AV46" s="2144"/>
      <c r="AW46" s="2144"/>
      <c r="AX46" s="2144"/>
      <c r="AY46" s="2144"/>
      <c r="AZ46" s="2144"/>
      <c r="BA46" s="67">
        <v>34</v>
      </c>
      <c r="BB46" s="68">
        <f t="shared" si="16"/>
        <v>0</v>
      </c>
      <c r="BC46" s="192">
        <f t="shared" si="17"/>
        <v>0</v>
      </c>
      <c r="BD46" s="70">
        <f t="shared" si="18"/>
        <v>0</v>
      </c>
      <c r="BE46" s="70">
        <f t="shared" si="18"/>
        <v>0</v>
      </c>
      <c r="BF46" s="192" t="str">
        <f t="shared" si="32"/>
        <v/>
      </c>
      <c r="BG46" s="852" t="str">
        <f t="shared" si="24"/>
        <v/>
      </c>
      <c r="BH46" s="192" t="str">
        <f t="shared" si="21"/>
        <v/>
      </c>
      <c r="BI46" s="192" t="str">
        <f t="shared" si="25"/>
        <v/>
      </c>
      <c r="BJ46" s="192" t="str">
        <f t="shared" si="31"/>
        <v/>
      </c>
      <c r="BK46" s="192" t="str">
        <f t="shared" si="22"/>
        <v/>
      </c>
      <c r="BL46" s="825" t="str">
        <f t="shared" si="26"/>
        <v/>
      </c>
      <c r="BM46" s="825" t="str">
        <f t="shared" si="27"/>
        <v/>
      </c>
      <c r="BN46" s="825" t="str">
        <f t="shared" si="23"/>
        <v/>
      </c>
      <c r="BO46" s="825" t="str">
        <f t="shared" si="28"/>
        <v/>
      </c>
      <c r="BP46" s="825" t="str">
        <f t="shared" si="29"/>
        <v/>
      </c>
      <c r="BQ46" s="825" t="str">
        <f t="shared" si="30"/>
        <v/>
      </c>
      <c r="BR46" s="192"/>
      <c r="BS46" s="796" t="s">
        <v>502</v>
      </c>
      <c r="BT46" s="825">
        <f>IF(OR(BT16="",BT16=0),0,22)</f>
        <v>0</v>
      </c>
      <c r="BU46" s="825">
        <f>IF(OR(BU16="",BU16=0),0,22)</f>
        <v>0</v>
      </c>
      <c r="BV46" s="825">
        <f>IF(OR(BV16="",BV16=0),0,22)</f>
        <v>0</v>
      </c>
      <c r="BW46" s="825">
        <f>IF(OR(BW16="",BW16=0),0,22)</f>
        <v>0</v>
      </c>
      <c r="BX46" s="192"/>
      <c r="BY46" s="192"/>
      <c r="BZ46" s="192"/>
      <c r="CA46" s="192"/>
      <c r="CB46" s="192"/>
      <c r="CC46" s="796" t="str">
        <f t="shared" si="19"/>
        <v>小日帰/準・精</v>
      </c>
      <c r="CD46" s="850">
        <f t="shared" si="20"/>
        <v>0</v>
      </c>
      <c r="CE46" s="796">
        <f>IF(OR(BU21="",BU21=0),0,80)</f>
        <v>0</v>
      </c>
      <c r="CF46" s="796">
        <v>110</v>
      </c>
      <c r="CG46" s="851">
        <v>80</v>
      </c>
      <c r="CH46" s="192"/>
      <c r="CI46" s="796"/>
      <c r="CJ46" s="796"/>
      <c r="CK46" s="192"/>
      <c r="CL46" s="192"/>
      <c r="CM46" s="192"/>
      <c r="CN46" s="192"/>
      <c r="CO46" s="192"/>
      <c r="CP46" s="192"/>
      <c r="CQ46" s="192"/>
      <c r="CR46" s="192"/>
      <c r="CS46" s="192"/>
      <c r="CT46" s="192"/>
      <c r="CU46" s="192"/>
      <c r="CV46" s="192"/>
      <c r="CW46" s="192"/>
      <c r="CX46" s="192"/>
      <c r="CY46" s="192"/>
    </row>
    <row r="47" spans="1:103" ht="15.95" customHeight="1">
      <c r="A47" s="2121" t="s">
        <v>82</v>
      </c>
      <c r="B47" s="2121"/>
      <c r="C47" s="2073">
        <f>C5</f>
        <v>0</v>
      </c>
      <c r="D47" s="2073"/>
      <c r="E47" s="1796" t="s">
        <v>16</v>
      </c>
      <c r="F47" s="2073">
        <f>F5</f>
        <v>0</v>
      </c>
      <c r="G47" s="1796" t="s">
        <v>15</v>
      </c>
      <c r="H47" s="2025">
        <f>H5</f>
        <v>0</v>
      </c>
      <c r="I47" s="1796" t="s">
        <v>14</v>
      </c>
      <c r="J47" s="1796" t="s">
        <v>463</v>
      </c>
      <c r="K47" s="2025">
        <f>K5</f>
        <v>0</v>
      </c>
      <c r="L47" s="1796" t="s">
        <v>442</v>
      </c>
      <c r="M47" s="1796" t="s">
        <v>464</v>
      </c>
      <c r="N47" s="2025">
        <f>N5</f>
        <v>0</v>
      </c>
      <c r="O47" s="1796" t="s">
        <v>15</v>
      </c>
      <c r="P47" s="2025">
        <f>P5</f>
        <v>0</v>
      </c>
      <c r="Q47" s="1796" t="s">
        <v>14</v>
      </c>
      <c r="R47" s="1796" t="s">
        <v>436</v>
      </c>
      <c r="S47" s="2025">
        <f>S5</f>
        <v>0</v>
      </c>
      <c r="T47" s="1796" t="s">
        <v>439</v>
      </c>
      <c r="U47" s="1796"/>
      <c r="V47" s="1796"/>
      <c r="W47" s="321">
        <f>W5</f>
        <v>0</v>
      </c>
      <c r="X47" s="296" t="s">
        <v>46</v>
      </c>
      <c r="Y47" s="321" t="str">
        <f>Y5</f>
        <v/>
      </c>
      <c r="Z47" s="296" t="s">
        <v>14</v>
      </c>
      <c r="AA47" s="2112" t="s">
        <v>169</v>
      </c>
      <c r="AB47" s="2112"/>
      <c r="AC47" s="2112"/>
      <c r="AD47" s="2112"/>
      <c r="AE47" s="2112"/>
      <c r="AF47" s="2112"/>
      <c r="AG47" s="2112"/>
      <c r="AH47" s="2112"/>
      <c r="AI47" s="2112"/>
      <c r="AJ47" s="2112"/>
      <c r="AK47" s="2112"/>
      <c r="AL47" s="2112"/>
      <c r="AM47" s="2112"/>
      <c r="AN47" s="2112"/>
      <c r="AO47" s="2112"/>
      <c r="AP47" s="2112"/>
      <c r="AQ47" s="2112"/>
      <c r="AR47" s="2112"/>
      <c r="AS47" s="2112"/>
      <c r="AT47" s="2112"/>
      <c r="AU47" s="2112"/>
      <c r="AV47" s="2112"/>
      <c r="AW47" s="2112"/>
      <c r="AX47" s="2112"/>
      <c r="AY47" s="2112"/>
      <c r="AZ47" s="2112"/>
      <c r="BA47" s="67">
        <v>35</v>
      </c>
      <c r="BB47" s="68">
        <f t="shared" si="16"/>
        <v>0</v>
      </c>
      <c r="BC47" s="192">
        <f t="shared" si="17"/>
        <v>0</v>
      </c>
      <c r="BD47" s="70">
        <f t="shared" si="18"/>
        <v>0</v>
      </c>
      <c r="BE47" s="70">
        <f t="shared" si="18"/>
        <v>0</v>
      </c>
      <c r="BF47" s="192" t="str">
        <f t="shared" si="32"/>
        <v/>
      </c>
      <c r="BG47" s="852" t="str">
        <f t="shared" si="24"/>
        <v/>
      </c>
      <c r="BH47" s="192" t="str">
        <f t="shared" si="21"/>
        <v/>
      </c>
      <c r="BI47" s="192" t="str">
        <f t="shared" si="25"/>
        <v/>
      </c>
      <c r="BJ47" s="192" t="str">
        <f t="shared" si="31"/>
        <v/>
      </c>
      <c r="BK47" s="192" t="str">
        <f t="shared" si="22"/>
        <v/>
      </c>
      <c r="BL47" s="825" t="str">
        <f t="shared" si="26"/>
        <v/>
      </c>
      <c r="BM47" s="825" t="str">
        <f t="shared" si="27"/>
        <v/>
      </c>
      <c r="BN47" s="825" t="str">
        <f t="shared" si="23"/>
        <v/>
      </c>
      <c r="BO47" s="825" t="str">
        <f t="shared" si="28"/>
        <v/>
      </c>
      <c r="BP47" s="825" t="str">
        <f t="shared" si="29"/>
        <v/>
      </c>
      <c r="BQ47" s="825" t="str">
        <f t="shared" si="30"/>
        <v/>
      </c>
      <c r="BR47" s="192"/>
      <c r="BS47" s="845" t="s">
        <v>536</v>
      </c>
      <c r="BT47" s="825">
        <f>IF(OR(BT17="",BT17=0),0,21)</f>
        <v>0</v>
      </c>
      <c r="BU47" s="825">
        <f>IF(OR(BU17="",BU17=0),0,21)</f>
        <v>0</v>
      </c>
      <c r="BV47" s="825">
        <f>IF(OR(BV17="",BV17=0),0,21)</f>
        <v>0</v>
      </c>
      <c r="BW47" s="825">
        <f>IF(OR(BW17="",BW17=0),0,21)</f>
        <v>0</v>
      </c>
      <c r="BX47" s="192"/>
      <c r="BY47" s="192"/>
      <c r="BZ47" s="192"/>
      <c r="CA47" s="192"/>
      <c r="CB47" s="192"/>
      <c r="CC47" s="796" t="str">
        <f t="shared" si="19"/>
        <v>小日帰/特・身</v>
      </c>
      <c r="CD47" s="850">
        <f t="shared" si="20"/>
        <v>0</v>
      </c>
      <c r="CE47" s="796">
        <f>IF(OR(BU22="",BU22=0),0,79)</f>
        <v>0</v>
      </c>
      <c r="CF47" s="796">
        <v>110</v>
      </c>
      <c r="CG47" s="851">
        <v>79</v>
      </c>
      <c r="CH47" s="192"/>
      <c r="CI47" s="796"/>
      <c r="CJ47" s="796"/>
      <c r="CK47" s="192"/>
      <c r="CL47" s="192"/>
      <c r="CM47" s="192"/>
      <c r="CN47" s="192"/>
      <c r="CO47" s="192"/>
      <c r="CP47" s="192"/>
      <c r="CQ47" s="192"/>
      <c r="CR47" s="192"/>
      <c r="CS47" s="192"/>
      <c r="CT47" s="192"/>
      <c r="CU47" s="192"/>
      <c r="CV47" s="192"/>
      <c r="CW47" s="192"/>
      <c r="CX47" s="192"/>
      <c r="CY47" s="192"/>
    </row>
    <row r="48" spans="1:103" ht="15.95" customHeight="1">
      <c r="A48" s="2122"/>
      <c r="B48" s="2122"/>
      <c r="C48" s="2026"/>
      <c r="D48" s="2026"/>
      <c r="E48" s="1454"/>
      <c r="F48" s="2026"/>
      <c r="G48" s="1454"/>
      <c r="H48" s="2026"/>
      <c r="I48" s="1454"/>
      <c r="J48" s="1454"/>
      <c r="K48" s="2026"/>
      <c r="L48" s="1454"/>
      <c r="M48" s="1454"/>
      <c r="N48" s="2026"/>
      <c r="O48" s="1454"/>
      <c r="P48" s="2026"/>
      <c r="Q48" s="1454"/>
      <c r="R48" s="1454"/>
      <c r="S48" s="2026"/>
      <c r="T48" s="1454"/>
      <c r="U48" s="1796"/>
      <c r="V48" s="1796"/>
      <c r="W48" s="1796" t="s">
        <v>47</v>
      </c>
      <c r="X48" s="1796"/>
      <c r="Y48" s="323" t="str">
        <f>Y6</f>
        <v/>
      </c>
      <c r="Z48" s="296" t="s">
        <v>14</v>
      </c>
      <c r="AA48" s="2112"/>
      <c r="AB48" s="2112"/>
      <c r="AC48" s="2112"/>
      <c r="AD48" s="2112"/>
      <c r="AE48" s="2112"/>
      <c r="AF48" s="2112"/>
      <c r="AG48" s="2112"/>
      <c r="AH48" s="2112"/>
      <c r="AI48" s="2112"/>
      <c r="AJ48" s="2112"/>
      <c r="AK48" s="2112"/>
      <c r="AL48" s="2112"/>
      <c r="AM48" s="2112"/>
      <c r="AN48" s="2112"/>
      <c r="AO48" s="2112"/>
      <c r="AP48" s="2112"/>
      <c r="AQ48" s="2112"/>
      <c r="AR48" s="2112"/>
      <c r="AS48" s="2112"/>
      <c r="AT48" s="2112"/>
      <c r="AU48" s="2112"/>
      <c r="AV48" s="2112"/>
      <c r="AW48" s="2112"/>
      <c r="AX48" s="2112"/>
      <c r="AY48" s="2112"/>
      <c r="AZ48" s="2112"/>
      <c r="BA48" s="67">
        <v>36</v>
      </c>
      <c r="BB48" s="68">
        <f t="shared" si="16"/>
        <v>0</v>
      </c>
      <c r="BC48" s="192">
        <f t="shared" si="17"/>
        <v>0</v>
      </c>
      <c r="BD48" s="70">
        <f t="shared" si="18"/>
        <v>0</v>
      </c>
      <c r="BE48" s="70">
        <f t="shared" si="18"/>
        <v>0</v>
      </c>
      <c r="BF48" s="192" t="str">
        <f t="shared" si="32"/>
        <v/>
      </c>
      <c r="BG48" s="852" t="str">
        <f t="shared" si="24"/>
        <v/>
      </c>
      <c r="BH48" s="192" t="str">
        <f t="shared" si="21"/>
        <v/>
      </c>
      <c r="BI48" s="192" t="str">
        <f t="shared" si="25"/>
        <v/>
      </c>
      <c r="BJ48" s="192" t="str">
        <f t="shared" si="31"/>
        <v/>
      </c>
      <c r="BK48" s="192" t="str">
        <f t="shared" si="22"/>
        <v/>
      </c>
      <c r="BL48" s="825" t="str">
        <f t="shared" si="26"/>
        <v/>
      </c>
      <c r="BM48" s="825" t="str">
        <f t="shared" si="27"/>
        <v/>
      </c>
      <c r="BN48" s="825" t="str">
        <f t="shared" si="23"/>
        <v/>
      </c>
      <c r="BO48" s="825" t="str">
        <f t="shared" si="28"/>
        <v/>
      </c>
      <c r="BP48" s="825" t="str">
        <f t="shared" si="29"/>
        <v/>
      </c>
      <c r="BQ48" s="825" t="str">
        <f t="shared" si="30"/>
        <v/>
      </c>
      <c r="BR48" s="192"/>
      <c r="BS48" s="840" t="s">
        <v>509</v>
      </c>
      <c r="BT48" s="825">
        <f>IF(OR(BT18="",BT18=0),0,20)</f>
        <v>0</v>
      </c>
      <c r="BU48" s="825">
        <f>IF(OR(BU18="",BU18=0),0,20)</f>
        <v>0</v>
      </c>
      <c r="BV48" s="825">
        <f>IF(OR(BV18="",BV18=0),0,20)</f>
        <v>0</v>
      </c>
      <c r="BW48" s="825">
        <f>IF(OR(BW18="",BW18=0),0,20)</f>
        <v>0</v>
      </c>
      <c r="BX48" s="192"/>
      <c r="BY48" s="192"/>
      <c r="BZ48" s="192"/>
      <c r="CA48" s="192"/>
      <c r="CB48" s="192"/>
      <c r="CC48" s="796" t="str">
        <f t="shared" si="19"/>
        <v>小日帰/特・療</v>
      </c>
      <c r="CD48" s="850">
        <f t="shared" si="20"/>
        <v>0</v>
      </c>
      <c r="CE48" s="796">
        <f>IF(OR(BU23="",BU23=0),0,78)</f>
        <v>0</v>
      </c>
      <c r="CF48" s="796">
        <v>110</v>
      </c>
      <c r="CG48" s="851">
        <v>78</v>
      </c>
      <c r="CH48" s="192"/>
      <c r="CI48" s="796"/>
      <c r="CJ48" s="796"/>
      <c r="CK48" s="192"/>
      <c r="CL48" s="192"/>
      <c r="CM48" s="192"/>
      <c r="CN48" s="192"/>
      <c r="CO48" s="192"/>
      <c r="CP48" s="192"/>
      <c r="CQ48" s="192"/>
      <c r="CR48" s="192"/>
      <c r="CS48" s="192"/>
      <c r="CT48" s="192"/>
      <c r="CU48" s="192"/>
      <c r="CV48" s="192"/>
      <c r="CW48" s="192"/>
      <c r="CX48" s="192"/>
      <c r="CY48" s="192"/>
    </row>
    <row r="49" spans="1:103" ht="15" customHeight="1">
      <c r="A49" s="324"/>
      <c r="B49" s="324"/>
      <c r="C49" s="324"/>
      <c r="D49" s="324"/>
      <c r="E49" s="324"/>
      <c r="F49" s="324"/>
      <c r="G49" s="324"/>
      <c r="H49" s="324"/>
      <c r="I49" s="324"/>
      <c r="J49" s="324"/>
      <c r="K49" s="324"/>
      <c r="L49" s="324"/>
      <c r="M49" s="324"/>
      <c r="N49" s="324"/>
      <c r="O49" s="324"/>
      <c r="P49" s="324"/>
      <c r="Q49" s="324"/>
      <c r="R49" s="324"/>
      <c r="S49" s="324"/>
      <c r="T49" s="324"/>
      <c r="U49" s="325"/>
      <c r="V49" s="325"/>
      <c r="W49" s="325"/>
      <c r="X49" s="325"/>
      <c r="Y49" s="325"/>
      <c r="Z49" s="325"/>
      <c r="AA49" s="2112"/>
      <c r="AB49" s="2112"/>
      <c r="AC49" s="2112"/>
      <c r="AD49" s="2112"/>
      <c r="AE49" s="2112"/>
      <c r="AF49" s="2112"/>
      <c r="AG49" s="2112"/>
      <c r="AH49" s="2112"/>
      <c r="AI49" s="2112"/>
      <c r="AJ49" s="2112"/>
      <c r="AK49" s="2112"/>
      <c r="AL49" s="2112"/>
      <c r="AM49" s="2112"/>
      <c r="AN49" s="2112"/>
      <c r="AO49" s="2112"/>
      <c r="AP49" s="2112"/>
      <c r="AQ49" s="2112"/>
      <c r="AR49" s="2112"/>
      <c r="AS49" s="2112"/>
      <c r="AT49" s="2112"/>
      <c r="AU49" s="2112"/>
      <c r="AV49" s="2112"/>
      <c r="AW49" s="2112"/>
      <c r="AX49" s="2112"/>
      <c r="AY49" s="2112"/>
      <c r="AZ49" s="2112"/>
      <c r="BA49" s="67">
        <v>37</v>
      </c>
      <c r="BB49" s="68">
        <f t="shared" si="16"/>
        <v>0</v>
      </c>
      <c r="BC49" s="192">
        <f t="shared" si="17"/>
        <v>0</v>
      </c>
      <c r="BD49" s="70">
        <f t="shared" si="18"/>
        <v>0</v>
      </c>
      <c r="BE49" s="70">
        <f t="shared" si="18"/>
        <v>0</v>
      </c>
      <c r="BF49" s="192" t="str">
        <f>I22&amp;J22&amp;K22</f>
        <v/>
      </c>
      <c r="BG49" s="852" t="str">
        <f t="shared" si="24"/>
        <v/>
      </c>
      <c r="BH49" s="192" t="str">
        <f t="shared" si="21"/>
        <v/>
      </c>
      <c r="BI49" s="192" t="str">
        <f t="shared" si="25"/>
        <v/>
      </c>
      <c r="BJ49" s="192" t="str">
        <f t="shared" si="31"/>
        <v/>
      </c>
      <c r="BK49" s="192" t="str">
        <f t="shared" si="22"/>
        <v/>
      </c>
      <c r="BL49" s="825" t="str">
        <f t="shared" si="26"/>
        <v/>
      </c>
      <c r="BM49" s="825" t="str">
        <f t="shared" si="27"/>
        <v/>
      </c>
      <c r="BN49" s="825" t="str">
        <f t="shared" si="23"/>
        <v/>
      </c>
      <c r="BO49" s="825" t="str">
        <f t="shared" si="28"/>
        <v/>
      </c>
      <c r="BP49" s="825" t="str">
        <f t="shared" si="29"/>
        <v/>
      </c>
      <c r="BQ49" s="825" t="str">
        <f t="shared" si="30"/>
        <v/>
      </c>
      <c r="BR49" s="192"/>
      <c r="BS49" s="796" t="s">
        <v>510</v>
      </c>
      <c r="BT49" s="825">
        <f>IF(OR(BT19="",BT19=0),0,19)</f>
        <v>0</v>
      </c>
      <c r="BU49" s="825">
        <f>IF(OR(BU19="",BU19=0),0,19)</f>
        <v>0</v>
      </c>
      <c r="BV49" s="825">
        <f>IF(OR(BV19="",BV19=0),0,19)</f>
        <v>0</v>
      </c>
      <c r="BW49" s="825">
        <f>IF(OR(BW19="",BW19=0),0,19)</f>
        <v>0</v>
      </c>
      <c r="BX49" s="192"/>
      <c r="BY49" s="192"/>
      <c r="BZ49" s="192"/>
      <c r="CA49" s="192"/>
      <c r="CB49" s="192"/>
      <c r="CC49" s="796" t="str">
        <f t="shared" si="19"/>
        <v>小日帰/特・精</v>
      </c>
      <c r="CD49" s="850">
        <f t="shared" si="20"/>
        <v>0</v>
      </c>
      <c r="CE49" s="796">
        <f>IF(OR(BU24="",BU24=0),0,77)</f>
        <v>0</v>
      </c>
      <c r="CF49" s="796">
        <v>110</v>
      </c>
      <c r="CG49" s="851">
        <v>77</v>
      </c>
      <c r="CH49" s="192"/>
      <c r="CI49" s="796"/>
      <c r="CJ49" s="796"/>
      <c r="CK49" s="192"/>
      <c r="CL49" s="192"/>
      <c r="CM49" s="192"/>
      <c r="CN49" s="192"/>
      <c r="CO49" s="192"/>
      <c r="CP49" s="192"/>
      <c r="CQ49" s="192"/>
      <c r="CR49" s="192"/>
      <c r="CS49" s="192"/>
      <c r="CT49" s="192"/>
      <c r="CU49" s="192"/>
      <c r="CV49" s="192"/>
      <c r="CW49" s="192"/>
      <c r="CX49" s="192"/>
      <c r="CY49" s="192"/>
    </row>
    <row r="50" spans="1:103" ht="13.5" customHeight="1">
      <c r="A50" s="1773" t="s">
        <v>465</v>
      </c>
      <c r="B50" s="2032" t="s">
        <v>163</v>
      </c>
      <c r="C50" s="2033"/>
      <c r="D50" s="2033"/>
      <c r="E50" s="2033"/>
      <c r="F50" s="2033"/>
      <c r="G50" s="2034"/>
      <c r="H50" s="2043" t="s">
        <v>164</v>
      </c>
      <c r="I50" s="2034"/>
      <c r="J50" s="2032" t="s">
        <v>165</v>
      </c>
      <c r="K50" s="2033"/>
      <c r="L50" s="2033"/>
      <c r="M50" s="2045"/>
      <c r="N50" s="2029" t="s">
        <v>465</v>
      </c>
      <c r="O50" s="2032" t="s">
        <v>163</v>
      </c>
      <c r="P50" s="2033"/>
      <c r="Q50" s="2033"/>
      <c r="R50" s="2033"/>
      <c r="S50" s="2033"/>
      <c r="T50" s="2034"/>
      <c r="U50" s="2043" t="s">
        <v>164</v>
      </c>
      <c r="V50" s="2034"/>
      <c r="W50" s="2032" t="s">
        <v>165</v>
      </c>
      <c r="X50" s="2033"/>
      <c r="Y50" s="2033"/>
      <c r="Z50" s="2045"/>
      <c r="AA50" s="2112"/>
      <c r="AB50" s="2112"/>
      <c r="AC50" s="2112"/>
      <c r="AD50" s="2112"/>
      <c r="AE50" s="2112"/>
      <c r="AF50" s="2112"/>
      <c r="AG50" s="2112"/>
      <c r="AH50" s="2112"/>
      <c r="AI50" s="2112"/>
      <c r="AJ50" s="2112"/>
      <c r="AK50" s="2112"/>
      <c r="AL50" s="2112"/>
      <c r="AM50" s="2112"/>
      <c r="AN50" s="2112"/>
      <c r="AO50" s="2112"/>
      <c r="AP50" s="2112"/>
      <c r="AQ50" s="2112"/>
      <c r="AR50" s="2112"/>
      <c r="AS50" s="2112"/>
      <c r="AT50" s="2112"/>
      <c r="AU50" s="2112"/>
      <c r="AV50" s="2112"/>
      <c r="AW50" s="2112"/>
      <c r="AX50" s="2112"/>
      <c r="AY50" s="2112"/>
      <c r="AZ50" s="2112"/>
      <c r="BA50" s="67">
        <v>38</v>
      </c>
      <c r="BB50" s="68">
        <f t="shared" si="16"/>
        <v>0</v>
      </c>
      <c r="BC50" s="192">
        <f t="shared" si="17"/>
        <v>0</v>
      </c>
      <c r="BD50" s="70">
        <f t="shared" si="18"/>
        <v>0</v>
      </c>
      <c r="BE50" s="70">
        <f t="shared" si="18"/>
        <v>0</v>
      </c>
      <c r="BF50" s="192"/>
      <c r="BG50" s="192"/>
      <c r="BH50" s="192" t="str">
        <f t="shared" si="21"/>
        <v/>
      </c>
      <c r="BI50" s="192" t="str">
        <f t="shared" si="25"/>
        <v/>
      </c>
      <c r="BJ50" s="192" t="str">
        <f t="shared" si="31"/>
        <v/>
      </c>
      <c r="BK50" s="192" t="str">
        <f t="shared" si="22"/>
        <v/>
      </c>
      <c r="BL50" s="825" t="str">
        <f t="shared" si="26"/>
        <v/>
      </c>
      <c r="BM50" s="825" t="str">
        <f t="shared" si="27"/>
        <v/>
      </c>
      <c r="BN50" s="825" t="str">
        <f t="shared" si="23"/>
        <v/>
      </c>
      <c r="BO50" s="825" t="str">
        <f t="shared" si="28"/>
        <v/>
      </c>
      <c r="BP50" s="825" t="str">
        <f t="shared" si="29"/>
        <v/>
      </c>
      <c r="BQ50" s="825" t="str">
        <f t="shared" si="30"/>
        <v/>
      </c>
      <c r="BR50" s="192"/>
      <c r="BS50" s="796" t="s">
        <v>511</v>
      </c>
      <c r="BT50" s="825">
        <f>IF(OR(BT20="",BT20=0),0,18)</f>
        <v>0</v>
      </c>
      <c r="BU50" s="825">
        <f>IF(OR(BU20="",BU20=0),0,18)</f>
        <v>0</v>
      </c>
      <c r="BV50" s="825">
        <f>IF(OR(BV20="",BV20=0),0,18)</f>
        <v>0</v>
      </c>
      <c r="BW50" s="825">
        <f>IF(OR(BW20="",BW20=0),0,18)</f>
        <v>0</v>
      </c>
      <c r="BX50" s="192"/>
      <c r="BY50" s="192"/>
      <c r="BZ50" s="192"/>
      <c r="CA50" s="192"/>
      <c r="CB50" s="192"/>
      <c r="CC50" s="796" t="str">
        <f t="shared" si="19"/>
        <v>小日帰/身・療</v>
      </c>
      <c r="CD50" s="850">
        <f t="shared" si="20"/>
        <v>0</v>
      </c>
      <c r="CE50" s="796">
        <f>IF(OR(BU25="",BU25=0),0,76)</f>
        <v>0</v>
      </c>
      <c r="CF50" s="796">
        <v>110</v>
      </c>
      <c r="CG50" s="851">
        <v>76</v>
      </c>
      <c r="CH50" s="192"/>
      <c r="CI50" s="796"/>
      <c r="CJ50" s="796"/>
      <c r="CK50" s="192"/>
      <c r="CL50" s="192"/>
      <c r="CM50" s="192"/>
      <c r="CN50" s="192"/>
      <c r="CO50" s="192"/>
      <c r="CP50" s="192"/>
      <c r="CQ50" s="192"/>
      <c r="CR50" s="192"/>
      <c r="CS50" s="192"/>
      <c r="CT50" s="192"/>
      <c r="CU50" s="192"/>
      <c r="CV50" s="192"/>
      <c r="CW50" s="192"/>
      <c r="CX50" s="192"/>
      <c r="CY50" s="192"/>
    </row>
    <row r="51" spans="1:103">
      <c r="A51" s="1773"/>
      <c r="B51" s="2035"/>
      <c r="C51" s="2036"/>
      <c r="D51" s="2036"/>
      <c r="E51" s="2036"/>
      <c r="F51" s="2036"/>
      <c r="G51" s="2037"/>
      <c r="H51" s="2038"/>
      <c r="I51" s="2040"/>
      <c r="J51" s="2038"/>
      <c r="K51" s="2039"/>
      <c r="L51" s="2039"/>
      <c r="M51" s="2046"/>
      <c r="N51" s="2030"/>
      <c r="O51" s="2035"/>
      <c r="P51" s="2036"/>
      <c r="Q51" s="2036"/>
      <c r="R51" s="2036"/>
      <c r="S51" s="2036"/>
      <c r="T51" s="2037"/>
      <c r="U51" s="2038"/>
      <c r="V51" s="2040"/>
      <c r="W51" s="2038"/>
      <c r="X51" s="2039"/>
      <c r="Y51" s="2039"/>
      <c r="Z51" s="2046"/>
      <c r="AA51" s="2112"/>
      <c r="AB51" s="2112"/>
      <c r="AC51" s="2112"/>
      <c r="AD51" s="2112"/>
      <c r="AE51" s="2112"/>
      <c r="AF51" s="2112"/>
      <c r="AG51" s="2112"/>
      <c r="AH51" s="2112"/>
      <c r="AI51" s="2112"/>
      <c r="AJ51" s="2112"/>
      <c r="AK51" s="2112"/>
      <c r="AL51" s="2112"/>
      <c r="AM51" s="2112"/>
      <c r="AN51" s="2112"/>
      <c r="AO51" s="2112"/>
      <c r="AP51" s="2112"/>
      <c r="AQ51" s="2112"/>
      <c r="AR51" s="2112"/>
      <c r="AS51" s="2112"/>
      <c r="AT51" s="2112"/>
      <c r="AU51" s="2112"/>
      <c r="AV51" s="2112"/>
      <c r="AW51" s="2112"/>
      <c r="AX51" s="2112"/>
      <c r="AY51" s="2112"/>
      <c r="AZ51" s="2112"/>
      <c r="BA51" s="67">
        <v>39</v>
      </c>
      <c r="BB51" s="68">
        <f t="shared" si="16"/>
        <v>0</v>
      </c>
      <c r="BC51" s="192">
        <f t="shared" si="17"/>
        <v>0</v>
      </c>
      <c r="BD51" s="70">
        <f t="shared" si="18"/>
        <v>0</v>
      </c>
      <c r="BE51" s="70">
        <f t="shared" si="18"/>
        <v>0</v>
      </c>
      <c r="BF51" s="192"/>
      <c r="BG51" s="192"/>
      <c r="BH51" s="192" t="str">
        <f t="shared" si="21"/>
        <v/>
      </c>
      <c r="BI51" s="192" t="str">
        <f t="shared" si="25"/>
        <v/>
      </c>
      <c r="BJ51" s="192" t="str">
        <f t="shared" si="31"/>
        <v/>
      </c>
      <c r="BK51" s="192" t="str">
        <f t="shared" si="22"/>
        <v/>
      </c>
      <c r="BL51" s="825" t="str">
        <f t="shared" si="26"/>
        <v/>
      </c>
      <c r="BM51" s="825" t="str">
        <f t="shared" si="27"/>
        <v/>
      </c>
      <c r="BN51" s="825" t="str">
        <f t="shared" si="23"/>
        <v/>
      </c>
      <c r="BO51" s="825" t="str">
        <f t="shared" si="28"/>
        <v/>
      </c>
      <c r="BP51" s="825" t="str">
        <f t="shared" si="29"/>
        <v/>
      </c>
      <c r="BQ51" s="825" t="str">
        <f t="shared" si="30"/>
        <v/>
      </c>
      <c r="BR51" s="192"/>
      <c r="BS51" s="796" t="s">
        <v>512</v>
      </c>
      <c r="BT51" s="825">
        <f>IF(OR(BT21="",BT21=0),0,17)</f>
        <v>0</v>
      </c>
      <c r="BU51" s="825">
        <f>IF(OR(BU21="",BU21=0),0,17)</f>
        <v>0</v>
      </c>
      <c r="BV51" s="825">
        <f>IF(OR(BV21="",BV21=0),0,17)</f>
        <v>0</v>
      </c>
      <c r="BW51" s="825">
        <f>IF(OR(BW21="",BW21=0),0,17)</f>
        <v>0</v>
      </c>
      <c r="BX51" s="192"/>
      <c r="BY51" s="192"/>
      <c r="BZ51" s="192"/>
      <c r="CA51" s="192"/>
      <c r="CB51" s="192"/>
      <c r="CC51" s="796" t="str">
        <f t="shared" si="19"/>
        <v>小日帰/身・精</v>
      </c>
      <c r="CD51" s="850">
        <f t="shared" si="20"/>
        <v>0</v>
      </c>
      <c r="CE51" s="796">
        <f>IF(OR(BU26="",BU26=0),0,75)</f>
        <v>0</v>
      </c>
      <c r="CF51" s="796">
        <v>110</v>
      </c>
      <c r="CG51" s="851">
        <v>75</v>
      </c>
      <c r="CH51" s="192"/>
      <c r="CI51" s="796"/>
      <c r="CJ51" s="796"/>
      <c r="CK51" s="192"/>
      <c r="CL51" s="192"/>
      <c r="CM51" s="192"/>
      <c r="CN51" s="192"/>
      <c r="CO51" s="192"/>
      <c r="CP51" s="192"/>
      <c r="CQ51" s="192"/>
      <c r="CR51" s="192"/>
      <c r="CS51" s="192"/>
      <c r="CT51" s="192"/>
      <c r="CU51" s="192"/>
      <c r="CV51" s="192"/>
      <c r="CW51" s="192"/>
      <c r="CX51" s="192"/>
      <c r="CY51" s="192"/>
    </row>
    <row r="52" spans="1:103" ht="26.1" customHeight="1">
      <c r="A52" s="1773"/>
      <c r="B52" s="2035"/>
      <c r="C52" s="2036"/>
      <c r="D52" s="2036"/>
      <c r="E52" s="2036"/>
      <c r="F52" s="2036"/>
      <c r="G52" s="2037"/>
      <c r="H52" s="2059" t="s">
        <v>48</v>
      </c>
      <c r="I52" s="2060" t="s">
        <v>47</v>
      </c>
      <c r="J52" s="2041" t="s">
        <v>529</v>
      </c>
      <c r="K52" s="2047" t="s">
        <v>528</v>
      </c>
      <c r="L52" s="2048"/>
      <c r="M52" s="2049"/>
      <c r="N52" s="2030"/>
      <c r="O52" s="2035"/>
      <c r="P52" s="2036"/>
      <c r="Q52" s="2036"/>
      <c r="R52" s="2036"/>
      <c r="S52" s="2036"/>
      <c r="T52" s="2037"/>
      <c r="U52" s="2059" t="s">
        <v>48</v>
      </c>
      <c r="V52" s="2060" t="s">
        <v>47</v>
      </c>
      <c r="W52" s="2041" t="s">
        <v>529</v>
      </c>
      <c r="X52" s="2047" t="s">
        <v>528</v>
      </c>
      <c r="Y52" s="2048"/>
      <c r="Z52" s="2049"/>
      <c r="AA52" s="2112"/>
      <c r="AB52" s="2112"/>
      <c r="AC52" s="2112"/>
      <c r="AD52" s="2112"/>
      <c r="AE52" s="2112"/>
      <c r="AF52" s="2112"/>
      <c r="AG52" s="2112"/>
      <c r="AH52" s="2112"/>
      <c r="AI52" s="2112"/>
      <c r="AJ52" s="2112"/>
      <c r="AK52" s="2112"/>
      <c r="AL52" s="2112"/>
      <c r="AM52" s="2112"/>
      <c r="AN52" s="2112"/>
      <c r="AO52" s="2112"/>
      <c r="AP52" s="2112"/>
      <c r="AQ52" s="2112"/>
      <c r="AR52" s="2112"/>
      <c r="AS52" s="2112"/>
      <c r="AT52" s="2112"/>
      <c r="AU52" s="2112"/>
      <c r="AV52" s="2112"/>
      <c r="AW52" s="2112"/>
      <c r="AX52" s="2112"/>
      <c r="AY52" s="2112"/>
      <c r="AZ52" s="2112"/>
      <c r="BA52" s="67">
        <v>40</v>
      </c>
      <c r="BB52" s="68">
        <f t="shared" si="16"/>
        <v>0</v>
      </c>
      <c r="BC52" s="192">
        <f t="shared" si="17"/>
        <v>0</v>
      </c>
      <c r="BD52" s="70">
        <f t="shared" si="18"/>
        <v>0</v>
      </c>
      <c r="BE52" s="70">
        <f t="shared" si="18"/>
        <v>0</v>
      </c>
      <c r="BF52" s="192"/>
      <c r="BG52" s="192"/>
      <c r="BH52" s="192" t="str">
        <f t="shared" si="21"/>
        <v/>
      </c>
      <c r="BI52" s="192" t="str">
        <f t="shared" si="25"/>
        <v/>
      </c>
      <c r="BJ52" s="192" t="str">
        <f t="shared" si="31"/>
        <v/>
      </c>
      <c r="BK52" s="192" t="str">
        <f t="shared" si="22"/>
        <v/>
      </c>
      <c r="BL52" s="825" t="str">
        <f t="shared" si="26"/>
        <v/>
      </c>
      <c r="BM52" s="825" t="str">
        <f t="shared" si="27"/>
        <v/>
      </c>
      <c r="BN52" s="825" t="str">
        <f t="shared" si="23"/>
        <v/>
      </c>
      <c r="BO52" s="825" t="str">
        <f t="shared" si="28"/>
        <v/>
      </c>
      <c r="BP52" s="825" t="str">
        <f t="shared" si="29"/>
        <v/>
      </c>
      <c r="BQ52" s="825" t="str">
        <f t="shared" si="30"/>
        <v/>
      </c>
      <c r="BR52" s="192"/>
      <c r="BS52" s="796" t="s">
        <v>513</v>
      </c>
      <c r="BT52" s="825">
        <f>IF(OR(BT22="",BT22=0),0,16)</f>
        <v>0</v>
      </c>
      <c r="BU52" s="825">
        <f>IF(OR(BU22="",BU22=0),0,16)</f>
        <v>0</v>
      </c>
      <c r="BV52" s="825">
        <f>IF(OR(BV22="",BV22=0),0,16)</f>
        <v>0</v>
      </c>
      <c r="BW52" s="825">
        <f>IF(OR(BW22="",BW22=0),0,16)</f>
        <v>0</v>
      </c>
      <c r="BX52" s="192"/>
      <c r="BY52" s="192"/>
      <c r="BZ52" s="192"/>
      <c r="CA52" s="192"/>
      <c r="CB52" s="192"/>
      <c r="CC52" s="796" t="str">
        <f t="shared" si="19"/>
        <v>小日帰/療・精</v>
      </c>
      <c r="CD52" s="850">
        <f t="shared" si="20"/>
        <v>0</v>
      </c>
      <c r="CE52" s="796">
        <f>IF(OR(BU27="",BU27=0),0,74)</f>
        <v>0</v>
      </c>
      <c r="CF52" s="796">
        <v>110</v>
      </c>
      <c r="CG52" s="851">
        <v>74</v>
      </c>
      <c r="CH52" s="192"/>
      <c r="CI52" s="796"/>
      <c r="CJ52" s="796"/>
      <c r="CK52" s="192"/>
      <c r="CL52" s="192"/>
      <c r="CM52" s="192"/>
      <c r="CN52" s="192"/>
      <c r="CO52" s="192"/>
      <c r="CP52" s="192"/>
      <c r="CQ52" s="192"/>
      <c r="CR52" s="192"/>
      <c r="CS52" s="192"/>
      <c r="CT52" s="192"/>
      <c r="CU52" s="192"/>
      <c r="CV52" s="192"/>
      <c r="CW52" s="192"/>
      <c r="CX52" s="192"/>
      <c r="CY52" s="192"/>
    </row>
    <row r="53" spans="1:103" ht="26.1" customHeight="1">
      <c r="A53" s="1773"/>
      <c r="B53" s="2035"/>
      <c r="C53" s="2036"/>
      <c r="D53" s="2036"/>
      <c r="E53" s="2036"/>
      <c r="F53" s="2036"/>
      <c r="G53" s="2037"/>
      <c r="H53" s="2059"/>
      <c r="I53" s="2060"/>
      <c r="J53" s="2042"/>
      <c r="K53" s="2047"/>
      <c r="L53" s="2048"/>
      <c r="M53" s="2049"/>
      <c r="N53" s="2030"/>
      <c r="O53" s="2035"/>
      <c r="P53" s="2036"/>
      <c r="Q53" s="2036"/>
      <c r="R53" s="2036"/>
      <c r="S53" s="2036"/>
      <c r="T53" s="2037"/>
      <c r="U53" s="2059"/>
      <c r="V53" s="2060"/>
      <c r="W53" s="2042"/>
      <c r="X53" s="2047"/>
      <c r="Y53" s="2048"/>
      <c r="Z53" s="2049"/>
      <c r="AA53" s="2112"/>
      <c r="AB53" s="2112"/>
      <c r="AC53" s="2112"/>
      <c r="AD53" s="2112"/>
      <c r="AE53" s="2112"/>
      <c r="AF53" s="2112"/>
      <c r="AG53" s="2112"/>
      <c r="AH53" s="2112"/>
      <c r="AI53" s="2112"/>
      <c r="AJ53" s="2112"/>
      <c r="AK53" s="2112"/>
      <c r="AL53" s="2112"/>
      <c r="AM53" s="2112"/>
      <c r="AN53" s="2112"/>
      <c r="AO53" s="2112"/>
      <c r="AP53" s="2112"/>
      <c r="AQ53" s="2112"/>
      <c r="AR53" s="2112"/>
      <c r="AS53" s="2112"/>
      <c r="AT53" s="2112"/>
      <c r="AU53" s="2112"/>
      <c r="AV53" s="2112"/>
      <c r="AW53" s="2112"/>
      <c r="AX53" s="2112"/>
      <c r="AY53" s="2112"/>
      <c r="AZ53" s="2112"/>
      <c r="BA53" s="67">
        <v>41</v>
      </c>
      <c r="BB53" s="68">
        <f t="shared" si="16"/>
        <v>0</v>
      </c>
      <c r="BC53" s="192">
        <f t="shared" si="17"/>
        <v>0</v>
      </c>
      <c r="BD53" s="70">
        <f t="shared" si="18"/>
        <v>0</v>
      </c>
      <c r="BE53" s="70">
        <f t="shared" si="18"/>
        <v>0</v>
      </c>
      <c r="BF53" s="192"/>
      <c r="BG53" s="192"/>
      <c r="BH53" s="192" t="str">
        <f t="shared" si="21"/>
        <v/>
      </c>
      <c r="BI53" s="192" t="str">
        <f t="shared" si="25"/>
        <v/>
      </c>
      <c r="BJ53" s="192" t="str">
        <f t="shared" si="31"/>
        <v/>
      </c>
      <c r="BK53" s="192" t="str">
        <f t="shared" si="22"/>
        <v/>
      </c>
      <c r="BL53" s="825" t="str">
        <f t="shared" si="26"/>
        <v/>
      </c>
      <c r="BM53" s="825" t="str">
        <f t="shared" si="27"/>
        <v/>
      </c>
      <c r="BN53" s="825" t="str">
        <f t="shared" si="23"/>
        <v/>
      </c>
      <c r="BO53" s="825" t="str">
        <f t="shared" si="28"/>
        <v/>
      </c>
      <c r="BP53" s="825" t="str">
        <f t="shared" si="29"/>
        <v/>
      </c>
      <c r="BQ53" s="825" t="str">
        <f t="shared" si="30"/>
        <v/>
      </c>
      <c r="BR53" s="192"/>
      <c r="BS53" s="796" t="s">
        <v>514</v>
      </c>
      <c r="BT53" s="825">
        <f>IF(OR(BT23="",BT23=0),0,15)</f>
        <v>0</v>
      </c>
      <c r="BU53" s="825">
        <f>IF(OR(BU23="",BU23=0),0,15)</f>
        <v>0</v>
      </c>
      <c r="BV53" s="825">
        <f>IF(OR(BV23="",BV23=0),0,15)</f>
        <v>0</v>
      </c>
      <c r="BW53" s="825">
        <f>IF(OR(BW23="",BW23=0),0,15)</f>
        <v>0</v>
      </c>
      <c r="BX53" s="192"/>
      <c r="BY53" s="192"/>
      <c r="BZ53" s="192"/>
      <c r="CA53" s="192"/>
      <c r="CB53" s="192"/>
      <c r="CC53" s="796" t="str">
        <f t="shared" si="19"/>
        <v>小日帰/準・特・身</v>
      </c>
      <c r="CD53" s="850">
        <f t="shared" si="20"/>
        <v>0</v>
      </c>
      <c r="CE53" s="796">
        <f>IF(OR(BU28="",BU28=0),0,73)</f>
        <v>0</v>
      </c>
      <c r="CF53" s="796">
        <v>110</v>
      </c>
      <c r="CG53" s="851">
        <v>73</v>
      </c>
      <c r="CH53" s="192"/>
      <c r="CI53" s="796"/>
      <c r="CJ53" s="796"/>
      <c r="CK53" s="192"/>
      <c r="CL53" s="192"/>
      <c r="CM53" s="192"/>
      <c r="CN53" s="192"/>
      <c r="CO53" s="192"/>
      <c r="CP53" s="192"/>
      <c r="CQ53" s="192"/>
      <c r="CR53" s="192"/>
      <c r="CS53" s="192"/>
      <c r="CT53" s="192"/>
      <c r="CU53" s="192"/>
      <c r="CV53" s="192"/>
      <c r="CW53" s="192"/>
      <c r="CX53" s="192"/>
      <c r="CY53" s="192"/>
    </row>
    <row r="54" spans="1:103" ht="26.1" customHeight="1">
      <c r="A54" s="1773"/>
      <c r="B54" s="2038"/>
      <c r="C54" s="2039"/>
      <c r="D54" s="2039"/>
      <c r="E54" s="2039"/>
      <c r="F54" s="2039"/>
      <c r="G54" s="2040"/>
      <c r="H54" s="2059"/>
      <c r="I54" s="2060"/>
      <c r="J54" s="2042"/>
      <c r="K54" s="2050"/>
      <c r="L54" s="2051"/>
      <c r="M54" s="2052"/>
      <c r="N54" s="2031"/>
      <c r="O54" s="2038"/>
      <c r="P54" s="2039"/>
      <c r="Q54" s="2039"/>
      <c r="R54" s="2039"/>
      <c r="S54" s="2039"/>
      <c r="T54" s="2040"/>
      <c r="U54" s="2059"/>
      <c r="V54" s="2060"/>
      <c r="W54" s="2042"/>
      <c r="X54" s="2050"/>
      <c r="Y54" s="2051"/>
      <c r="Z54" s="2052"/>
      <c r="AA54" s="2112"/>
      <c r="AB54" s="2112"/>
      <c r="AC54" s="2112"/>
      <c r="AD54" s="2112"/>
      <c r="AE54" s="2112"/>
      <c r="AF54" s="2112"/>
      <c r="AG54" s="2112"/>
      <c r="AH54" s="2112"/>
      <c r="AI54" s="2112"/>
      <c r="AJ54" s="2112"/>
      <c r="AK54" s="2112"/>
      <c r="AL54" s="2112"/>
      <c r="AM54" s="2112"/>
      <c r="AN54" s="2112"/>
      <c r="AO54" s="2112"/>
      <c r="AP54" s="2112"/>
      <c r="AQ54" s="2112"/>
      <c r="AR54" s="2112"/>
      <c r="AS54" s="2112"/>
      <c r="AT54" s="2112"/>
      <c r="AU54" s="2112"/>
      <c r="AV54" s="2112"/>
      <c r="AW54" s="2112"/>
      <c r="AX54" s="2112"/>
      <c r="AY54" s="2112"/>
      <c r="AZ54" s="2112"/>
      <c r="BA54" s="67">
        <v>42</v>
      </c>
      <c r="BB54" s="68">
        <f t="shared" si="16"/>
        <v>0</v>
      </c>
      <c r="BC54" s="192">
        <f t="shared" si="17"/>
        <v>0</v>
      </c>
      <c r="BD54" s="70">
        <f t="shared" si="18"/>
        <v>0</v>
      </c>
      <c r="BE54" s="70">
        <f t="shared" si="18"/>
        <v>0</v>
      </c>
      <c r="BF54" s="192"/>
      <c r="BG54" s="192"/>
      <c r="BH54" s="192" t="str">
        <f t="shared" si="21"/>
        <v/>
      </c>
      <c r="BI54" s="192" t="str">
        <f t="shared" si="25"/>
        <v/>
      </c>
      <c r="BJ54" s="192" t="str">
        <f t="shared" si="31"/>
        <v/>
      </c>
      <c r="BK54" s="192" t="str">
        <f t="shared" si="22"/>
        <v/>
      </c>
      <c r="BL54" s="825" t="str">
        <f t="shared" si="26"/>
        <v/>
      </c>
      <c r="BM54" s="825" t="str">
        <f t="shared" si="27"/>
        <v/>
      </c>
      <c r="BN54" s="825" t="str">
        <f t="shared" si="23"/>
        <v/>
      </c>
      <c r="BO54" s="825" t="str">
        <f t="shared" si="28"/>
        <v/>
      </c>
      <c r="BP54" s="825" t="str">
        <f t="shared" si="29"/>
        <v/>
      </c>
      <c r="BQ54" s="825" t="str">
        <f t="shared" si="30"/>
        <v/>
      </c>
      <c r="BR54" s="192"/>
      <c r="BS54" s="829" t="s">
        <v>515</v>
      </c>
      <c r="BT54" s="825">
        <f>IF(OR(BT24="",BT24=0),0,14)</f>
        <v>0</v>
      </c>
      <c r="BU54" s="825">
        <f>IF(OR(BU24="",BU24=0),0,14)</f>
        <v>0</v>
      </c>
      <c r="BV54" s="825">
        <f>IF(OR(BV24="",BV24=0),0,14)</f>
        <v>0</v>
      </c>
      <c r="BW54" s="825">
        <f>IF(OR(BW24="",BW24=0),0,14)</f>
        <v>0</v>
      </c>
      <c r="BX54" s="192"/>
      <c r="BY54" s="192"/>
      <c r="BZ54" s="192"/>
      <c r="CA54" s="192"/>
      <c r="CB54" s="192"/>
      <c r="CC54" s="796" t="str">
        <f t="shared" si="19"/>
        <v>小日帰/準・特・療</v>
      </c>
      <c r="CD54" s="850">
        <f t="shared" si="20"/>
        <v>0</v>
      </c>
      <c r="CE54" s="796">
        <f>IF(OR(BU29="",BU29=0),0,72)</f>
        <v>0</v>
      </c>
      <c r="CF54" s="796">
        <v>110</v>
      </c>
      <c r="CG54" s="851">
        <v>72</v>
      </c>
      <c r="CH54" s="192"/>
      <c r="CI54" s="796"/>
      <c r="CJ54" s="796"/>
      <c r="CK54" s="192"/>
      <c r="CL54" s="192"/>
      <c r="CM54" s="192"/>
      <c r="CN54" s="192"/>
      <c r="CO54" s="192"/>
      <c r="CP54" s="192"/>
      <c r="CQ54" s="192"/>
      <c r="CR54" s="192"/>
      <c r="CS54" s="192"/>
      <c r="CT54" s="192"/>
      <c r="CU54" s="192"/>
      <c r="CV54" s="192"/>
      <c r="CW54" s="192"/>
      <c r="CX54" s="192"/>
      <c r="CY54" s="192"/>
    </row>
    <row r="55" spans="1:103" ht="24.75" customHeight="1">
      <c r="A55" s="326">
        <v>21</v>
      </c>
      <c r="B55" s="2021"/>
      <c r="C55" s="2022"/>
      <c r="D55" s="2022"/>
      <c r="E55" s="2022"/>
      <c r="F55" s="2022"/>
      <c r="G55" s="2023"/>
      <c r="H55" s="327"/>
      <c r="I55" s="328"/>
      <c r="J55" s="329"/>
      <c r="K55" s="2012"/>
      <c r="L55" s="2013"/>
      <c r="M55" s="2014"/>
      <c r="N55" s="331">
        <v>51</v>
      </c>
      <c r="O55" s="2074"/>
      <c r="P55" s="2022"/>
      <c r="Q55" s="2022"/>
      <c r="R55" s="2022"/>
      <c r="S55" s="2022"/>
      <c r="T55" s="2023"/>
      <c r="U55" s="327"/>
      <c r="V55" s="328"/>
      <c r="W55" s="329"/>
      <c r="X55" s="2012"/>
      <c r="Y55" s="2013"/>
      <c r="Z55" s="2014"/>
      <c r="AA55" s="2112"/>
      <c r="AB55" s="2112"/>
      <c r="AC55" s="2112"/>
      <c r="AD55" s="2112"/>
      <c r="AE55" s="2112"/>
      <c r="AF55" s="2112"/>
      <c r="AG55" s="2112"/>
      <c r="AH55" s="2112"/>
      <c r="AI55" s="2112"/>
      <c r="AJ55" s="2112"/>
      <c r="AK55" s="2112"/>
      <c r="AL55" s="2112"/>
      <c r="AM55" s="2112"/>
      <c r="AN55" s="2112"/>
      <c r="AO55" s="2112"/>
      <c r="AP55" s="2112"/>
      <c r="AQ55" s="2112"/>
      <c r="AR55" s="2112"/>
      <c r="AS55" s="2112"/>
      <c r="AT55" s="2112"/>
      <c r="AU55" s="2112"/>
      <c r="AV55" s="2112"/>
      <c r="AW55" s="2112"/>
      <c r="AX55" s="2112"/>
      <c r="AY55" s="2112"/>
      <c r="AZ55" s="2112"/>
      <c r="BA55" s="67">
        <v>43</v>
      </c>
      <c r="BB55" s="68">
        <f t="shared" si="16"/>
        <v>0</v>
      </c>
      <c r="BC55" s="192">
        <f t="shared" si="17"/>
        <v>0</v>
      </c>
      <c r="BD55" s="70">
        <f t="shared" si="18"/>
        <v>0</v>
      </c>
      <c r="BE55" s="70">
        <f t="shared" si="18"/>
        <v>0</v>
      </c>
      <c r="BF55" s="192"/>
      <c r="BG55" s="192"/>
      <c r="BH55" s="192" t="str">
        <f t="shared" si="21"/>
        <v/>
      </c>
      <c r="BI55" s="192" t="str">
        <f t="shared" si="25"/>
        <v/>
      </c>
      <c r="BJ55" s="192" t="str">
        <f t="shared" si="31"/>
        <v/>
      </c>
      <c r="BK55" s="192" t="str">
        <f t="shared" si="22"/>
        <v/>
      </c>
      <c r="BL55" s="825" t="str">
        <f t="shared" si="26"/>
        <v/>
      </c>
      <c r="BM55" s="825" t="str">
        <f t="shared" si="27"/>
        <v/>
      </c>
      <c r="BN55" s="825" t="str">
        <f t="shared" si="23"/>
        <v/>
      </c>
      <c r="BO55" s="825" t="str">
        <f t="shared" si="28"/>
        <v/>
      </c>
      <c r="BP55" s="825" t="str">
        <f t="shared" si="29"/>
        <v/>
      </c>
      <c r="BQ55" s="825" t="str">
        <f t="shared" si="30"/>
        <v/>
      </c>
      <c r="BR55" s="192"/>
      <c r="BS55" s="829" t="s">
        <v>516</v>
      </c>
      <c r="BT55" s="825">
        <f>IF(OR(BT25="",BT25=0),0,13)</f>
        <v>0</v>
      </c>
      <c r="BU55" s="825">
        <f>IF(OR(BU25="",BU25=0),0,13)</f>
        <v>0</v>
      </c>
      <c r="BV55" s="825">
        <f>IF(OR(BV25="",BV25=0),0,13)</f>
        <v>0</v>
      </c>
      <c r="BW55" s="825">
        <f>IF(OR(BW25="",BW25=0),0,13)</f>
        <v>0</v>
      </c>
      <c r="BX55" s="192"/>
      <c r="BY55" s="192"/>
      <c r="BZ55" s="192"/>
      <c r="CA55" s="192"/>
      <c r="CB55" s="192"/>
      <c r="CC55" s="796" t="str">
        <f t="shared" si="19"/>
        <v>小日帰/準・特・精</v>
      </c>
      <c r="CD55" s="850">
        <f t="shared" si="20"/>
        <v>0</v>
      </c>
      <c r="CE55" s="796">
        <f>IF(OR(BU30="",BU30=0),0,71)</f>
        <v>0</v>
      </c>
      <c r="CF55" s="796">
        <v>110</v>
      </c>
      <c r="CG55" s="851">
        <v>71</v>
      </c>
      <c r="CH55" s="192"/>
      <c r="CI55" s="796"/>
      <c r="CJ55" s="796"/>
      <c r="CK55" s="192"/>
      <c r="CL55" s="192"/>
      <c r="CM55" s="192"/>
      <c r="CN55" s="192"/>
      <c r="CO55" s="192"/>
      <c r="CP55" s="192"/>
      <c r="CQ55" s="192"/>
      <c r="CR55" s="192"/>
      <c r="CS55" s="192"/>
      <c r="CT55" s="192"/>
      <c r="CU55" s="192"/>
      <c r="CV55" s="192"/>
      <c r="CW55" s="192"/>
      <c r="CX55" s="192"/>
      <c r="CY55" s="192"/>
    </row>
    <row r="56" spans="1:103" ht="24.95" customHeight="1">
      <c r="A56" s="326">
        <v>22</v>
      </c>
      <c r="B56" s="2021"/>
      <c r="C56" s="2022"/>
      <c r="D56" s="2022"/>
      <c r="E56" s="2022"/>
      <c r="F56" s="2022"/>
      <c r="G56" s="2023"/>
      <c r="H56" s="327"/>
      <c r="I56" s="328"/>
      <c r="J56" s="329"/>
      <c r="K56" s="2012"/>
      <c r="L56" s="2013"/>
      <c r="M56" s="2014"/>
      <c r="N56" s="331">
        <v>52</v>
      </c>
      <c r="O56" s="2021"/>
      <c r="P56" s="2022"/>
      <c r="Q56" s="2022"/>
      <c r="R56" s="2022"/>
      <c r="S56" s="2022"/>
      <c r="T56" s="2023"/>
      <c r="U56" s="327"/>
      <c r="V56" s="328"/>
      <c r="W56" s="329"/>
      <c r="X56" s="2012"/>
      <c r="Y56" s="2013"/>
      <c r="Z56" s="2014"/>
      <c r="AA56" s="2112"/>
      <c r="AB56" s="2112"/>
      <c r="AC56" s="2112"/>
      <c r="AD56" s="2112"/>
      <c r="AE56" s="2112"/>
      <c r="AF56" s="2112"/>
      <c r="AG56" s="2112"/>
      <c r="AH56" s="2112"/>
      <c r="AI56" s="2112"/>
      <c r="AJ56" s="2112"/>
      <c r="AK56" s="2112"/>
      <c r="AL56" s="2112"/>
      <c r="AM56" s="2112"/>
      <c r="AN56" s="2112"/>
      <c r="AO56" s="2112"/>
      <c r="AP56" s="2112"/>
      <c r="AQ56" s="2112"/>
      <c r="AR56" s="2112"/>
      <c r="AS56" s="2112"/>
      <c r="AT56" s="2112"/>
      <c r="AU56" s="2112"/>
      <c r="AV56" s="2112"/>
      <c r="AW56" s="2112"/>
      <c r="AX56" s="2112"/>
      <c r="AY56" s="2112"/>
      <c r="AZ56" s="2112"/>
      <c r="BA56" s="67">
        <v>44</v>
      </c>
      <c r="BB56" s="68">
        <f t="shared" si="16"/>
        <v>0</v>
      </c>
      <c r="BC56" s="192">
        <f t="shared" si="17"/>
        <v>0</v>
      </c>
      <c r="BD56" s="70">
        <f t="shared" si="18"/>
        <v>0</v>
      </c>
      <c r="BE56" s="70">
        <f t="shared" si="18"/>
        <v>0</v>
      </c>
      <c r="BF56" s="192"/>
      <c r="BG56" s="192"/>
      <c r="BH56" s="192" t="str">
        <f t="shared" si="21"/>
        <v/>
      </c>
      <c r="BI56" s="192" t="str">
        <f t="shared" si="25"/>
        <v/>
      </c>
      <c r="BJ56" s="192" t="str">
        <f t="shared" si="31"/>
        <v/>
      </c>
      <c r="BK56" s="192" t="str">
        <f t="shared" si="22"/>
        <v/>
      </c>
      <c r="BL56" s="825" t="str">
        <f t="shared" si="26"/>
        <v/>
      </c>
      <c r="BM56" s="825" t="str">
        <f t="shared" si="27"/>
        <v/>
      </c>
      <c r="BN56" s="825" t="str">
        <f t="shared" si="23"/>
        <v/>
      </c>
      <c r="BO56" s="825" t="str">
        <f t="shared" si="28"/>
        <v/>
      </c>
      <c r="BP56" s="825" t="str">
        <f t="shared" si="29"/>
        <v/>
      </c>
      <c r="BQ56" s="825" t="str">
        <f t="shared" si="30"/>
        <v/>
      </c>
      <c r="BR56" s="192"/>
      <c r="BS56" s="849" t="s">
        <v>517</v>
      </c>
      <c r="BT56" s="825">
        <f>IF(OR(BT26="",BT26=0),0,12)</f>
        <v>0</v>
      </c>
      <c r="BU56" s="825">
        <f>IF(OR(BU26="",BU26=0),0,12)</f>
        <v>0</v>
      </c>
      <c r="BV56" s="825">
        <f>IF(OR(BV26="",BV26=0),0,12)</f>
        <v>0</v>
      </c>
      <c r="BW56" s="825">
        <f>IF(OR(BW26="",BW26=0),0,12)</f>
        <v>0</v>
      </c>
      <c r="BX56" s="192"/>
      <c r="BY56" s="192"/>
      <c r="BZ56" s="192"/>
      <c r="CA56" s="192"/>
      <c r="CB56" s="192"/>
      <c r="CC56" s="796" t="str">
        <f t="shared" si="19"/>
        <v>小日帰/準・身・療</v>
      </c>
      <c r="CD56" s="850">
        <f t="shared" si="20"/>
        <v>0</v>
      </c>
      <c r="CE56" s="796">
        <f>IF(OR(BU31="",BU31=0),0,70)</f>
        <v>0</v>
      </c>
      <c r="CF56" s="796">
        <v>110</v>
      </c>
      <c r="CG56" s="851">
        <v>70</v>
      </c>
      <c r="CH56" s="192"/>
      <c r="CI56" s="796"/>
      <c r="CJ56" s="796"/>
      <c r="CK56" s="192"/>
      <c r="CL56" s="192"/>
      <c r="CM56" s="192"/>
      <c r="CN56" s="192"/>
      <c r="CO56" s="192"/>
      <c r="CP56" s="192"/>
      <c r="CQ56" s="192"/>
      <c r="CR56" s="192"/>
      <c r="CS56" s="192"/>
      <c r="CT56" s="192"/>
      <c r="CU56" s="192"/>
      <c r="CV56" s="192"/>
      <c r="CW56" s="192"/>
      <c r="CX56" s="192"/>
      <c r="CY56" s="192"/>
    </row>
    <row r="57" spans="1:103" ht="24.95" customHeight="1">
      <c r="A57" s="326">
        <v>23</v>
      </c>
      <c r="B57" s="2021"/>
      <c r="C57" s="2022"/>
      <c r="D57" s="2022"/>
      <c r="E57" s="2022"/>
      <c r="F57" s="2022"/>
      <c r="G57" s="2023"/>
      <c r="H57" s="327"/>
      <c r="I57" s="328"/>
      <c r="J57" s="329"/>
      <c r="K57" s="2012"/>
      <c r="L57" s="2013"/>
      <c r="M57" s="2014"/>
      <c r="N57" s="331">
        <v>53</v>
      </c>
      <c r="O57" s="2021"/>
      <c r="P57" s="2022"/>
      <c r="Q57" s="2022"/>
      <c r="R57" s="2022"/>
      <c r="S57" s="2022"/>
      <c r="T57" s="2023"/>
      <c r="U57" s="327"/>
      <c r="V57" s="328"/>
      <c r="W57" s="329"/>
      <c r="X57" s="2012"/>
      <c r="Y57" s="2013"/>
      <c r="Z57" s="2014"/>
      <c r="AA57" s="2112"/>
      <c r="AB57" s="2112"/>
      <c r="AC57" s="2112"/>
      <c r="AD57" s="2112"/>
      <c r="AE57" s="2112"/>
      <c r="AF57" s="2112"/>
      <c r="AG57" s="2112"/>
      <c r="AH57" s="2112"/>
      <c r="AI57" s="2112"/>
      <c r="AJ57" s="2112"/>
      <c r="AK57" s="2112"/>
      <c r="AL57" s="2112"/>
      <c r="AM57" s="2112"/>
      <c r="AN57" s="2112"/>
      <c r="AO57" s="2112"/>
      <c r="AP57" s="2112"/>
      <c r="AQ57" s="2112"/>
      <c r="AR57" s="2112"/>
      <c r="AS57" s="2112"/>
      <c r="AT57" s="2112"/>
      <c r="AU57" s="2112"/>
      <c r="AV57" s="2112"/>
      <c r="AW57" s="2112"/>
      <c r="AX57" s="2112"/>
      <c r="AY57" s="2112"/>
      <c r="AZ57" s="2112"/>
      <c r="BA57" s="67">
        <v>45</v>
      </c>
      <c r="BB57" s="68">
        <f t="shared" si="16"/>
        <v>0</v>
      </c>
      <c r="BC57" s="192">
        <f t="shared" si="17"/>
        <v>0</v>
      </c>
      <c r="BD57" s="70">
        <f t="shared" si="18"/>
        <v>0</v>
      </c>
      <c r="BE57" s="70">
        <f t="shared" si="18"/>
        <v>0</v>
      </c>
      <c r="BF57" s="192"/>
      <c r="BG57" s="192"/>
      <c r="BH57" s="192" t="str">
        <f t="shared" si="21"/>
        <v/>
      </c>
      <c r="BI57" s="192" t="str">
        <f t="shared" si="25"/>
        <v/>
      </c>
      <c r="BJ57" s="192" t="str">
        <f t="shared" si="31"/>
        <v/>
      </c>
      <c r="BK57" s="192" t="str">
        <f t="shared" si="22"/>
        <v/>
      </c>
      <c r="BL57" s="825" t="str">
        <f t="shared" si="26"/>
        <v/>
      </c>
      <c r="BM57" s="825" t="str">
        <f t="shared" si="27"/>
        <v/>
      </c>
      <c r="BN57" s="825" t="str">
        <f t="shared" si="23"/>
        <v/>
      </c>
      <c r="BO57" s="825" t="str">
        <f t="shared" si="28"/>
        <v/>
      </c>
      <c r="BP57" s="825" t="str">
        <f t="shared" si="29"/>
        <v/>
      </c>
      <c r="BQ57" s="825" t="str">
        <f t="shared" si="30"/>
        <v/>
      </c>
      <c r="BR57" s="192"/>
      <c r="BS57" s="849" t="s">
        <v>518</v>
      </c>
      <c r="BT57" s="825">
        <f>IF(OR(BT27="",BT27=0),0,11)</f>
        <v>0</v>
      </c>
      <c r="BU57" s="825">
        <f>IF(OR(BU27="",BU27=0),0,11)</f>
        <v>0</v>
      </c>
      <c r="BV57" s="825">
        <f>IF(OR(BV27="",BV27=0),0,11)</f>
        <v>0</v>
      </c>
      <c r="BW57" s="825">
        <f>IF(OR(BW27="",BW27=0),0,11)</f>
        <v>0</v>
      </c>
      <c r="BX57" s="192"/>
      <c r="BY57" s="192"/>
      <c r="BZ57" s="192"/>
      <c r="CA57" s="192"/>
      <c r="CB57" s="192"/>
      <c r="CC57" s="796" t="str">
        <f t="shared" si="19"/>
        <v>小日帰/準・身・精</v>
      </c>
      <c r="CD57" s="850">
        <f t="shared" si="20"/>
        <v>0</v>
      </c>
      <c r="CE57" s="796">
        <f>IF(OR(BU32="",BU32=0),0,69)</f>
        <v>0</v>
      </c>
      <c r="CF57" s="796">
        <v>110</v>
      </c>
      <c r="CG57" s="851">
        <v>69</v>
      </c>
      <c r="CH57" s="192"/>
      <c r="CI57" s="796"/>
      <c r="CJ57" s="796"/>
      <c r="CK57" s="192"/>
      <c r="CL57" s="192"/>
      <c r="CM57" s="192"/>
      <c r="CN57" s="192"/>
      <c r="CO57" s="192"/>
      <c r="CP57" s="192"/>
      <c r="CQ57" s="192"/>
      <c r="CR57" s="192"/>
      <c r="CS57" s="192"/>
      <c r="CT57" s="192"/>
      <c r="CU57" s="192"/>
      <c r="CV57" s="192"/>
      <c r="CW57" s="192"/>
      <c r="CX57" s="192"/>
      <c r="CY57" s="192"/>
    </row>
    <row r="58" spans="1:103" ht="24.95" customHeight="1">
      <c r="A58" s="326">
        <v>24</v>
      </c>
      <c r="B58" s="2021"/>
      <c r="C58" s="2022"/>
      <c r="D58" s="2022"/>
      <c r="E58" s="2022"/>
      <c r="F58" s="2022"/>
      <c r="G58" s="2023"/>
      <c r="H58" s="327"/>
      <c r="I58" s="328"/>
      <c r="J58" s="329"/>
      <c r="K58" s="2012"/>
      <c r="L58" s="2013"/>
      <c r="M58" s="2014"/>
      <c r="N58" s="331">
        <v>54</v>
      </c>
      <c r="O58" s="2021"/>
      <c r="P58" s="2022"/>
      <c r="Q58" s="2022"/>
      <c r="R58" s="2022"/>
      <c r="S58" s="2022"/>
      <c r="T58" s="2023"/>
      <c r="U58" s="327"/>
      <c r="V58" s="328"/>
      <c r="W58" s="329"/>
      <c r="X58" s="2012"/>
      <c r="Y58" s="2013"/>
      <c r="Z58" s="2014"/>
      <c r="AA58" s="2112"/>
      <c r="AB58" s="2112"/>
      <c r="AC58" s="2112"/>
      <c r="AD58" s="2112"/>
      <c r="AE58" s="2112"/>
      <c r="AF58" s="2112"/>
      <c r="AG58" s="2112"/>
      <c r="AH58" s="2112"/>
      <c r="AI58" s="2112"/>
      <c r="AJ58" s="2112"/>
      <c r="AK58" s="2112"/>
      <c r="AL58" s="2112"/>
      <c r="AM58" s="2112"/>
      <c r="AN58" s="2112"/>
      <c r="AO58" s="2112"/>
      <c r="AP58" s="2112"/>
      <c r="AQ58" s="2112"/>
      <c r="AR58" s="2112"/>
      <c r="AS58" s="2112"/>
      <c r="AT58" s="2112"/>
      <c r="AU58" s="2112"/>
      <c r="AV58" s="2112"/>
      <c r="AW58" s="2112"/>
      <c r="AX58" s="2112"/>
      <c r="AY58" s="2112"/>
      <c r="AZ58" s="2112"/>
      <c r="BA58" s="67">
        <v>46</v>
      </c>
      <c r="BB58" s="68">
        <f t="shared" si="16"/>
        <v>0</v>
      </c>
      <c r="BC58" s="192">
        <f t="shared" si="17"/>
        <v>0</v>
      </c>
      <c r="BD58" s="70">
        <f t="shared" si="18"/>
        <v>0</v>
      </c>
      <c r="BE58" s="70">
        <f t="shared" si="18"/>
        <v>0</v>
      </c>
      <c r="BF58" s="192"/>
      <c r="BG58" s="192"/>
      <c r="BH58" s="192" t="str">
        <f t="shared" si="21"/>
        <v/>
      </c>
      <c r="BI58" s="192" t="str">
        <f t="shared" si="25"/>
        <v/>
      </c>
      <c r="BJ58" s="192" t="str">
        <f t="shared" si="31"/>
        <v/>
      </c>
      <c r="BK58" s="192" t="str">
        <f t="shared" si="22"/>
        <v/>
      </c>
      <c r="BL58" s="825" t="str">
        <f t="shared" si="26"/>
        <v/>
      </c>
      <c r="BM58" s="825" t="str">
        <f t="shared" si="27"/>
        <v/>
      </c>
      <c r="BN58" s="825" t="str">
        <f t="shared" si="23"/>
        <v/>
      </c>
      <c r="BO58" s="825" t="str">
        <f t="shared" si="28"/>
        <v/>
      </c>
      <c r="BP58" s="825" t="str">
        <f t="shared" si="29"/>
        <v/>
      </c>
      <c r="BQ58" s="825" t="str">
        <f t="shared" si="30"/>
        <v/>
      </c>
      <c r="BR58" s="192"/>
      <c r="BS58" s="849" t="s">
        <v>519</v>
      </c>
      <c r="BT58" s="825">
        <f>IF(OR(BT28="",BT28=0),0,10)</f>
        <v>0</v>
      </c>
      <c r="BU58" s="825">
        <f>IF(OR(BU28="",BU28=0),0,10)</f>
        <v>0</v>
      </c>
      <c r="BV58" s="825">
        <f>IF(OR(BV28="",BV28=0),0,10)</f>
        <v>0</v>
      </c>
      <c r="BW58" s="825">
        <f>IF(OR(BW28="",BW28=0),0,10)</f>
        <v>0</v>
      </c>
      <c r="BX58" s="192"/>
      <c r="BY58" s="192"/>
      <c r="BZ58" s="192"/>
      <c r="CA58" s="192"/>
      <c r="CB58" s="192"/>
      <c r="CC58" s="796" t="str">
        <f t="shared" si="19"/>
        <v>小日帰/準・療・精</v>
      </c>
      <c r="CD58" s="850">
        <f t="shared" si="20"/>
        <v>0</v>
      </c>
      <c r="CE58" s="796">
        <f>IF(OR(BU33="",BU33=0),0,68)</f>
        <v>0</v>
      </c>
      <c r="CF58" s="796">
        <v>110</v>
      </c>
      <c r="CG58" s="851">
        <v>68</v>
      </c>
      <c r="CH58" s="192"/>
      <c r="CI58" s="796"/>
      <c r="CJ58" s="796"/>
      <c r="CK58" s="192"/>
      <c r="CL58" s="192"/>
      <c r="CM58" s="192"/>
      <c r="CN58" s="192"/>
      <c r="CO58" s="192"/>
      <c r="CP58" s="192"/>
      <c r="CQ58" s="192"/>
      <c r="CR58" s="192"/>
      <c r="CS58" s="192"/>
      <c r="CT58" s="192"/>
      <c r="CU58" s="192"/>
      <c r="CV58" s="192"/>
      <c r="CW58" s="192"/>
      <c r="CX58" s="192"/>
      <c r="CY58" s="192"/>
    </row>
    <row r="59" spans="1:103" ht="24.95" customHeight="1">
      <c r="A59" s="326">
        <v>25</v>
      </c>
      <c r="B59" s="2021"/>
      <c r="C59" s="2022"/>
      <c r="D59" s="2022"/>
      <c r="E59" s="2022"/>
      <c r="F59" s="2022"/>
      <c r="G59" s="2023"/>
      <c r="H59" s="327"/>
      <c r="I59" s="328"/>
      <c r="J59" s="329"/>
      <c r="K59" s="2012"/>
      <c r="L59" s="2013"/>
      <c r="M59" s="2014"/>
      <c r="N59" s="331">
        <v>55</v>
      </c>
      <c r="O59" s="2021"/>
      <c r="P59" s="2022"/>
      <c r="Q59" s="2022"/>
      <c r="R59" s="2022"/>
      <c r="S59" s="2022"/>
      <c r="T59" s="2023"/>
      <c r="U59" s="327"/>
      <c r="V59" s="328"/>
      <c r="W59" s="329"/>
      <c r="X59" s="2012"/>
      <c r="Y59" s="2013"/>
      <c r="Z59" s="2014"/>
      <c r="AA59" s="2112"/>
      <c r="AB59" s="2112"/>
      <c r="AC59" s="2112"/>
      <c r="AD59" s="2112"/>
      <c r="AE59" s="2112"/>
      <c r="AF59" s="2112"/>
      <c r="AG59" s="2112"/>
      <c r="AH59" s="2112"/>
      <c r="AI59" s="2112"/>
      <c r="AJ59" s="2112"/>
      <c r="AK59" s="2112"/>
      <c r="AL59" s="2112"/>
      <c r="AM59" s="2112"/>
      <c r="AN59" s="2112"/>
      <c r="AO59" s="2112"/>
      <c r="AP59" s="2112"/>
      <c r="AQ59" s="2112"/>
      <c r="AR59" s="2112"/>
      <c r="AS59" s="2112"/>
      <c r="AT59" s="2112"/>
      <c r="AU59" s="2112"/>
      <c r="AV59" s="2112"/>
      <c r="AW59" s="2112"/>
      <c r="AX59" s="2112"/>
      <c r="AY59" s="2112"/>
      <c r="AZ59" s="2112"/>
      <c r="BA59" s="67">
        <v>47</v>
      </c>
      <c r="BB59" s="68">
        <f t="shared" si="16"/>
        <v>0</v>
      </c>
      <c r="BC59" s="192">
        <f t="shared" si="17"/>
        <v>0</v>
      </c>
      <c r="BD59" s="70">
        <f t="shared" si="18"/>
        <v>0</v>
      </c>
      <c r="BE59" s="70">
        <f t="shared" si="18"/>
        <v>0</v>
      </c>
      <c r="BF59" s="192"/>
      <c r="BG59" s="192"/>
      <c r="BH59" s="192" t="str">
        <f t="shared" si="21"/>
        <v/>
      </c>
      <c r="BI59" s="192" t="str">
        <f t="shared" si="25"/>
        <v/>
      </c>
      <c r="BJ59" s="192" t="str">
        <f t="shared" si="31"/>
        <v/>
      </c>
      <c r="BK59" s="192" t="str">
        <f t="shared" si="22"/>
        <v/>
      </c>
      <c r="BL59" s="825" t="str">
        <f t="shared" si="26"/>
        <v/>
      </c>
      <c r="BM59" s="825" t="str">
        <f t="shared" si="27"/>
        <v/>
      </c>
      <c r="BN59" s="825" t="str">
        <f t="shared" si="23"/>
        <v/>
      </c>
      <c r="BO59" s="825" t="str">
        <f t="shared" si="28"/>
        <v/>
      </c>
      <c r="BP59" s="825" t="str">
        <f t="shared" si="29"/>
        <v/>
      </c>
      <c r="BQ59" s="825" t="str">
        <f t="shared" si="30"/>
        <v/>
      </c>
      <c r="BR59" s="192"/>
      <c r="BS59" s="849" t="s">
        <v>520</v>
      </c>
      <c r="BT59" s="825">
        <f>IF(OR(BT29="",BT29=0),0,9)</f>
        <v>0</v>
      </c>
      <c r="BU59" s="825">
        <f>IF(OR(BU29="",BU29=0),0,9)</f>
        <v>0</v>
      </c>
      <c r="BV59" s="825">
        <f>IF(OR(BV29="",BV29=0),0,9)</f>
        <v>0</v>
      </c>
      <c r="BW59" s="825">
        <f>IF(OR(BW29="",BW29=0),0,9)</f>
        <v>0</v>
      </c>
      <c r="BX59" s="192"/>
      <c r="BY59" s="192"/>
      <c r="BZ59" s="192"/>
      <c r="CA59" s="192"/>
      <c r="CB59" s="192"/>
      <c r="CC59" s="796" t="str">
        <f t="shared" si="19"/>
        <v>小日帰/特・身・療</v>
      </c>
      <c r="CD59" s="850">
        <f t="shared" si="20"/>
        <v>0</v>
      </c>
      <c r="CE59" s="796">
        <f>IF(OR(BU34="",BU34=0),0,67)</f>
        <v>0</v>
      </c>
      <c r="CF59" s="796">
        <v>110</v>
      </c>
      <c r="CG59" s="851">
        <v>67</v>
      </c>
      <c r="CH59" s="192"/>
      <c r="CI59" s="796"/>
      <c r="CJ59" s="796"/>
      <c r="CK59" s="192"/>
      <c r="CL59" s="192"/>
      <c r="CM59" s="192"/>
      <c r="CN59" s="192"/>
      <c r="CO59" s="192"/>
      <c r="CP59" s="192"/>
      <c r="CQ59" s="192"/>
      <c r="CR59" s="192"/>
      <c r="CS59" s="192"/>
      <c r="CT59" s="192"/>
      <c r="CU59" s="192"/>
      <c r="CV59" s="192"/>
      <c r="CW59" s="192"/>
      <c r="CX59" s="192"/>
      <c r="CY59" s="192"/>
    </row>
    <row r="60" spans="1:103" ht="24.95" customHeight="1">
      <c r="A60" s="326">
        <v>26</v>
      </c>
      <c r="B60" s="2021"/>
      <c r="C60" s="2022"/>
      <c r="D60" s="2022"/>
      <c r="E60" s="2022"/>
      <c r="F60" s="2022"/>
      <c r="G60" s="2023"/>
      <c r="H60" s="327"/>
      <c r="I60" s="328"/>
      <c r="J60" s="329"/>
      <c r="K60" s="2012"/>
      <c r="L60" s="2013"/>
      <c r="M60" s="2014"/>
      <c r="N60" s="331">
        <v>56</v>
      </c>
      <c r="O60" s="2021"/>
      <c r="P60" s="2022"/>
      <c r="Q60" s="2022"/>
      <c r="R60" s="2022"/>
      <c r="S60" s="2022"/>
      <c r="T60" s="2023"/>
      <c r="U60" s="327"/>
      <c r="V60" s="328"/>
      <c r="W60" s="329"/>
      <c r="X60" s="2012"/>
      <c r="Y60" s="2013"/>
      <c r="Z60" s="2014"/>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67">
        <v>48</v>
      </c>
      <c r="BB60" s="68">
        <f t="shared" si="16"/>
        <v>0</v>
      </c>
      <c r="BC60" s="192">
        <f t="shared" si="17"/>
        <v>0</v>
      </c>
      <c r="BD60" s="70">
        <f t="shared" si="18"/>
        <v>0</v>
      </c>
      <c r="BE60" s="70">
        <f t="shared" si="18"/>
        <v>0</v>
      </c>
      <c r="BF60" s="192"/>
      <c r="BG60" s="192"/>
      <c r="BH60" s="192" t="str">
        <f t="shared" si="21"/>
        <v/>
      </c>
      <c r="BI60" s="192" t="str">
        <f t="shared" si="25"/>
        <v/>
      </c>
      <c r="BJ60" s="192" t="str">
        <f t="shared" si="31"/>
        <v/>
      </c>
      <c r="BK60" s="192" t="str">
        <f t="shared" si="22"/>
        <v/>
      </c>
      <c r="BL60" s="825" t="str">
        <f t="shared" si="26"/>
        <v/>
      </c>
      <c r="BM60" s="825" t="str">
        <f t="shared" si="27"/>
        <v/>
      </c>
      <c r="BN60" s="825" t="str">
        <f t="shared" si="23"/>
        <v/>
      </c>
      <c r="BO60" s="825" t="str">
        <f t="shared" si="28"/>
        <v/>
      </c>
      <c r="BP60" s="825" t="str">
        <f t="shared" si="29"/>
        <v/>
      </c>
      <c r="BQ60" s="825" t="str">
        <f t="shared" si="30"/>
        <v/>
      </c>
      <c r="BR60" s="192"/>
      <c r="BS60" s="849" t="s">
        <v>521</v>
      </c>
      <c r="BT60" s="825">
        <f>IF(OR(BT30="",BT30=0),0,8)</f>
        <v>0</v>
      </c>
      <c r="BU60" s="825">
        <f>IF(OR(BU30="",BU30=0),0,8)</f>
        <v>0</v>
      </c>
      <c r="BV60" s="825">
        <f>IF(OR(BV30="",BV30=0),0,8)</f>
        <v>0</v>
      </c>
      <c r="BW60" s="825">
        <f>IF(OR(BW30="",BW30=0),0,8)</f>
        <v>0</v>
      </c>
      <c r="BX60" s="192"/>
      <c r="BY60" s="192"/>
      <c r="BZ60" s="192"/>
      <c r="CA60" s="192"/>
      <c r="CB60" s="192"/>
      <c r="CC60" s="796" t="str">
        <f t="shared" si="19"/>
        <v>小日帰/特・身・精</v>
      </c>
      <c r="CD60" s="850">
        <f t="shared" si="20"/>
        <v>0</v>
      </c>
      <c r="CE60" s="796">
        <f>IF(OR(BU35="",BU35=0),0,66)</f>
        <v>0</v>
      </c>
      <c r="CF60" s="796">
        <v>110</v>
      </c>
      <c r="CG60" s="851">
        <v>66</v>
      </c>
      <c r="CH60" s="192"/>
      <c r="CI60" s="796"/>
      <c r="CJ60" s="796"/>
      <c r="CK60" s="192"/>
      <c r="CL60" s="192"/>
      <c r="CM60" s="192"/>
      <c r="CN60" s="192"/>
      <c r="CO60" s="192"/>
      <c r="CP60" s="192"/>
      <c r="CQ60" s="192"/>
      <c r="CR60" s="192"/>
      <c r="CS60" s="192"/>
      <c r="CT60" s="192"/>
      <c r="CU60" s="192"/>
      <c r="CV60" s="192"/>
      <c r="CW60" s="192"/>
      <c r="CX60" s="192"/>
      <c r="CY60" s="192"/>
    </row>
    <row r="61" spans="1:103" ht="24.95" customHeight="1">
      <c r="A61" s="326">
        <v>27</v>
      </c>
      <c r="B61" s="2021"/>
      <c r="C61" s="2022"/>
      <c r="D61" s="2022"/>
      <c r="E61" s="2022"/>
      <c r="F61" s="2022"/>
      <c r="G61" s="2023"/>
      <c r="H61" s="327"/>
      <c r="I61" s="328"/>
      <c r="J61" s="329"/>
      <c r="K61" s="2012"/>
      <c r="L61" s="2013"/>
      <c r="M61" s="2014"/>
      <c r="N61" s="331">
        <v>57</v>
      </c>
      <c r="O61" s="2021"/>
      <c r="P61" s="2022"/>
      <c r="Q61" s="2022"/>
      <c r="R61" s="2022"/>
      <c r="S61" s="2022"/>
      <c r="T61" s="2023"/>
      <c r="U61" s="327"/>
      <c r="V61" s="328"/>
      <c r="W61" s="329"/>
      <c r="X61" s="2012"/>
      <c r="Y61" s="2013"/>
      <c r="Z61" s="2014"/>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67">
        <v>49</v>
      </c>
      <c r="BB61" s="68">
        <f t="shared" si="16"/>
        <v>0</v>
      </c>
      <c r="BC61" s="192">
        <f t="shared" si="17"/>
        <v>0</v>
      </c>
      <c r="BD61" s="70">
        <f t="shared" si="18"/>
        <v>0</v>
      </c>
      <c r="BE61" s="70">
        <f t="shared" si="18"/>
        <v>0</v>
      </c>
      <c r="BF61" s="192"/>
      <c r="BG61" s="192"/>
      <c r="BH61" s="192" t="str">
        <f t="shared" si="21"/>
        <v/>
      </c>
      <c r="BI61" s="192" t="str">
        <f t="shared" si="25"/>
        <v/>
      </c>
      <c r="BJ61" s="192" t="str">
        <f t="shared" si="31"/>
        <v/>
      </c>
      <c r="BK61" s="192" t="str">
        <f t="shared" si="22"/>
        <v/>
      </c>
      <c r="BL61" s="825" t="str">
        <f t="shared" si="26"/>
        <v/>
      </c>
      <c r="BM61" s="825" t="str">
        <f t="shared" si="27"/>
        <v/>
      </c>
      <c r="BN61" s="825" t="str">
        <f t="shared" si="23"/>
        <v/>
      </c>
      <c r="BO61" s="825" t="str">
        <f t="shared" si="28"/>
        <v/>
      </c>
      <c r="BP61" s="825" t="str">
        <f t="shared" si="29"/>
        <v/>
      </c>
      <c r="BQ61" s="825" t="str">
        <f t="shared" si="30"/>
        <v/>
      </c>
      <c r="BR61" s="192"/>
      <c r="BS61" s="849" t="s">
        <v>522</v>
      </c>
      <c r="BT61" s="825">
        <f>IF(OR(BT31="",BT31=0),0,7)</f>
        <v>0</v>
      </c>
      <c r="BU61" s="825">
        <f>IF(OR(BU31="",BU31=0),0,7)</f>
        <v>0</v>
      </c>
      <c r="BV61" s="825">
        <f>IF(OR(BV31="",BV31=0),0,7)</f>
        <v>0</v>
      </c>
      <c r="BW61" s="825">
        <f>IF(OR(BW31="",BW31=0),0,7)</f>
        <v>0</v>
      </c>
      <c r="BX61" s="192"/>
      <c r="BY61" s="192"/>
      <c r="BZ61" s="192"/>
      <c r="CA61" s="192"/>
      <c r="CB61" s="192"/>
      <c r="CC61" s="796" t="str">
        <f t="shared" si="19"/>
        <v>小日帰/身・療・精</v>
      </c>
      <c r="CD61" s="850">
        <f t="shared" si="20"/>
        <v>0</v>
      </c>
      <c r="CE61" s="796">
        <f>IF(OR(BU36="",BU36=0),0,65)</f>
        <v>0</v>
      </c>
      <c r="CF61" s="796">
        <v>110</v>
      </c>
      <c r="CG61" s="851">
        <v>65</v>
      </c>
      <c r="CH61" s="192"/>
      <c r="CI61" s="796"/>
      <c r="CJ61" s="796"/>
      <c r="CK61" s="192"/>
      <c r="CL61" s="192"/>
      <c r="CM61" s="192"/>
      <c r="CN61" s="192"/>
      <c r="CO61" s="192"/>
      <c r="CP61" s="192"/>
      <c r="CQ61" s="192"/>
      <c r="CR61" s="192"/>
      <c r="CS61" s="192"/>
      <c r="CT61" s="192"/>
      <c r="CU61" s="192"/>
      <c r="CV61" s="192"/>
      <c r="CW61" s="192"/>
      <c r="CX61" s="192"/>
      <c r="CY61" s="192"/>
    </row>
    <row r="62" spans="1:103" ht="24.95" customHeight="1">
      <c r="A62" s="326">
        <v>28</v>
      </c>
      <c r="B62" s="2021"/>
      <c r="C62" s="2022"/>
      <c r="D62" s="2022"/>
      <c r="E62" s="2022"/>
      <c r="F62" s="2022"/>
      <c r="G62" s="2023"/>
      <c r="H62" s="327"/>
      <c r="I62" s="328"/>
      <c r="J62" s="329"/>
      <c r="K62" s="2012"/>
      <c r="L62" s="2013"/>
      <c r="M62" s="2014"/>
      <c r="N62" s="331">
        <v>58</v>
      </c>
      <c r="O62" s="2021"/>
      <c r="P62" s="2022"/>
      <c r="Q62" s="2022"/>
      <c r="R62" s="2022"/>
      <c r="S62" s="2022"/>
      <c r="T62" s="2023"/>
      <c r="U62" s="327"/>
      <c r="V62" s="328"/>
      <c r="W62" s="329"/>
      <c r="X62" s="2012"/>
      <c r="Y62" s="2013"/>
      <c r="Z62" s="2014"/>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67">
        <v>50</v>
      </c>
      <c r="BB62" s="68">
        <f t="shared" si="16"/>
        <v>0</v>
      </c>
      <c r="BC62" s="192">
        <f t="shared" si="17"/>
        <v>0</v>
      </c>
      <c r="BD62" s="70">
        <f t="shared" si="18"/>
        <v>0</v>
      </c>
      <c r="BE62" s="70">
        <f t="shared" si="18"/>
        <v>0</v>
      </c>
      <c r="BF62" s="192"/>
      <c r="BG62" s="192"/>
      <c r="BH62" s="192" t="str">
        <f t="shared" si="21"/>
        <v/>
      </c>
      <c r="BI62" s="192" t="str">
        <f t="shared" si="25"/>
        <v/>
      </c>
      <c r="BJ62" s="192" t="str">
        <f t="shared" si="31"/>
        <v/>
      </c>
      <c r="BK62" s="192" t="str">
        <f t="shared" si="22"/>
        <v/>
      </c>
      <c r="BL62" s="825" t="str">
        <f t="shared" si="26"/>
        <v/>
      </c>
      <c r="BM62" s="825" t="str">
        <f t="shared" si="27"/>
        <v/>
      </c>
      <c r="BN62" s="825" t="str">
        <f t="shared" si="23"/>
        <v/>
      </c>
      <c r="BO62" s="825" t="str">
        <f t="shared" si="28"/>
        <v/>
      </c>
      <c r="BP62" s="825" t="str">
        <f t="shared" si="29"/>
        <v/>
      </c>
      <c r="BQ62" s="825" t="str">
        <f t="shared" si="30"/>
        <v/>
      </c>
      <c r="BR62" s="192"/>
      <c r="BS62" s="829" t="s">
        <v>523</v>
      </c>
      <c r="BT62" s="825">
        <f>IF(OR(BT32="",BT32=0),0,6)</f>
        <v>0</v>
      </c>
      <c r="BU62" s="825">
        <f>IF(OR(BU32="",BU32=0),0,6)</f>
        <v>0</v>
      </c>
      <c r="BV62" s="825">
        <f>IF(OR(BV32="",BV32=0),0,6)</f>
        <v>0</v>
      </c>
      <c r="BW62" s="825">
        <f>IF(OR(BW32="",BW32=0),0,6)</f>
        <v>0</v>
      </c>
      <c r="BX62" s="192"/>
      <c r="BY62" s="192"/>
      <c r="BZ62" s="192"/>
      <c r="CA62" s="192"/>
      <c r="CB62" s="192"/>
      <c r="CC62" s="796" t="str">
        <f t="shared" si="19"/>
        <v>小日帰/特・療・精</v>
      </c>
      <c r="CD62" s="850">
        <f t="shared" si="20"/>
        <v>0</v>
      </c>
      <c r="CE62" s="796">
        <f>IF(OR(BU37="",BU37=0),0,64)</f>
        <v>0</v>
      </c>
      <c r="CF62" s="796">
        <v>110</v>
      </c>
      <c r="CG62" s="851">
        <v>64</v>
      </c>
      <c r="CH62" s="192"/>
      <c r="CI62" s="796"/>
      <c r="CJ62" s="796"/>
      <c r="CK62" s="192"/>
      <c r="CL62" s="192"/>
      <c r="CM62" s="192"/>
      <c r="CN62" s="192"/>
      <c r="CO62" s="192"/>
      <c r="CP62" s="192"/>
      <c r="CQ62" s="192"/>
      <c r="CR62" s="192"/>
      <c r="CS62" s="192"/>
      <c r="CT62" s="192"/>
      <c r="CU62" s="192"/>
      <c r="CV62" s="192"/>
      <c r="CW62" s="192"/>
      <c r="CX62" s="192"/>
      <c r="CY62" s="192"/>
    </row>
    <row r="63" spans="1:103" ht="24.95" customHeight="1">
      <c r="A63" s="326">
        <v>29</v>
      </c>
      <c r="B63" s="2021"/>
      <c r="C63" s="2022"/>
      <c r="D63" s="2022"/>
      <c r="E63" s="2022"/>
      <c r="F63" s="2022"/>
      <c r="G63" s="2023"/>
      <c r="H63" s="327"/>
      <c r="I63" s="328"/>
      <c r="J63" s="329"/>
      <c r="K63" s="2012"/>
      <c r="L63" s="2013"/>
      <c r="M63" s="2014"/>
      <c r="N63" s="331">
        <v>59</v>
      </c>
      <c r="O63" s="2021"/>
      <c r="P63" s="2022"/>
      <c r="Q63" s="2022"/>
      <c r="R63" s="2022"/>
      <c r="S63" s="2022"/>
      <c r="T63" s="2023"/>
      <c r="U63" s="327"/>
      <c r="V63" s="328"/>
      <c r="W63" s="329"/>
      <c r="X63" s="2012"/>
      <c r="Y63" s="2013"/>
      <c r="Z63" s="2014"/>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67">
        <v>51</v>
      </c>
      <c r="BB63" s="68">
        <f t="shared" ref="BB63:BB92" si="33">COUNTA(U55:V55)</f>
        <v>0</v>
      </c>
      <c r="BC63" s="192">
        <f t="shared" ref="BC63:BC92" si="34">COUNTA(X55)</f>
        <v>0</v>
      </c>
      <c r="BD63" s="70">
        <f t="shared" ref="BD63:BE92" si="35">BB63-COUNTA(U55)</f>
        <v>0</v>
      </c>
      <c r="BE63" s="70">
        <f t="shared" si="35"/>
        <v>0</v>
      </c>
      <c r="BF63" s="192"/>
      <c r="BG63" s="192"/>
      <c r="BH63" s="192" t="str">
        <f t="shared" si="21"/>
        <v/>
      </c>
      <c r="BI63" s="192" t="str">
        <f t="shared" si="25"/>
        <v/>
      </c>
      <c r="BJ63" s="192" t="str">
        <f t="shared" si="31"/>
        <v/>
      </c>
      <c r="BK63" s="192" t="str">
        <f t="shared" si="22"/>
        <v/>
      </c>
      <c r="BL63" s="825" t="str">
        <f t="shared" si="26"/>
        <v/>
      </c>
      <c r="BM63" s="825" t="str">
        <f t="shared" si="27"/>
        <v/>
      </c>
      <c r="BN63" s="825" t="str">
        <f t="shared" si="23"/>
        <v/>
      </c>
      <c r="BO63" s="825" t="str">
        <f t="shared" si="28"/>
        <v/>
      </c>
      <c r="BP63" s="825" t="str">
        <f t="shared" si="29"/>
        <v/>
      </c>
      <c r="BQ63" s="825" t="str">
        <f t="shared" si="30"/>
        <v/>
      </c>
      <c r="BR63" s="192"/>
      <c r="BS63" s="829" t="s">
        <v>524</v>
      </c>
      <c r="BT63" s="825">
        <f>IF(OR(BT33="",BT33=0),0,5)</f>
        <v>0</v>
      </c>
      <c r="BU63" s="825">
        <f>IF(OR(BU33="",BU33=0),0,5)</f>
        <v>0</v>
      </c>
      <c r="BV63" s="825">
        <f>IF(OR(BV33="",BV33=0),0,5)</f>
        <v>0</v>
      </c>
      <c r="BW63" s="825">
        <f>IF(OR(BW33="",BW33=0),0,5)</f>
        <v>0</v>
      </c>
      <c r="BX63" s="192"/>
      <c r="BY63" s="192"/>
      <c r="BZ63" s="192"/>
      <c r="CA63" s="192"/>
      <c r="CB63" s="192"/>
      <c r="CC63" s="796" t="str">
        <f t="shared" ref="CC63:CC88" si="36">$BV$11&amp;BF12</f>
        <v>中泊/準</v>
      </c>
      <c r="CD63" s="839">
        <f>BV12</f>
        <v>0</v>
      </c>
      <c r="CE63" s="796">
        <f>IF(OR(BV12="",BV12=0),0,62)</f>
        <v>0</v>
      </c>
      <c r="CF63" s="796">
        <v>330</v>
      </c>
      <c r="CG63" s="854">
        <v>62</v>
      </c>
      <c r="CH63" s="192"/>
      <c r="CI63" s="796"/>
      <c r="CJ63" s="796"/>
      <c r="CK63" s="192"/>
      <c r="CL63" s="192"/>
      <c r="CM63" s="192"/>
      <c r="CN63" s="192"/>
      <c r="CO63" s="192"/>
      <c r="CP63" s="192"/>
      <c r="CQ63" s="192"/>
      <c r="CR63" s="192"/>
      <c r="CS63" s="192"/>
      <c r="CT63" s="192"/>
      <c r="CU63" s="192"/>
      <c r="CV63" s="192"/>
      <c r="CW63" s="192"/>
      <c r="CX63" s="192"/>
      <c r="CY63" s="192"/>
    </row>
    <row r="64" spans="1:103" ht="24.95" customHeight="1">
      <c r="A64" s="326">
        <v>30</v>
      </c>
      <c r="B64" s="2021"/>
      <c r="C64" s="2022"/>
      <c r="D64" s="2022"/>
      <c r="E64" s="2022"/>
      <c r="F64" s="2022"/>
      <c r="G64" s="2023"/>
      <c r="H64" s="327"/>
      <c r="I64" s="328"/>
      <c r="J64" s="329"/>
      <c r="K64" s="2012"/>
      <c r="L64" s="2013"/>
      <c r="M64" s="2014"/>
      <c r="N64" s="331">
        <v>60</v>
      </c>
      <c r="O64" s="2021"/>
      <c r="P64" s="2022"/>
      <c r="Q64" s="2022"/>
      <c r="R64" s="2022"/>
      <c r="S64" s="2022"/>
      <c r="T64" s="2023"/>
      <c r="U64" s="327"/>
      <c r="V64" s="328"/>
      <c r="W64" s="329"/>
      <c r="X64" s="2012"/>
      <c r="Y64" s="2013"/>
      <c r="Z64" s="2014"/>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67">
        <v>52</v>
      </c>
      <c r="BB64" s="68">
        <f t="shared" si="33"/>
        <v>0</v>
      </c>
      <c r="BC64" s="192">
        <f t="shared" si="34"/>
        <v>0</v>
      </c>
      <c r="BD64" s="70">
        <f t="shared" si="35"/>
        <v>0</v>
      </c>
      <c r="BE64" s="70">
        <f t="shared" si="35"/>
        <v>0</v>
      </c>
      <c r="BF64" s="192"/>
      <c r="BG64" s="192"/>
      <c r="BH64" s="192" t="str">
        <f t="shared" si="21"/>
        <v/>
      </c>
      <c r="BI64" s="192" t="str">
        <f t="shared" si="25"/>
        <v/>
      </c>
      <c r="BJ64" s="192" t="str">
        <f t="shared" si="31"/>
        <v/>
      </c>
      <c r="BK64" s="192" t="str">
        <f t="shared" si="22"/>
        <v/>
      </c>
      <c r="BL64" s="825" t="str">
        <f t="shared" si="26"/>
        <v/>
      </c>
      <c r="BM64" s="825" t="str">
        <f t="shared" si="27"/>
        <v/>
      </c>
      <c r="BN64" s="825" t="str">
        <f t="shared" si="23"/>
        <v/>
      </c>
      <c r="BO64" s="825" t="str">
        <f t="shared" si="28"/>
        <v/>
      </c>
      <c r="BP64" s="825" t="str">
        <f t="shared" si="29"/>
        <v/>
      </c>
      <c r="BQ64" s="825" t="str">
        <f t="shared" si="30"/>
        <v/>
      </c>
      <c r="BR64" s="192"/>
      <c r="BS64" s="829" t="s">
        <v>525</v>
      </c>
      <c r="BT64" s="825">
        <f>IF(OR(BT34="",BT34=0),0,4)</f>
        <v>0</v>
      </c>
      <c r="BU64" s="825">
        <f>IF(OR(BU34="",BU34=0),0,4)</f>
        <v>0</v>
      </c>
      <c r="BV64" s="825">
        <f>IF(OR(BV34="",BV34=0),0,4)</f>
        <v>0</v>
      </c>
      <c r="BW64" s="825">
        <f>IF(OR(BW34="",BW34=0),0,4)</f>
        <v>0</v>
      </c>
      <c r="BX64" s="192"/>
      <c r="BY64" s="192"/>
      <c r="BZ64" s="192"/>
      <c r="CA64" s="192"/>
      <c r="CB64" s="192"/>
      <c r="CC64" s="796" t="str">
        <f t="shared" si="36"/>
        <v>中泊/特</v>
      </c>
      <c r="CD64" s="839">
        <f t="shared" ref="CD64:CD88" si="37">BV13</f>
        <v>0</v>
      </c>
      <c r="CE64" s="796">
        <f>IF(OR(BV13="",BV13=0),0,61)</f>
        <v>0</v>
      </c>
      <c r="CF64" s="796">
        <v>330</v>
      </c>
      <c r="CG64" s="854">
        <v>61</v>
      </c>
      <c r="CH64" s="192"/>
      <c r="CI64" s="796"/>
      <c r="CJ64" s="796"/>
      <c r="CK64" s="192"/>
      <c r="CL64" s="192"/>
      <c r="CM64" s="192"/>
      <c r="CN64" s="192"/>
      <c r="CO64" s="192"/>
      <c r="CP64" s="192"/>
      <c r="CQ64" s="192"/>
      <c r="CR64" s="192"/>
      <c r="CS64" s="192"/>
      <c r="CT64" s="192"/>
      <c r="CU64" s="192"/>
      <c r="CV64" s="192"/>
      <c r="CW64" s="192"/>
      <c r="CX64" s="192"/>
      <c r="CY64" s="192"/>
    </row>
    <row r="65" spans="1:103" ht="24.95" customHeight="1">
      <c r="A65" s="326">
        <v>31</v>
      </c>
      <c r="B65" s="2021"/>
      <c r="C65" s="2022"/>
      <c r="D65" s="2022"/>
      <c r="E65" s="2022"/>
      <c r="F65" s="2022"/>
      <c r="G65" s="2023"/>
      <c r="H65" s="327"/>
      <c r="I65" s="328"/>
      <c r="J65" s="329"/>
      <c r="K65" s="2012"/>
      <c r="L65" s="2013"/>
      <c r="M65" s="2014"/>
      <c r="N65" s="331">
        <v>61</v>
      </c>
      <c r="O65" s="2021"/>
      <c r="P65" s="2022"/>
      <c r="Q65" s="2022"/>
      <c r="R65" s="2022"/>
      <c r="S65" s="2022"/>
      <c r="T65" s="2023"/>
      <c r="U65" s="327"/>
      <c r="V65" s="328"/>
      <c r="W65" s="329"/>
      <c r="X65" s="2012"/>
      <c r="Y65" s="2013"/>
      <c r="Z65" s="2014"/>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67">
        <v>53</v>
      </c>
      <c r="BB65" s="68">
        <f t="shared" si="33"/>
        <v>0</v>
      </c>
      <c r="BC65" s="192">
        <f t="shared" si="34"/>
        <v>0</v>
      </c>
      <c r="BD65" s="70">
        <f t="shared" si="35"/>
        <v>0</v>
      </c>
      <c r="BE65" s="70">
        <f t="shared" si="35"/>
        <v>0</v>
      </c>
      <c r="BF65" s="192"/>
      <c r="BG65" s="192"/>
      <c r="BH65" s="192" t="str">
        <f t="shared" si="21"/>
        <v/>
      </c>
      <c r="BI65" s="192" t="str">
        <f t="shared" si="25"/>
        <v/>
      </c>
      <c r="BJ65" s="192" t="str">
        <f t="shared" si="31"/>
        <v/>
      </c>
      <c r="BK65" s="192" t="str">
        <f t="shared" si="22"/>
        <v/>
      </c>
      <c r="BL65" s="825" t="str">
        <f t="shared" si="26"/>
        <v/>
      </c>
      <c r="BM65" s="825" t="str">
        <f t="shared" si="27"/>
        <v/>
      </c>
      <c r="BN65" s="825" t="str">
        <f t="shared" si="23"/>
        <v/>
      </c>
      <c r="BO65" s="825" t="str">
        <f t="shared" si="28"/>
        <v/>
      </c>
      <c r="BP65" s="825" t="str">
        <f t="shared" si="29"/>
        <v/>
      </c>
      <c r="BQ65" s="825" t="str">
        <f t="shared" si="30"/>
        <v/>
      </c>
      <c r="BR65" s="192"/>
      <c r="BS65" s="829" t="s">
        <v>526</v>
      </c>
      <c r="BT65" s="825">
        <f>IF(OR(BT35="",BT35=0),0,3)</f>
        <v>0</v>
      </c>
      <c r="BU65" s="825">
        <f>IF(OR(BU35="",BU35=0),0,3)</f>
        <v>0</v>
      </c>
      <c r="BV65" s="825">
        <f>IF(OR(BV35="",BV35=0),0,3)</f>
        <v>0</v>
      </c>
      <c r="BW65" s="825">
        <f>IF(OR(BW35="",BW35=0),0,3)</f>
        <v>0</v>
      </c>
      <c r="BX65" s="192"/>
      <c r="BY65" s="192"/>
      <c r="BZ65" s="192"/>
      <c r="CA65" s="192"/>
      <c r="CB65" s="192"/>
      <c r="CC65" s="796" t="str">
        <f t="shared" si="36"/>
        <v>中泊/身</v>
      </c>
      <c r="CD65" s="839">
        <f t="shared" si="37"/>
        <v>0</v>
      </c>
      <c r="CE65" s="796">
        <f>IF(OR(BV14="",BV14=0),0,60)</f>
        <v>0</v>
      </c>
      <c r="CF65" s="796">
        <v>330</v>
      </c>
      <c r="CG65" s="854">
        <v>60</v>
      </c>
      <c r="CH65" s="192"/>
      <c r="CI65" s="796"/>
      <c r="CJ65" s="796"/>
      <c r="CK65" s="192"/>
      <c r="CL65" s="192"/>
      <c r="CM65" s="192"/>
      <c r="CN65" s="192"/>
      <c r="CO65" s="192"/>
      <c r="CP65" s="192"/>
      <c r="CQ65" s="192"/>
      <c r="CR65" s="192"/>
      <c r="CS65" s="192"/>
      <c r="CT65" s="192"/>
      <c r="CU65" s="192"/>
      <c r="CV65" s="192"/>
      <c r="CW65" s="192"/>
      <c r="CX65" s="192"/>
      <c r="CY65" s="192"/>
    </row>
    <row r="66" spans="1:103" ht="24.95" customHeight="1">
      <c r="A66" s="326">
        <v>32</v>
      </c>
      <c r="B66" s="2021"/>
      <c r="C66" s="2022"/>
      <c r="D66" s="2022"/>
      <c r="E66" s="2022"/>
      <c r="F66" s="2022"/>
      <c r="G66" s="2023"/>
      <c r="H66" s="327"/>
      <c r="I66" s="328"/>
      <c r="J66" s="329"/>
      <c r="K66" s="2012"/>
      <c r="L66" s="2013"/>
      <c r="M66" s="2014"/>
      <c r="N66" s="331">
        <v>62</v>
      </c>
      <c r="O66" s="2021"/>
      <c r="P66" s="2022"/>
      <c r="Q66" s="2022"/>
      <c r="R66" s="2022"/>
      <c r="S66" s="2022"/>
      <c r="T66" s="2023"/>
      <c r="U66" s="327"/>
      <c r="V66" s="328"/>
      <c r="W66" s="329"/>
      <c r="X66" s="2012"/>
      <c r="Y66" s="2013"/>
      <c r="Z66" s="2014"/>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67">
        <v>54</v>
      </c>
      <c r="BB66" s="68">
        <f t="shared" si="33"/>
        <v>0</v>
      </c>
      <c r="BC66" s="192">
        <f t="shared" si="34"/>
        <v>0</v>
      </c>
      <c r="BD66" s="70">
        <f t="shared" si="35"/>
        <v>0</v>
      </c>
      <c r="BE66" s="70">
        <f t="shared" si="35"/>
        <v>0</v>
      </c>
      <c r="BF66" s="192"/>
      <c r="BG66" s="192"/>
      <c r="BH66" s="192" t="str">
        <f t="shared" si="21"/>
        <v/>
      </c>
      <c r="BI66" s="192" t="str">
        <f t="shared" si="25"/>
        <v/>
      </c>
      <c r="BJ66" s="192" t="str">
        <f t="shared" si="31"/>
        <v/>
      </c>
      <c r="BK66" s="192" t="str">
        <f t="shared" si="22"/>
        <v/>
      </c>
      <c r="BL66" s="825" t="str">
        <f t="shared" si="26"/>
        <v/>
      </c>
      <c r="BM66" s="825" t="str">
        <f t="shared" si="27"/>
        <v/>
      </c>
      <c r="BN66" s="825" t="str">
        <f t="shared" si="23"/>
        <v/>
      </c>
      <c r="BO66" s="825" t="str">
        <f t="shared" si="28"/>
        <v/>
      </c>
      <c r="BP66" s="825" t="str">
        <f t="shared" si="29"/>
        <v/>
      </c>
      <c r="BQ66" s="825" t="str">
        <f t="shared" si="30"/>
        <v/>
      </c>
      <c r="BR66" s="192"/>
      <c r="BS66" s="829" t="s">
        <v>527</v>
      </c>
      <c r="BT66" s="825">
        <f>IF(OR(BT36="",BT36=0),0,2)</f>
        <v>0</v>
      </c>
      <c r="BU66" s="825">
        <f>IF(OR(BU36="",BU36=0),0,2)</f>
        <v>0</v>
      </c>
      <c r="BV66" s="825">
        <f>IF(OR(BV36="",BV36=0),0,2)</f>
        <v>0</v>
      </c>
      <c r="BW66" s="825">
        <f>IF(OR(BW36="",BW36=0),0,2)</f>
        <v>0</v>
      </c>
      <c r="BX66" s="192"/>
      <c r="BY66" s="192"/>
      <c r="BZ66" s="192"/>
      <c r="CA66" s="192"/>
      <c r="CB66" s="192"/>
      <c r="CC66" s="796" t="str">
        <f t="shared" si="36"/>
        <v>中泊/療</v>
      </c>
      <c r="CD66" s="839">
        <f t="shared" si="37"/>
        <v>0</v>
      </c>
      <c r="CE66" s="796">
        <f>IF(OR(BV15="",BV15=0),0,59)</f>
        <v>0</v>
      </c>
      <c r="CF66" s="796">
        <v>330</v>
      </c>
      <c r="CG66" s="854">
        <v>59</v>
      </c>
      <c r="CH66" s="192"/>
      <c r="CI66" s="796"/>
      <c r="CJ66" s="796"/>
      <c r="CK66" s="192"/>
      <c r="CL66" s="192"/>
      <c r="CM66" s="192"/>
      <c r="CN66" s="192"/>
      <c r="CO66" s="192"/>
      <c r="CP66" s="192"/>
      <c r="CQ66" s="192"/>
      <c r="CR66" s="192"/>
      <c r="CS66" s="192"/>
      <c r="CT66" s="192"/>
      <c r="CU66" s="192"/>
      <c r="CV66" s="192"/>
      <c r="CW66" s="192"/>
      <c r="CX66" s="192"/>
      <c r="CY66" s="192"/>
    </row>
    <row r="67" spans="1:103" ht="24.95" customHeight="1">
      <c r="A67" s="326">
        <v>33</v>
      </c>
      <c r="B67" s="2021"/>
      <c r="C67" s="2022"/>
      <c r="D67" s="2022"/>
      <c r="E67" s="2022"/>
      <c r="F67" s="2022"/>
      <c r="G67" s="2023"/>
      <c r="H67" s="327"/>
      <c r="I67" s="328"/>
      <c r="J67" s="329"/>
      <c r="K67" s="2012"/>
      <c r="L67" s="2013"/>
      <c r="M67" s="2014"/>
      <c r="N67" s="331">
        <v>63</v>
      </c>
      <c r="O67" s="2021"/>
      <c r="P67" s="2022"/>
      <c r="Q67" s="2022"/>
      <c r="R67" s="2022"/>
      <c r="S67" s="2022"/>
      <c r="T67" s="2023"/>
      <c r="U67" s="327"/>
      <c r="V67" s="328"/>
      <c r="W67" s="329"/>
      <c r="X67" s="2012"/>
      <c r="Y67" s="2013"/>
      <c r="Z67" s="2014"/>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7">
        <v>55</v>
      </c>
      <c r="BB67" s="68">
        <f t="shared" si="33"/>
        <v>0</v>
      </c>
      <c r="BC67" s="192">
        <f t="shared" si="34"/>
        <v>0</v>
      </c>
      <c r="BD67" s="70">
        <f t="shared" si="35"/>
        <v>0</v>
      </c>
      <c r="BE67" s="70">
        <f t="shared" si="35"/>
        <v>0</v>
      </c>
      <c r="BF67" s="192"/>
      <c r="BG67" s="192"/>
      <c r="BH67" s="192" t="str">
        <f t="shared" si="21"/>
        <v/>
      </c>
      <c r="BI67" s="192" t="str">
        <f t="shared" si="25"/>
        <v/>
      </c>
      <c r="BJ67" s="192" t="str">
        <f t="shared" si="31"/>
        <v/>
      </c>
      <c r="BK67" s="192" t="str">
        <f t="shared" si="22"/>
        <v/>
      </c>
      <c r="BL67" s="825" t="str">
        <f t="shared" si="26"/>
        <v/>
      </c>
      <c r="BM67" s="825" t="str">
        <f t="shared" si="27"/>
        <v/>
      </c>
      <c r="BN67" s="825" t="str">
        <f t="shared" si="23"/>
        <v/>
      </c>
      <c r="BO67" s="825" t="str">
        <f t="shared" si="28"/>
        <v/>
      </c>
      <c r="BP67" s="825" t="str">
        <f t="shared" si="29"/>
        <v/>
      </c>
      <c r="BQ67" s="825" t="str">
        <f t="shared" si="30"/>
        <v/>
      </c>
      <c r="BR67" s="192"/>
      <c r="BS67" s="829" t="s">
        <v>544</v>
      </c>
      <c r="BT67" s="825">
        <f>IF(OR(BT37="",BT37=0),0,1)</f>
        <v>0</v>
      </c>
      <c r="BU67" s="825">
        <f>IF(OR(BU37="",BU37=0),0,1)</f>
        <v>0</v>
      </c>
      <c r="BV67" s="825">
        <f>IF(OR(BV37="",BV37=0),0,1)</f>
        <v>0</v>
      </c>
      <c r="BW67" s="825">
        <f>IF(OR(BW37="",BW37=0),0,1)</f>
        <v>0</v>
      </c>
      <c r="BX67" s="192"/>
      <c r="BY67" s="192"/>
      <c r="BZ67" s="192"/>
      <c r="CA67" s="192"/>
      <c r="CB67" s="192"/>
      <c r="CC67" s="796" t="str">
        <f t="shared" si="36"/>
        <v>中泊/精</v>
      </c>
      <c r="CD67" s="839">
        <f t="shared" si="37"/>
        <v>0</v>
      </c>
      <c r="CE67" s="796">
        <f>IF(OR(BV16="",BV16=0),0,58)</f>
        <v>0</v>
      </c>
      <c r="CF67" s="796">
        <v>330</v>
      </c>
      <c r="CG67" s="854">
        <v>58</v>
      </c>
      <c r="CH67" s="192"/>
      <c r="CI67" s="796"/>
      <c r="CJ67" s="796"/>
      <c r="CK67" s="192"/>
      <c r="CL67" s="192"/>
      <c r="CM67" s="192"/>
      <c r="CN67" s="192"/>
      <c r="CO67" s="192"/>
      <c r="CP67" s="192"/>
      <c r="CQ67" s="192"/>
      <c r="CR67" s="192"/>
      <c r="CS67" s="192"/>
      <c r="CT67" s="192"/>
      <c r="CU67" s="192"/>
      <c r="CV67" s="192"/>
      <c r="CW67" s="192"/>
      <c r="CX67" s="192"/>
      <c r="CY67" s="192"/>
    </row>
    <row r="68" spans="1:103" ht="24.95" customHeight="1">
      <c r="A68" s="326">
        <v>34</v>
      </c>
      <c r="B68" s="2021"/>
      <c r="C68" s="2022"/>
      <c r="D68" s="2022"/>
      <c r="E68" s="2022"/>
      <c r="F68" s="2022"/>
      <c r="G68" s="2023"/>
      <c r="H68" s="327"/>
      <c r="I68" s="328"/>
      <c r="J68" s="329"/>
      <c r="K68" s="2012"/>
      <c r="L68" s="2013"/>
      <c r="M68" s="2014"/>
      <c r="N68" s="331">
        <v>64</v>
      </c>
      <c r="O68" s="2021"/>
      <c r="P68" s="2022"/>
      <c r="Q68" s="2022"/>
      <c r="R68" s="2022"/>
      <c r="S68" s="2022"/>
      <c r="T68" s="2023"/>
      <c r="U68" s="327"/>
      <c r="V68" s="328"/>
      <c r="W68" s="329"/>
      <c r="X68" s="2012"/>
      <c r="Y68" s="2013"/>
      <c r="Z68" s="2014"/>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7">
        <v>56</v>
      </c>
      <c r="BB68" s="68">
        <f t="shared" si="33"/>
        <v>0</v>
      </c>
      <c r="BC68" s="192">
        <f t="shared" si="34"/>
        <v>0</v>
      </c>
      <c r="BD68" s="70">
        <f t="shared" si="35"/>
        <v>0</v>
      </c>
      <c r="BE68" s="70">
        <f t="shared" si="35"/>
        <v>0</v>
      </c>
      <c r="BF68" s="192"/>
      <c r="BG68" s="192"/>
      <c r="BH68" s="192" t="str">
        <f t="shared" si="21"/>
        <v/>
      </c>
      <c r="BI68" s="192" t="str">
        <f t="shared" si="25"/>
        <v/>
      </c>
      <c r="BJ68" s="192" t="str">
        <f t="shared" si="31"/>
        <v/>
      </c>
      <c r="BK68" s="192" t="str">
        <f t="shared" si="22"/>
        <v/>
      </c>
      <c r="BL68" s="825" t="str">
        <f t="shared" si="26"/>
        <v/>
      </c>
      <c r="BM68" s="825" t="str">
        <f t="shared" si="27"/>
        <v/>
      </c>
      <c r="BN68" s="825" t="str">
        <f t="shared" si="23"/>
        <v/>
      </c>
      <c r="BO68" s="825" t="str">
        <f t="shared" si="28"/>
        <v/>
      </c>
      <c r="BP68" s="825" t="str">
        <f t="shared" si="29"/>
        <v/>
      </c>
      <c r="BQ68" s="825" t="str">
        <f t="shared" si="30"/>
        <v/>
      </c>
      <c r="BR68" s="192"/>
      <c r="BS68" s="829" t="s">
        <v>1846</v>
      </c>
      <c r="BT68" s="192"/>
      <c r="BU68" s="192"/>
      <c r="BV68" s="192"/>
      <c r="BW68" s="192"/>
      <c r="BX68" s="192"/>
      <c r="BY68" s="192"/>
      <c r="BZ68" s="192"/>
      <c r="CA68" s="192"/>
      <c r="CB68" s="192"/>
      <c r="CC68" s="796" t="str">
        <f t="shared" si="36"/>
        <v>中泊/介添</v>
      </c>
      <c r="CD68" s="839">
        <f t="shared" si="37"/>
        <v>0</v>
      </c>
      <c r="CE68" s="796">
        <f>IF(OR(BV17="",BV17=0),0,57)</f>
        <v>0</v>
      </c>
      <c r="CF68" s="796">
        <v>330</v>
      </c>
      <c r="CG68" s="854">
        <v>57</v>
      </c>
      <c r="CH68" s="192"/>
      <c r="CI68" s="796"/>
      <c r="CJ68" s="796"/>
      <c r="CK68" s="192"/>
      <c r="CL68" s="192"/>
      <c r="CM68" s="192"/>
      <c r="CN68" s="192"/>
      <c r="CO68" s="192"/>
      <c r="CP68" s="192"/>
      <c r="CQ68" s="192"/>
      <c r="CR68" s="192"/>
      <c r="CS68" s="192"/>
      <c r="CT68" s="192"/>
      <c r="CU68" s="192"/>
      <c r="CV68" s="192"/>
      <c r="CW68" s="192"/>
      <c r="CX68" s="192"/>
      <c r="CY68" s="192"/>
    </row>
    <row r="69" spans="1:103" ht="24.95" customHeight="1">
      <c r="A69" s="326">
        <v>35</v>
      </c>
      <c r="B69" s="2021"/>
      <c r="C69" s="2022"/>
      <c r="D69" s="2022"/>
      <c r="E69" s="2022"/>
      <c r="F69" s="2022"/>
      <c r="G69" s="2023"/>
      <c r="H69" s="327"/>
      <c r="I69" s="328"/>
      <c r="J69" s="329"/>
      <c r="K69" s="2012"/>
      <c r="L69" s="2013"/>
      <c r="M69" s="2014"/>
      <c r="N69" s="331">
        <v>65</v>
      </c>
      <c r="O69" s="2021"/>
      <c r="P69" s="2022"/>
      <c r="Q69" s="2022"/>
      <c r="R69" s="2022"/>
      <c r="S69" s="2022"/>
      <c r="T69" s="2023"/>
      <c r="U69" s="327"/>
      <c r="V69" s="328"/>
      <c r="W69" s="329"/>
      <c r="X69" s="2012"/>
      <c r="Y69" s="2013"/>
      <c r="Z69" s="2014"/>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7">
        <v>57</v>
      </c>
      <c r="BB69" s="68">
        <f t="shared" si="33"/>
        <v>0</v>
      </c>
      <c r="BC69" s="192">
        <f t="shared" si="34"/>
        <v>0</v>
      </c>
      <c r="BD69" s="70">
        <f t="shared" si="35"/>
        <v>0</v>
      </c>
      <c r="BE69" s="70">
        <f t="shared" si="35"/>
        <v>0</v>
      </c>
      <c r="BF69" s="192"/>
      <c r="BG69" s="192"/>
      <c r="BH69" s="192" t="str">
        <f t="shared" si="21"/>
        <v/>
      </c>
      <c r="BI69" s="192" t="str">
        <f t="shared" si="25"/>
        <v/>
      </c>
      <c r="BJ69" s="192" t="str">
        <f t="shared" si="31"/>
        <v/>
      </c>
      <c r="BK69" s="192" t="str">
        <f t="shared" si="22"/>
        <v/>
      </c>
      <c r="BL69" s="825" t="str">
        <f t="shared" si="26"/>
        <v/>
      </c>
      <c r="BM69" s="825" t="str">
        <f t="shared" si="27"/>
        <v/>
      </c>
      <c r="BN69" s="825" t="str">
        <f t="shared" si="23"/>
        <v/>
      </c>
      <c r="BO69" s="825" t="str">
        <f t="shared" si="28"/>
        <v/>
      </c>
      <c r="BP69" s="825" t="str">
        <f t="shared" si="29"/>
        <v/>
      </c>
      <c r="BQ69" s="825" t="str">
        <f t="shared" si="30"/>
        <v/>
      </c>
      <c r="BR69" s="192"/>
      <c r="BS69" s="192"/>
      <c r="BT69" s="192"/>
      <c r="BU69" s="192"/>
      <c r="BV69" s="192"/>
      <c r="BW69" s="192"/>
      <c r="BX69" s="192"/>
      <c r="BY69" s="192"/>
      <c r="BZ69" s="192"/>
      <c r="CA69" s="192"/>
      <c r="CB69" s="192"/>
      <c r="CC69" s="796" t="str">
        <f t="shared" si="36"/>
        <v>中泊/準・特</v>
      </c>
      <c r="CD69" s="839">
        <f t="shared" si="37"/>
        <v>0</v>
      </c>
      <c r="CE69" s="796">
        <f>IF(OR(BV18="",BV18=0),0,56)</f>
        <v>0</v>
      </c>
      <c r="CF69" s="796">
        <v>330</v>
      </c>
      <c r="CG69" s="854">
        <v>56</v>
      </c>
      <c r="CH69" s="192"/>
      <c r="CI69" s="796"/>
      <c r="CJ69" s="796"/>
      <c r="CK69" s="192"/>
      <c r="CL69" s="192"/>
      <c r="CM69" s="192"/>
      <c r="CN69" s="192"/>
      <c r="CO69" s="192"/>
      <c r="CP69" s="192"/>
      <c r="CQ69" s="192"/>
      <c r="CR69" s="192"/>
      <c r="CS69" s="192"/>
      <c r="CT69" s="192"/>
      <c r="CU69" s="192"/>
      <c r="CV69" s="192"/>
      <c r="CW69" s="192"/>
      <c r="CX69" s="192"/>
      <c r="CY69" s="192"/>
    </row>
    <row r="70" spans="1:103" ht="24.95" customHeight="1">
      <c r="A70" s="326">
        <v>36</v>
      </c>
      <c r="B70" s="2021"/>
      <c r="C70" s="2022"/>
      <c r="D70" s="2022"/>
      <c r="E70" s="2022"/>
      <c r="F70" s="2022"/>
      <c r="G70" s="2023"/>
      <c r="H70" s="327"/>
      <c r="I70" s="328"/>
      <c r="J70" s="329"/>
      <c r="K70" s="2012"/>
      <c r="L70" s="2013"/>
      <c r="M70" s="2014"/>
      <c r="N70" s="331">
        <v>66</v>
      </c>
      <c r="O70" s="2021"/>
      <c r="P70" s="2022"/>
      <c r="Q70" s="2022"/>
      <c r="R70" s="2022"/>
      <c r="S70" s="2022"/>
      <c r="T70" s="2023"/>
      <c r="U70" s="327"/>
      <c r="V70" s="328"/>
      <c r="W70" s="329"/>
      <c r="X70" s="2012"/>
      <c r="Y70" s="2013"/>
      <c r="Z70" s="2014"/>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7">
        <v>58</v>
      </c>
      <c r="BB70" s="68">
        <f t="shared" si="33"/>
        <v>0</v>
      </c>
      <c r="BC70" s="192">
        <f t="shared" si="34"/>
        <v>0</v>
      </c>
      <c r="BD70" s="70">
        <f t="shared" si="35"/>
        <v>0</v>
      </c>
      <c r="BE70" s="70">
        <f t="shared" si="35"/>
        <v>0</v>
      </c>
      <c r="BF70" s="855" t="s">
        <v>1381</v>
      </c>
      <c r="BG70" s="64">
        <f>COUNTIFS(BF40:BQ69,"2一")*2</f>
        <v>0</v>
      </c>
      <c r="BH70" s="855" t="s">
        <v>1393</v>
      </c>
      <c r="BI70" s="64">
        <f>COUNTIFS(BF40:BQ69,"2一介添")</f>
        <v>0</v>
      </c>
      <c r="BJ70" s="855" t="s">
        <v>1380</v>
      </c>
      <c r="BK70" s="192">
        <f>COUNTIFS(BF40:BQ69,"2一")</f>
        <v>0</v>
      </c>
      <c r="BL70" s="192"/>
      <c r="BM70" s="192"/>
      <c r="BN70" s="192"/>
      <c r="BO70" s="192"/>
      <c r="BP70" s="192"/>
      <c r="BQ70" s="192"/>
      <c r="BR70" s="192"/>
      <c r="BS70" s="192"/>
      <c r="BT70" s="192"/>
      <c r="BU70" s="192"/>
      <c r="BV70" s="192"/>
      <c r="BW70" s="192"/>
      <c r="BX70" s="192"/>
      <c r="BY70" s="192"/>
      <c r="BZ70" s="192"/>
      <c r="CA70" s="192"/>
      <c r="CB70" s="192"/>
      <c r="CC70" s="796" t="str">
        <f t="shared" si="36"/>
        <v>中泊/準・身</v>
      </c>
      <c r="CD70" s="839">
        <f t="shared" si="37"/>
        <v>0</v>
      </c>
      <c r="CE70" s="796">
        <f>IF(OR(BV19="",BV19=0),0,55)</f>
        <v>0</v>
      </c>
      <c r="CF70" s="796">
        <v>330</v>
      </c>
      <c r="CG70" s="854">
        <v>55</v>
      </c>
      <c r="CH70" s="192"/>
      <c r="CI70" s="796"/>
      <c r="CJ70" s="796"/>
      <c r="CK70" s="192"/>
      <c r="CL70" s="192"/>
      <c r="CM70" s="192"/>
      <c r="CN70" s="192"/>
      <c r="CO70" s="192"/>
      <c r="CP70" s="192"/>
      <c r="CQ70" s="192"/>
      <c r="CR70" s="192"/>
      <c r="CS70" s="192"/>
      <c r="CT70" s="192"/>
      <c r="CU70" s="192"/>
      <c r="CV70" s="192"/>
      <c r="CW70" s="192"/>
      <c r="CX70" s="192"/>
      <c r="CY70" s="192"/>
    </row>
    <row r="71" spans="1:103" ht="24.95" customHeight="1">
      <c r="A71" s="326">
        <v>37</v>
      </c>
      <c r="B71" s="2021"/>
      <c r="C71" s="2022"/>
      <c r="D71" s="2022"/>
      <c r="E71" s="2022"/>
      <c r="F71" s="2022"/>
      <c r="G71" s="2023"/>
      <c r="H71" s="327"/>
      <c r="I71" s="328"/>
      <c r="J71" s="329"/>
      <c r="K71" s="2012"/>
      <c r="L71" s="2013"/>
      <c r="M71" s="2014"/>
      <c r="N71" s="331">
        <v>67</v>
      </c>
      <c r="O71" s="2021"/>
      <c r="P71" s="2022"/>
      <c r="Q71" s="2022"/>
      <c r="R71" s="2022"/>
      <c r="S71" s="2022"/>
      <c r="T71" s="2023"/>
      <c r="U71" s="327"/>
      <c r="V71" s="328"/>
      <c r="W71" s="329"/>
      <c r="X71" s="2012"/>
      <c r="Y71" s="2013"/>
      <c r="Z71" s="2014"/>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7">
        <v>59</v>
      </c>
      <c r="BB71" s="68">
        <f t="shared" si="33"/>
        <v>0</v>
      </c>
      <c r="BC71" s="192">
        <f t="shared" si="34"/>
        <v>0</v>
      </c>
      <c r="BD71" s="70">
        <f t="shared" si="35"/>
        <v>0</v>
      </c>
      <c r="BE71" s="70">
        <f t="shared" si="35"/>
        <v>0</v>
      </c>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796" t="str">
        <f t="shared" si="36"/>
        <v>中泊/準・療</v>
      </c>
      <c r="CD71" s="839">
        <f t="shared" si="37"/>
        <v>0</v>
      </c>
      <c r="CE71" s="796">
        <f>IF(OR(BV20="",BV20=0),0,54)</f>
        <v>0</v>
      </c>
      <c r="CF71" s="796">
        <v>330</v>
      </c>
      <c r="CG71" s="854">
        <v>54</v>
      </c>
      <c r="CH71" s="192"/>
      <c r="CI71" s="796"/>
      <c r="CJ71" s="796"/>
      <c r="CK71" s="192"/>
      <c r="CL71" s="192"/>
      <c r="CM71" s="192"/>
      <c r="CN71" s="192"/>
      <c r="CO71" s="192"/>
      <c r="CP71" s="192"/>
      <c r="CQ71" s="192"/>
      <c r="CR71" s="192"/>
      <c r="CS71" s="192"/>
      <c r="CT71" s="192"/>
      <c r="CU71" s="192"/>
      <c r="CV71" s="192"/>
      <c r="CW71" s="192"/>
      <c r="CX71" s="192"/>
      <c r="CY71" s="192"/>
    </row>
    <row r="72" spans="1:103" ht="24.95" customHeight="1">
      <c r="A72" s="326">
        <v>38</v>
      </c>
      <c r="B72" s="2021"/>
      <c r="C72" s="2022"/>
      <c r="D72" s="2022"/>
      <c r="E72" s="2022"/>
      <c r="F72" s="2022"/>
      <c r="G72" s="2023"/>
      <c r="H72" s="327"/>
      <c r="I72" s="328"/>
      <c r="J72" s="329"/>
      <c r="K72" s="2012"/>
      <c r="L72" s="2013"/>
      <c r="M72" s="2014"/>
      <c r="N72" s="331">
        <v>68</v>
      </c>
      <c r="O72" s="2021"/>
      <c r="P72" s="2022"/>
      <c r="Q72" s="2022"/>
      <c r="R72" s="2022"/>
      <c r="S72" s="2022"/>
      <c r="T72" s="2023"/>
      <c r="U72" s="327"/>
      <c r="V72" s="328"/>
      <c r="W72" s="329"/>
      <c r="X72" s="2012"/>
      <c r="Y72" s="2013"/>
      <c r="Z72" s="2014"/>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7">
        <v>60</v>
      </c>
      <c r="BB72" s="68">
        <f t="shared" si="33"/>
        <v>0</v>
      </c>
      <c r="BC72" s="192">
        <f t="shared" si="34"/>
        <v>0</v>
      </c>
      <c r="BD72" s="70">
        <f t="shared" si="35"/>
        <v>0</v>
      </c>
      <c r="BE72" s="70">
        <f t="shared" si="35"/>
        <v>0</v>
      </c>
      <c r="BF72" s="1989" t="s">
        <v>1872</v>
      </c>
      <c r="BG72" s="1989"/>
      <c r="BH72" s="1989"/>
      <c r="BI72" s="1989"/>
      <c r="BJ72" s="1989"/>
      <c r="BK72" s="1989"/>
      <c r="BL72" s="1989"/>
      <c r="BM72" s="1989"/>
      <c r="BN72" s="1989"/>
      <c r="BO72" s="192"/>
      <c r="BP72" s="192"/>
      <c r="BQ72" s="192"/>
      <c r="BR72" s="192"/>
      <c r="BS72" s="192"/>
      <c r="BT72" s="192"/>
      <c r="BU72" s="192"/>
      <c r="BV72" s="192"/>
      <c r="BW72" s="192"/>
      <c r="BX72" s="192"/>
      <c r="BY72" s="192"/>
      <c r="BZ72" s="192"/>
      <c r="CA72" s="192"/>
      <c r="CB72" s="192"/>
      <c r="CC72" s="796" t="str">
        <f t="shared" si="36"/>
        <v>中泊/準・精</v>
      </c>
      <c r="CD72" s="839">
        <f t="shared" si="37"/>
        <v>0</v>
      </c>
      <c r="CE72" s="796">
        <f>IF(OR(BV21="",BV21=0),0,53)</f>
        <v>0</v>
      </c>
      <c r="CF72" s="796">
        <v>330</v>
      </c>
      <c r="CG72" s="854">
        <v>53</v>
      </c>
      <c r="CH72" s="192"/>
      <c r="CI72" s="796"/>
      <c r="CJ72" s="796"/>
      <c r="CK72" s="192"/>
      <c r="CL72" s="192"/>
      <c r="CM72" s="192"/>
      <c r="CN72" s="192"/>
      <c r="CO72" s="192"/>
      <c r="CP72" s="192"/>
      <c r="CQ72" s="192"/>
      <c r="CR72" s="192"/>
      <c r="CS72" s="192"/>
      <c r="CT72" s="192"/>
      <c r="CU72" s="192"/>
      <c r="CV72" s="192"/>
      <c r="CW72" s="192"/>
      <c r="CX72" s="192"/>
      <c r="CY72" s="192"/>
    </row>
    <row r="73" spans="1:103" ht="24.95" customHeight="1">
      <c r="A73" s="326">
        <v>39</v>
      </c>
      <c r="B73" s="2021"/>
      <c r="C73" s="2022"/>
      <c r="D73" s="2022"/>
      <c r="E73" s="2022"/>
      <c r="F73" s="2022"/>
      <c r="G73" s="2023"/>
      <c r="H73" s="327"/>
      <c r="I73" s="328"/>
      <c r="J73" s="329"/>
      <c r="K73" s="2012"/>
      <c r="L73" s="2013"/>
      <c r="M73" s="2014"/>
      <c r="N73" s="331">
        <v>69</v>
      </c>
      <c r="O73" s="2021"/>
      <c r="P73" s="2022"/>
      <c r="Q73" s="2022"/>
      <c r="R73" s="2022"/>
      <c r="S73" s="2022"/>
      <c r="T73" s="2023"/>
      <c r="U73" s="327"/>
      <c r="V73" s="328"/>
      <c r="W73" s="329"/>
      <c r="X73" s="2012"/>
      <c r="Y73" s="2013"/>
      <c r="Z73" s="2014"/>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7">
        <v>61</v>
      </c>
      <c r="BB73" s="68">
        <f t="shared" si="33"/>
        <v>0</v>
      </c>
      <c r="BC73" s="192">
        <f t="shared" si="34"/>
        <v>0</v>
      </c>
      <c r="BD73" s="70">
        <f t="shared" si="35"/>
        <v>0</v>
      </c>
      <c r="BE73" s="70">
        <f t="shared" si="35"/>
        <v>0</v>
      </c>
      <c r="BF73" s="796" t="s">
        <v>1363</v>
      </c>
      <c r="BG73" s="624" t="s">
        <v>1868</v>
      </c>
      <c r="BH73" s="796" t="s">
        <v>1838</v>
      </c>
      <c r="BI73" s="796" t="s">
        <v>1869</v>
      </c>
      <c r="BJ73" s="624" t="s">
        <v>1841</v>
      </c>
      <c r="BK73" s="624" t="s">
        <v>1870</v>
      </c>
      <c r="BL73" s="624" t="s">
        <v>1852</v>
      </c>
      <c r="BM73" s="624" t="s">
        <v>1871</v>
      </c>
      <c r="BN73" s="624" t="s">
        <v>1853</v>
      </c>
      <c r="BO73" s="624"/>
      <c r="BP73" s="624"/>
      <c r="BQ73" s="796"/>
      <c r="BR73" s="192"/>
      <c r="BS73" s="192"/>
      <c r="BT73" s="192"/>
      <c r="BU73" s="192"/>
      <c r="BV73" s="192"/>
      <c r="BW73" s="192"/>
      <c r="BX73" s="192"/>
      <c r="BY73" s="192"/>
      <c r="BZ73" s="192"/>
      <c r="CA73" s="192"/>
      <c r="CB73" s="192"/>
      <c r="CC73" s="796" t="str">
        <f t="shared" si="36"/>
        <v>中泊/特・身</v>
      </c>
      <c r="CD73" s="839">
        <f t="shared" si="37"/>
        <v>0</v>
      </c>
      <c r="CE73" s="796">
        <f>IF(OR(BV22="",BV22=0),0,52)</f>
        <v>0</v>
      </c>
      <c r="CF73" s="796">
        <v>330</v>
      </c>
      <c r="CG73" s="854">
        <v>52</v>
      </c>
      <c r="CH73" s="192"/>
      <c r="CI73" s="796"/>
      <c r="CJ73" s="796"/>
      <c r="CK73" s="192"/>
      <c r="CL73" s="192"/>
      <c r="CM73" s="192"/>
      <c r="CN73" s="192"/>
      <c r="CO73" s="192"/>
      <c r="CP73" s="192"/>
      <c r="CQ73" s="192"/>
      <c r="CR73" s="192"/>
      <c r="CS73" s="192"/>
      <c r="CT73" s="192"/>
      <c r="CU73" s="192"/>
      <c r="CV73" s="192"/>
      <c r="CW73" s="192"/>
      <c r="CX73" s="192"/>
      <c r="CY73" s="192"/>
    </row>
    <row r="74" spans="1:103" ht="24.95" customHeight="1">
      <c r="A74" s="326">
        <v>40</v>
      </c>
      <c r="B74" s="2021"/>
      <c r="C74" s="2022"/>
      <c r="D74" s="2022"/>
      <c r="E74" s="2022"/>
      <c r="F74" s="2022"/>
      <c r="G74" s="2023"/>
      <c r="H74" s="327"/>
      <c r="I74" s="328"/>
      <c r="J74" s="329"/>
      <c r="K74" s="2012"/>
      <c r="L74" s="2013"/>
      <c r="M74" s="2014"/>
      <c r="N74" s="331">
        <v>70</v>
      </c>
      <c r="O74" s="2141"/>
      <c r="P74" s="2137"/>
      <c r="Q74" s="2137"/>
      <c r="R74" s="2137"/>
      <c r="S74" s="2137"/>
      <c r="T74" s="2138"/>
      <c r="U74" s="327"/>
      <c r="V74" s="328"/>
      <c r="W74" s="329"/>
      <c r="X74" s="2012"/>
      <c r="Y74" s="2013"/>
      <c r="Z74" s="2014"/>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7">
        <v>62</v>
      </c>
      <c r="BB74" s="68">
        <f t="shared" si="33"/>
        <v>0</v>
      </c>
      <c r="BC74" s="192">
        <f t="shared" si="34"/>
        <v>0</v>
      </c>
      <c r="BD74" s="70">
        <f t="shared" si="35"/>
        <v>0</v>
      </c>
      <c r="BE74" s="70">
        <f t="shared" si="35"/>
        <v>0</v>
      </c>
      <c r="BF74" s="796">
        <v>1</v>
      </c>
      <c r="BG74" s="856">
        <f>COUNTIFS($H$13:$H$22,1,$J$13:$J$22,"小")</f>
        <v>0</v>
      </c>
      <c r="BH74" s="856">
        <f>COUNTIFS($I$13:$I$22,1,$J$13:$J$22,"小")+COUNTIFS($I$13:$I$22,2,$J$13:$J$22,"小")</f>
        <v>0</v>
      </c>
      <c r="BI74" s="856">
        <f>COUNTIFS($H$13:$H$22,1,$J$13:$J$22,"中")</f>
        <v>0</v>
      </c>
      <c r="BJ74" s="856">
        <f>COUNTIFS($I$13:$I$22,1,$J$13:$J$22,"中")+COUNTIFS($I$13:$I$22,2,$J$13:$J$22,"中")</f>
        <v>0</v>
      </c>
      <c r="BK74" s="856">
        <f>COUNTIFS($H$13:$H$22,1,$J$13:$J$22,"引")</f>
        <v>0</v>
      </c>
      <c r="BL74" s="856">
        <f>COUNTIFS($I$13:$I$22,1,$J$13:$J$22,"引")+COUNTIFS($I$13:$I$22,2,$J$13:$J$22,"引")</f>
        <v>0</v>
      </c>
      <c r="BM74" s="856">
        <f>COUNTIFS($H$13:$H$22,1,$J$13:$J$22,"一")</f>
        <v>0</v>
      </c>
      <c r="BN74" s="856">
        <f>COUNTIFS($I$13:$I$22,1,$J$13:$J$22,"一")+COUNTIFS($I$13:$I$22,2,$J$13:$J$22,"一")</f>
        <v>0</v>
      </c>
      <c r="BO74" s="625"/>
      <c r="BP74" s="625"/>
      <c r="BQ74" s="192"/>
      <c r="BR74" s="192"/>
      <c r="BS74" s="192"/>
      <c r="BT74" s="192"/>
      <c r="BU74" s="192"/>
      <c r="BV74" s="192"/>
      <c r="BW74" s="192"/>
      <c r="BX74" s="192"/>
      <c r="BY74" s="192"/>
      <c r="BZ74" s="192"/>
      <c r="CA74" s="192"/>
      <c r="CB74" s="192"/>
      <c r="CC74" s="796" t="str">
        <f t="shared" si="36"/>
        <v>中泊/特・療</v>
      </c>
      <c r="CD74" s="839">
        <f t="shared" si="37"/>
        <v>0</v>
      </c>
      <c r="CE74" s="796">
        <f>IF(OR(BV23="",BV23=0),0,51)</f>
        <v>0</v>
      </c>
      <c r="CF74" s="796">
        <v>330</v>
      </c>
      <c r="CG74" s="854">
        <v>51</v>
      </c>
      <c r="CH74" s="192"/>
      <c r="CI74" s="796"/>
      <c r="CJ74" s="796"/>
      <c r="CK74" s="192"/>
      <c r="CL74" s="192"/>
      <c r="CM74" s="192"/>
      <c r="CN74" s="192"/>
      <c r="CO74" s="192"/>
      <c r="CP74" s="192"/>
      <c r="CQ74" s="192"/>
      <c r="CR74" s="192"/>
      <c r="CS74" s="192"/>
      <c r="CT74" s="192"/>
      <c r="CU74" s="192"/>
      <c r="CV74" s="192"/>
      <c r="CW74" s="192"/>
      <c r="CX74" s="192"/>
      <c r="CY74" s="192"/>
    </row>
    <row r="75" spans="1:103" s="44" customFormat="1" ht="24.95" customHeight="1">
      <c r="A75" s="326">
        <v>41</v>
      </c>
      <c r="B75" s="2021"/>
      <c r="C75" s="2022"/>
      <c r="D75" s="2022"/>
      <c r="E75" s="2022"/>
      <c r="F75" s="2022"/>
      <c r="G75" s="2023"/>
      <c r="H75" s="327"/>
      <c r="I75" s="328"/>
      <c r="J75" s="329"/>
      <c r="K75" s="2012"/>
      <c r="L75" s="2013"/>
      <c r="M75" s="2014"/>
      <c r="N75" s="331">
        <v>71</v>
      </c>
      <c r="O75" s="2021"/>
      <c r="P75" s="2022"/>
      <c r="Q75" s="2022"/>
      <c r="R75" s="2022"/>
      <c r="S75" s="2022"/>
      <c r="T75" s="2023"/>
      <c r="U75" s="327"/>
      <c r="V75" s="328"/>
      <c r="W75" s="329"/>
      <c r="X75" s="2012"/>
      <c r="Y75" s="2013"/>
      <c r="Z75" s="2014"/>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67">
        <v>63</v>
      </c>
      <c r="BB75" s="68">
        <f t="shared" si="33"/>
        <v>0</v>
      </c>
      <c r="BC75" s="192">
        <f t="shared" si="34"/>
        <v>0</v>
      </c>
      <c r="BD75" s="70">
        <f t="shared" si="35"/>
        <v>0</v>
      </c>
      <c r="BE75" s="70">
        <f t="shared" si="35"/>
        <v>0</v>
      </c>
      <c r="BF75" s="624">
        <v>2</v>
      </c>
      <c r="BG75" s="856">
        <f>COUNTIFS($U$13:$U$22,1,$W$13:$W$22,"小")</f>
        <v>0</v>
      </c>
      <c r="BH75" s="856">
        <f>COUNTIFS($V$13:$V$22,1,$W$13:$W$22,"小")+COUNTIFS($V$13:$V$22,2,$W$13:$W$22,"小")</f>
        <v>0</v>
      </c>
      <c r="BI75" s="856">
        <f>COUNTIFS($U$13:$U$22,1,$W$13:$W$22,"中")</f>
        <v>0</v>
      </c>
      <c r="BJ75" s="856">
        <f>COUNTIFS($V$13:$V$22,1,$W$13:$W$22,"中")+COUNTIFS($V$13:$V$22,2,$W$13:$W$22,"中")</f>
        <v>0</v>
      </c>
      <c r="BK75" s="856">
        <f>COUNTIFS($U$13:$U$22,1,$W$13:$W$22,"引")</f>
        <v>0</v>
      </c>
      <c r="BL75" s="856">
        <f>COUNTIFS($V$13:$V$22,1,$W$13:$W$22,"引")+COUNTIFS($V$13:$V$22,2,$W$13:$W$22,"引")</f>
        <v>0</v>
      </c>
      <c r="BM75" s="856">
        <f>COUNTIFS($U$13:$U$22,1,$W$13:$W$22,"一")</f>
        <v>0</v>
      </c>
      <c r="BN75" s="856">
        <f>COUNTIFS($V$13:$V$22,1,$W$13:$W$22,"一")+COUNTIFS($V$13:$V$22,2,$W$13:$W$22,"一")</f>
        <v>0</v>
      </c>
      <c r="BO75" s="625"/>
      <c r="BP75" s="625"/>
      <c r="BQ75" s="192"/>
      <c r="BR75" s="192"/>
      <c r="BS75" s="192"/>
      <c r="BT75" s="192"/>
      <c r="BU75" s="192"/>
      <c r="BV75" s="192"/>
      <c r="BW75" s="192"/>
      <c r="BX75" s="192"/>
      <c r="BY75" s="192"/>
      <c r="BZ75" s="192"/>
      <c r="CA75" s="192"/>
      <c r="CB75" s="192"/>
      <c r="CC75" s="796" t="str">
        <f t="shared" si="36"/>
        <v>中泊/特・精</v>
      </c>
      <c r="CD75" s="839">
        <f t="shared" si="37"/>
        <v>0</v>
      </c>
      <c r="CE75" s="796">
        <f>IF(OR(BV24="",BV24=0),0,50)</f>
        <v>0</v>
      </c>
      <c r="CF75" s="796">
        <v>330</v>
      </c>
      <c r="CG75" s="854">
        <v>50</v>
      </c>
      <c r="CH75" s="192"/>
      <c r="CI75" s="796"/>
      <c r="CJ75" s="796"/>
      <c r="CK75" s="192"/>
      <c r="CL75" s="192"/>
      <c r="CM75" s="192"/>
      <c r="CN75" s="192"/>
      <c r="CO75" s="192"/>
      <c r="CP75" s="192"/>
      <c r="CQ75" s="192"/>
      <c r="CR75" s="192"/>
      <c r="CS75" s="192"/>
      <c r="CT75" s="192"/>
      <c r="CU75" s="192"/>
      <c r="CV75" s="192"/>
      <c r="CW75" s="192"/>
      <c r="CX75" s="192"/>
      <c r="CY75" s="192"/>
    </row>
    <row r="76" spans="1:103" s="45" customFormat="1" ht="24.95" customHeight="1">
      <c r="A76" s="326">
        <v>42</v>
      </c>
      <c r="B76" s="2021"/>
      <c r="C76" s="2022"/>
      <c r="D76" s="2022"/>
      <c r="E76" s="2022"/>
      <c r="F76" s="2022"/>
      <c r="G76" s="2023"/>
      <c r="H76" s="327"/>
      <c r="I76" s="328"/>
      <c r="J76" s="329"/>
      <c r="K76" s="2012"/>
      <c r="L76" s="2013"/>
      <c r="M76" s="2014"/>
      <c r="N76" s="331">
        <v>72</v>
      </c>
      <c r="O76" s="2021"/>
      <c r="P76" s="2022"/>
      <c r="Q76" s="2022"/>
      <c r="R76" s="2022"/>
      <c r="S76" s="2022"/>
      <c r="T76" s="2023"/>
      <c r="U76" s="327"/>
      <c r="V76" s="328"/>
      <c r="W76" s="329"/>
      <c r="X76" s="2012"/>
      <c r="Y76" s="2013"/>
      <c r="Z76" s="2014"/>
      <c r="BA76" s="67">
        <v>64</v>
      </c>
      <c r="BB76" s="68">
        <f t="shared" si="33"/>
        <v>0</v>
      </c>
      <c r="BC76" s="192">
        <f t="shared" si="34"/>
        <v>0</v>
      </c>
      <c r="BD76" s="70">
        <f t="shared" si="35"/>
        <v>0</v>
      </c>
      <c r="BE76" s="70">
        <f t="shared" si="35"/>
        <v>0</v>
      </c>
      <c r="BF76" s="624">
        <v>3</v>
      </c>
      <c r="BG76" s="627">
        <f>COUNTIFS($H$55:$H$84,1,$J$55:$J$84,"小")</f>
        <v>0</v>
      </c>
      <c r="BH76" s="627">
        <f>COUNTIFS($I$55:$I$84,1,$J$55:$J$84,"小")+COUNTIFS($I$55:$I$84,2,$J$55:$J$84,"小")</f>
        <v>0</v>
      </c>
      <c r="BI76" s="627">
        <f>COUNTIFS($H$55:$H$84,1,$J$55:$J$84,"中")</f>
        <v>0</v>
      </c>
      <c r="BJ76" s="627">
        <f>COUNTIFS($I$55:$I$84,1,$J$55:$J$84,"中")+COUNTIFS($I$55:$I$84,2,$J$55:$J$84,"中")</f>
        <v>0</v>
      </c>
      <c r="BK76" s="627">
        <f>COUNTIFS($H$55:$H$84,1,$J$55:$J$84,"引")</f>
        <v>0</v>
      </c>
      <c r="BL76" s="627">
        <f>COUNTIFS($I$55:$I$84,1,$J$55:$J$84,"引")+COUNTIFS($I$55:$I$84,2,$J$55:$J$84,"引")</f>
        <v>0</v>
      </c>
      <c r="BM76" s="627">
        <f>COUNTIFS($H$55:$H$84,1,$J$55:$J$84,"一")</f>
        <v>0</v>
      </c>
      <c r="BN76" s="627">
        <f>COUNTIFS($I$55:$I$84,1,$J$55:$J$84,"一")+COUNTIFS($I$55:$I$84,2,$J$55:$J$84,"一")</f>
        <v>0</v>
      </c>
      <c r="BO76" s="625"/>
      <c r="BP76" s="625"/>
      <c r="BQ76" s="857"/>
      <c r="BR76" s="857"/>
      <c r="BS76" s="857"/>
      <c r="BT76" s="857"/>
      <c r="BU76" s="857"/>
      <c r="BV76" s="857"/>
      <c r="BW76" s="857"/>
      <c r="BX76" s="857"/>
      <c r="BY76" s="857"/>
      <c r="BZ76" s="857"/>
      <c r="CA76" s="857"/>
      <c r="CB76" s="857"/>
      <c r="CC76" s="796" t="str">
        <f t="shared" si="36"/>
        <v>中泊/身・療</v>
      </c>
      <c r="CD76" s="839">
        <f t="shared" si="37"/>
        <v>0</v>
      </c>
      <c r="CE76" s="796">
        <f>IF(OR(BV25="",BV25=0),0,49)</f>
        <v>0</v>
      </c>
      <c r="CF76" s="796">
        <v>330</v>
      </c>
      <c r="CG76" s="854">
        <v>49</v>
      </c>
      <c r="CH76" s="857"/>
      <c r="CI76" s="858"/>
      <c r="CJ76" s="858"/>
      <c r="CK76" s="857"/>
      <c r="CL76" s="857"/>
      <c r="CM76" s="857"/>
      <c r="CN76" s="857"/>
      <c r="CO76" s="857"/>
      <c r="CP76" s="857"/>
      <c r="CQ76" s="857"/>
      <c r="CR76" s="857"/>
      <c r="CS76" s="857"/>
      <c r="CT76" s="857"/>
      <c r="CU76" s="857"/>
      <c r="CV76" s="857"/>
      <c r="CW76" s="857"/>
      <c r="CX76" s="857"/>
      <c r="CY76" s="857"/>
    </row>
    <row r="77" spans="1:103" s="45" customFormat="1" ht="24.95" customHeight="1">
      <c r="A77" s="326">
        <v>43</v>
      </c>
      <c r="B77" s="2021"/>
      <c r="C77" s="2022"/>
      <c r="D77" s="2022"/>
      <c r="E77" s="2022"/>
      <c r="F77" s="2022"/>
      <c r="G77" s="2023"/>
      <c r="H77" s="327"/>
      <c r="I77" s="328"/>
      <c r="J77" s="329"/>
      <c r="K77" s="2012"/>
      <c r="L77" s="2013"/>
      <c r="M77" s="2014"/>
      <c r="N77" s="331">
        <v>73</v>
      </c>
      <c r="O77" s="2021"/>
      <c r="P77" s="2022"/>
      <c r="Q77" s="2022"/>
      <c r="R77" s="2022"/>
      <c r="S77" s="2022"/>
      <c r="T77" s="2023"/>
      <c r="U77" s="327"/>
      <c r="V77" s="328"/>
      <c r="W77" s="329"/>
      <c r="X77" s="2012"/>
      <c r="Y77" s="2013"/>
      <c r="Z77" s="2014"/>
      <c r="BA77" s="67">
        <v>65</v>
      </c>
      <c r="BB77" s="68">
        <f t="shared" si="33"/>
        <v>0</v>
      </c>
      <c r="BC77" s="192">
        <f t="shared" si="34"/>
        <v>0</v>
      </c>
      <c r="BD77" s="70">
        <f t="shared" si="35"/>
        <v>0</v>
      </c>
      <c r="BE77" s="70">
        <f t="shared" si="35"/>
        <v>0</v>
      </c>
      <c r="BF77" s="624">
        <v>4</v>
      </c>
      <c r="BG77" s="627">
        <f>COUNTIFS($U$55:$U$84,1,$W$55:$W$84,"小")</f>
        <v>0</v>
      </c>
      <c r="BH77" s="627">
        <f>COUNTIFS($V$55:$V$84,1,$W$55:$W$84,"小")+COUNTIFS($V$55:$V$84,2,$W$55:$W$84,"小")</f>
        <v>0</v>
      </c>
      <c r="BI77" s="627">
        <f>COUNTIFS($U$55:$U$84,1,$W$55:$W$84,"中")</f>
        <v>0</v>
      </c>
      <c r="BJ77" s="627">
        <f>COUNTIFS($V$55:$V$84,1,$W$55:$W$84,"中")+COUNTIFS($V$55:$V$84,2,$W$55:$W$84,"中")</f>
        <v>0</v>
      </c>
      <c r="BK77" s="627">
        <f>COUNTIFS($U$55:$U$84,1,$W$55:$W$84,"引")</f>
        <v>0</v>
      </c>
      <c r="BL77" s="627">
        <f>COUNTIFS($V$55:$V$84,1,$W$55:$W$84,"引")+COUNTIFS($V$55:$V$84,2,$W$55:$W$84,"引")</f>
        <v>0</v>
      </c>
      <c r="BM77" s="627">
        <f>COUNTIFS($U$55:$U$84,1,$W$55:$W$84,"一")</f>
        <v>0</v>
      </c>
      <c r="BN77" s="627">
        <f>COUNTIFS($V$55:$V$84,1,$W$55:$W$84,"一")+COUNTIFS($V$55:$V$84,2,$W$55:$W$84,"一")</f>
        <v>0</v>
      </c>
      <c r="BO77" s="625"/>
      <c r="BP77" s="625"/>
      <c r="BQ77" s="857"/>
      <c r="BR77" s="857"/>
      <c r="BS77" s="857"/>
      <c r="BT77" s="857"/>
      <c r="BU77" s="857"/>
      <c r="BV77" s="857"/>
      <c r="BW77" s="857"/>
      <c r="BX77" s="857"/>
      <c r="BY77" s="857"/>
      <c r="BZ77" s="857"/>
      <c r="CA77" s="857"/>
      <c r="CB77" s="857"/>
      <c r="CC77" s="796" t="str">
        <f t="shared" si="36"/>
        <v>中泊/身・精</v>
      </c>
      <c r="CD77" s="839">
        <f t="shared" si="37"/>
        <v>0</v>
      </c>
      <c r="CE77" s="796">
        <f>IF(OR(BV26="",BV26=0),0,48)</f>
        <v>0</v>
      </c>
      <c r="CF77" s="796">
        <v>330</v>
      </c>
      <c r="CG77" s="854">
        <v>48</v>
      </c>
      <c r="CH77" s="857"/>
      <c r="CI77" s="858"/>
      <c r="CJ77" s="858"/>
      <c r="CK77" s="857"/>
      <c r="CL77" s="857"/>
      <c r="CM77" s="857"/>
      <c r="CN77" s="857"/>
      <c r="CO77" s="857"/>
      <c r="CP77" s="857"/>
      <c r="CQ77" s="857"/>
      <c r="CR77" s="857"/>
      <c r="CS77" s="857"/>
      <c r="CT77" s="857"/>
      <c r="CU77" s="857"/>
      <c r="CV77" s="857"/>
      <c r="CW77" s="857"/>
      <c r="CX77" s="857"/>
      <c r="CY77" s="857"/>
    </row>
    <row r="78" spans="1:103" s="45" customFormat="1" ht="24.95" customHeight="1">
      <c r="A78" s="326">
        <v>44</v>
      </c>
      <c r="B78" s="2021"/>
      <c r="C78" s="2022"/>
      <c r="D78" s="2022"/>
      <c r="E78" s="2022"/>
      <c r="F78" s="2022"/>
      <c r="G78" s="2023"/>
      <c r="H78" s="327"/>
      <c r="I78" s="328"/>
      <c r="J78" s="329"/>
      <c r="K78" s="2012"/>
      <c r="L78" s="2013"/>
      <c r="M78" s="2014"/>
      <c r="N78" s="331">
        <v>74</v>
      </c>
      <c r="O78" s="2021"/>
      <c r="P78" s="2022"/>
      <c r="Q78" s="2022"/>
      <c r="R78" s="2022"/>
      <c r="S78" s="2022"/>
      <c r="T78" s="2023"/>
      <c r="U78" s="327"/>
      <c r="V78" s="328"/>
      <c r="W78" s="329"/>
      <c r="X78" s="2012"/>
      <c r="Y78" s="2013"/>
      <c r="Z78" s="2014"/>
      <c r="BA78" s="67">
        <v>66</v>
      </c>
      <c r="BB78" s="68">
        <f t="shared" si="33"/>
        <v>0</v>
      </c>
      <c r="BC78" s="192">
        <f t="shared" si="34"/>
        <v>0</v>
      </c>
      <c r="BD78" s="70">
        <f t="shared" si="35"/>
        <v>0</v>
      </c>
      <c r="BE78" s="70">
        <f t="shared" si="35"/>
        <v>0</v>
      </c>
      <c r="BF78" s="624">
        <v>5</v>
      </c>
      <c r="BG78" s="627">
        <f>COUNTIFS($H$98:$H$127,1,$J$98:$J$127,"小")</f>
        <v>0</v>
      </c>
      <c r="BH78" s="627">
        <f>COUNTIFS($I$98:$I$127,1,$J$98:$J$127,"小")+COUNTIFS($I$98:$I$127,2,$J$98:$J$127,"小")</f>
        <v>0</v>
      </c>
      <c r="BI78" s="627">
        <f>COUNTIFS($H$98:$H$127,1,$J$98:$J$127,"中")</f>
        <v>0</v>
      </c>
      <c r="BJ78" s="627">
        <f>COUNTIFS($I$98:$I$127,1,$J$98:$J$127,"中")+COUNTIFS($I$98:$I$127,2,$J$98:$J$127,"中")</f>
        <v>0</v>
      </c>
      <c r="BK78" s="627">
        <f>COUNTIFS($H$98:$H$127,1,$J$98:$J$127,"引")</f>
        <v>0</v>
      </c>
      <c r="BL78" s="627">
        <f>COUNTIFS($I$98:$I$127,1,$J$98:$J$127,"引")+COUNTIFS($I$98:$I$127,2,$J$98:$J$127,"引")</f>
        <v>0</v>
      </c>
      <c r="BM78" s="627">
        <f>COUNTIFS($H$98:$H$127,1,$J$98:$J$127,"一")</f>
        <v>0</v>
      </c>
      <c r="BN78" s="627">
        <f>COUNTIFS($I$98:$I$127,1,$J$98:$J$127,"一")+COUNTIFS($I$98:$I$127,2,$J$98:$J$127,"一")</f>
        <v>0</v>
      </c>
      <c r="BO78" s="625"/>
      <c r="BP78" s="625"/>
      <c r="BQ78" s="857"/>
      <c r="BR78" s="857"/>
      <c r="BS78" s="857"/>
      <c r="BT78" s="857"/>
      <c r="BU78" s="857"/>
      <c r="BV78" s="857"/>
      <c r="BW78" s="857"/>
      <c r="BX78" s="857"/>
      <c r="BY78" s="857"/>
      <c r="BZ78" s="857"/>
      <c r="CA78" s="857"/>
      <c r="CB78" s="857"/>
      <c r="CC78" s="796" t="str">
        <f t="shared" si="36"/>
        <v>中泊/療・精</v>
      </c>
      <c r="CD78" s="839">
        <f t="shared" si="37"/>
        <v>0</v>
      </c>
      <c r="CE78" s="796">
        <f>IF(OR(BV27="",BV27=0),0,47)</f>
        <v>0</v>
      </c>
      <c r="CF78" s="796">
        <v>330</v>
      </c>
      <c r="CG78" s="854">
        <v>47</v>
      </c>
      <c r="CH78" s="857"/>
      <c r="CI78" s="858"/>
      <c r="CJ78" s="858"/>
      <c r="CK78" s="857"/>
      <c r="CL78" s="857"/>
      <c r="CM78" s="857"/>
      <c r="CN78" s="857"/>
      <c r="CO78" s="857"/>
      <c r="CP78" s="857"/>
      <c r="CQ78" s="857"/>
      <c r="CR78" s="857"/>
      <c r="CS78" s="857"/>
      <c r="CT78" s="857"/>
      <c r="CU78" s="857"/>
      <c r="CV78" s="857"/>
      <c r="CW78" s="857"/>
      <c r="CX78" s="857"/>
      <c r="CY78" s="857"/>
    </row>
    <row r="79" spans="1:103" s="45" customFormat="1" ht="24.95" customHeight="1">
      <c r="A79" s="326">
        <v>45</v>
      </c>
      <c r="B79" s="2021"/>
      <c r="C79" s="2022"/>
      <c r="D79" s="2022"/>
      <c r="E79" s="2022"/>
      <c r="F79" s="2022"/>
      <c r="G79" s="2023"/>
      <c r="H79" s="327"/>
      <c r="I79" s="328"/>
      <c r="J79" s="329"/>
      <c r="K79" s="2012"/>
      <c r="L79" s="2013"/>
      <c r="M79" s="2014"/>
      <c r="N79" s="331">
        <v>75</v>
      </c>
      <c r="O79" s="2021"/>
      <c r="P79" s="2022"/>
      <c r="Q79" s="2022"/>
      <c r="R79" s="2022"/>
      <c r="S79" s="2022"/>
      <c r="T79" s="2023"/>
      <c r="U79" s="327"/>
      <c r="V79" s="328"/>
      <c r="W79" s="329"/>
      <c r="X79" s="2012"/>
      <c r="Y79" s="2013"/>
      <c r="Z79" s="2014"/>
      <c r="BA79" s="67">
        <v>67</v>
      </c>
      <c r="BB79" s="68">
        <f t="shared" si="33"/>
        <v>0</v>
      </c>
      <c r="BC79" s="192">
        <f t="shared" si="34"/>
        <v>0</v>
      </c>
      <c r="BD79" s="70">
        <f t="shared" si="35"/>
        <v>0</v>
      </c>
      <c r="BE79" s="70">
        <f t="shared" si="35"/>
        <v>0</v>
      </c>
      <c r="BF79" s="624">
        <v>6</v>
      </c>
      <c r="BG79" s="627">
        <f>COUNTIFS($U$98:$U$127,1,$W$98:$W$127,"小")</f>
        <v>0</v>
      </c>
      <c r="BH79" s="627">
        <f>COUNTIFS($V$98:$V$127,1,$W$98:$W$127,"小")+COUNTIFS($V$98:$V$127,2,$W$98:$W$127,"小")</f>
        <v>0</v>
      </c>
      <c r="BI79" s="627">
        <f>COUNTIFS($U$98:$U$127,1,$W$98:$W$127,"中")</f>
        <v>0</v>
      </c>
      <c r="BJ79" s="627">
        <f>COUNTIFS($V$98:$V$127,1,$W$98:$W$127,"中")+COUNTIFS($V$98:$V$127,2,$W$98:$W$127,"中")</f>
        <v>0</v>
      </c>
      <c r="BK79" s="627">
        <f>COUNTIFS($U$98:$U$127,1,$W$98:$W$127,"引")</f>
        <v>0</v>
      </c>
      <c r="BL79" s="627">
        <f>COUNTIFS($V$98:$V$127,1,$W$98:$W$127,"引")+COUNTIFS($V$98:$V$127,2,$W$98:$W$127,"引")</f>
        <v>0</v>
      </c>
      <c r="BM79" s="627">
        <f>COUNTIFS($U$98:$U$127,1,$W$98:$W$127,"一")</f>
        <v>0</v>
      </c>
      <c r="BN79" s="627">
        <f>COUNTIFS($V$98:$V$127,1,$W$98:$W$127,"一")+COUNTIFS($V$98:$V$127,2,$W$98:$W$127,"一")</f>
        <v>0</v>
      </c>
      <c r="BO79" s="625"/>
      <c r="BP79" s="625"/>
      <c r="BQ79" s="857"/>
      <c r="BR79" s="857"/>
      <c r="BS79" s="857"/>
      <c r="BT79" s="857"/>
      <c r="BU79" s="857"/>
      <c r="BV79" s="857"/>
      <c r="BW79" s="857"/>
      <c r="BX79" s="857"/>
      <c r="BY79" s="857"/>
      <c r="BZ79" s="857"/>
      <c r="CA79" s="857"/>
      <c r="CB79" s="857"/>
      <c r="CC79" s="796" t="str">
        <f t="shared" si="36"/>
        <v>中泊/準・特・身</v>
      </c>
      <c r="CD79" s="839">
        <f t="shared" si="37"/>
        <v>0</v>
      </c>
      <c r="CE79" s="796">
        <f>IF(OR(BV28="",BV28=0),0,46)</f>
        <v>0</v>
      </c>
      <c r="CF79" s="796">
        <v>330</v>
      </c>
      <c r="CG79" s="854">
        <v>46</v>
      </c>
      <c r="CH79" s="857"/>
      <c r="CI79" s="858"/>
      <c r="CJ79" s="858"/>
      <c r="CK79" s="857"/>
      <c r="CL79" s="857"/>
      <c r="CM79" s="857"/>
      <c r="CN79" s="857"/>
      <c r="CO79" s="857"/>
      <c r="CP79" s="857"/>
      <c r="CQ79" s="857"/>
      <c r="CR79" s="857"/>
      <c r="CS79" s="857"/>
      <c r="CT79" s="857"/>
      <c r="CU79" s="857"/>
      <c r="CV79" s="857"/>
      <c r="CW79" s="857"/>
      <c r="CX79" s="857"/>
      <c r="CY79" s="857"/>
    </row>
    <row r="80" spans="1:103" s="45" customFormat="1" ht="24.95" customHeight="1">
      <c r="A80" s="326">
        <v>46</v>
      </c>
      <c r="B80" s="2021"/>
      <c r="C80" s="2022"/>
      <c r="D80" s="2022"/>
      <c r="E80" s="2022"/>
      <c r="F80" s="2022"/>
      <c r="G80" s="2023"/>
      <c r="H80" s="327"/>
      <c r="I80" s="328"/>
      <c r="J80" s="329"/>
      <c r="K80" s="2012"/>
      <c r="L80" s="2013"/>
      <c r="M80" s="2014"/>
      <c r="N80" s="331">
        <v>76</v>
      </c>
      <c r="O80" s="2021"/>
      <c r="P80" s="2022"/>
      <c r="Q80" s="2022"/>
      <c r="R80" s="2022"/>
      <c r="S80" s="2022"/>
      <c r="T80" s="2023"/>
      <c r="U80" s="327"/>
      <c r="V80" s="328"/>
      <c r="W80" s="329"/>
      <c r="X80" s="2012"/>
      <c r="Y80" s="2013"/>
      <c r="Z80" s="2014"/>
      <c r="BA80" s="67">
        <v>68</v>
      </c>
      <c r="BB80" s="68">
        <f t="shared" si="33"/>
        <v>0</v>
      </c>
      <c r="BC80" s="192">
        <f t="shared" si="34"/>
        <v>0</v>
      </c>
      <c r="BD80" s="70">
        <f t="shared" si="35"/>
        <v>0</v>
      </c>
      <c r="BE80" s="70">
        <f t="shared" si="35"/>
        <v>0</v>
      </c>
      <c r="BF80" s="624">
        <v>7</v>
      </c>
      <c r="BG80" s="627">
        <f>COUNTIFS($H$141:$H$170,1,$J$141:$J$170,"小")</f>
        <v>0</v>
      </c>
      <c r="BH80" s="627">
        <f>COUNTIFS($I$141:$I$170,1,$J$141:$J$170,"小")+COUNTIFS($I$141:$I$170,2,$J$141:$J$170,"小")</f>
        <v>0</v>
      </c>
      <c r="BI80" s="627">
        <f>COUNTIFS($H$141:$H$170,1,$J$141:$J$170,"中")</f>
        <v>0</v>
      </c>
      <c r="BJ80" s="627">
        <f>COUNTIFS($I$141:$I$170,1,$J$141:$J$170,"中")+COUNTIFS($I$141:$I$170,2,$J$141:$J$170,"中")</f>
        <v>0</v>
      </c>
      <c r="BK80" s="627">
        <f>COUNTIFS($H$141:$H$170,1,$J$141:$J$170,"引")</f>
        <v>0</v>
      </c>
      <c r="BL80" s="627">
        <f>COUNTIFS($I$141:$I$170,1,$J$141:$J$170,"引")+COUNTIFS($I$141:$I$170,2,$J$141:$J$170,"引")</f>
        <v>0</v>
      </c>
      <c r="BM80" s="627">
        <f>COUNTIFS($H$141:$H$170,1,$J$141:$J$170,"一")</f>
        <v>0</v>
      </c>
      <c r="BN80" s="627">
        <f>COUNTIFS($I$141:$I$170,1,$J$141:$J$170,"一")+COUNTIFS($I$141:$I$170,2,$J$141:$J$170,"一")</f>
        <v>0</v>
      </c>
      <c r="BO80" s="625"/>
      <c r="BP80" s="625"/>
      <c r="BQ80" s="857"/>
      <c r="BR80" s="857"/>
      <c r="BS80" s="857"/>
      <c r="BT80" s="857"/>
      <c r="BU80" s="857"/>
      <c r="BV80" s="857"/>
      <c r="BW80" s="857"/>
      <c r="BX80" s="857"/>
      <c r="BY80" s="857"/>
      <c r="BZ80" s="857"/>
      <c r="CA80" s="857"/>
      <c r="CB80" s="857"/>
      <c r="CC80" s="796" t="str">
        <f t="shared" si="36"/>
        <v>中泊/準・特・療</v>
      </c>
      <c r="CD80" s="839">
        <f t="shared" si="37"/>
        <v>0</v>
      </c>
      <c r="CE80" s="796">
        <f>IF(OR(BV29="",BV29=0),0,45)</f>
        <v>0</v>
      </c>
      <c r="CF80" s="796">
        <v>330</v>
      </c>
      <c r="CG80" s="854">
        <v>45</v>
      </c>
      <c r="CH80" s="857"/>
      <c r="CI80" s="858"/>
      <c r="CJ80" s="858"/>
      <c r="CK80" s="857"/>
      <c r="CL80" s="857"/>
      <c r="CM80" s="857"/>
      <c r="CN80" s="857"/>
      <c r="CO80" s="857"/>
      <c r="CP80" s="857"/>
      <c r="CQ80" s="857"/>
      <c r="CR80" s="857"/>
      <c r="CS80" s="857"/>
      <c r="CT80" s="857"/>
      <c r="CU80" s="857"/>
      <c r="CV80" s="857"/>
      <c r="CW80" s="857"/>
      <c r="CX80" s="857"/>
      <c r="CY80" s="857"/>
    </row>
    <row r="81" spans="1:103" s="45" customFormat="1" ht="24.95" customHeight="1">
      <c r="A81" s="326">
        <v>47</v>
      </c>
      <c r="B81" s="2021"/>
      <c r="C81" s="2022"/>
      <c r="D81" s="2022"/>
      <c r="E81" s="2022"/>
      <c r="F81" s="2022"/>
      <c r="G81" s="2023"/>
      <c r="H81" s="327"/>
      <c r="I81" s="328"/>
      <c r="J81" s="329"/>
      <c r="K81" s="2012"/>
      <c r="L81" s="2013"/>
      <c r="M81" s="2014"/>
      <c r="N81" s="331">
        <v>77</v>
      </c>
      <c r="O81" s="2074"/>
      <c r="P81" s="2022"/>
      <c r="Q81" s="2022"/>
      <c r="R81" s="2022"/>
      <c r="S81" s="2022"/>
      <c r="T81" s="2023"/>
      <c r="U81" s="327"/>
      <c r="V81" s="328"/>
      <c r="W81" s="329"/>
      <c r="X81" s="2012"/>
      <c r="Y81" s="2013"/>
      <c r="Z81" s="2014"/>
      <c r="BA81" s="67">
        <v>69</v>
      </c>
      <c r="BB81" s="68">
        <f t="shared" si="33"/>
        <v>0</v>
      </c>
      <c r="BC81" s="192">
        <f t="shared" si="34"/>
        <v>0</v>
      </c>
      <c r="BD81" s="70">
        <f t="shared" si="35"/>
        <v>0</v>
      </c>
      <c r="BE81" s="70">
        <f t="shared" si="35"/>
        <v>0</v>
      </c>
      <c r="BF81" s="624">
        <v>8</v>
      </c>
      <c r="BG81" s="627">
        <f>COUNTIFS($U$141:$U$170,1,$W$141:$W$170,"小")</f>
        <v>0</v>
      </c>
      <c r="BH81" s="627">
        <f>COUNTIFS($V$141:$V$170,1,$W$141:$W$170,"小")+COUNTIFS($V$141:$V$170,2,$W$141:$W$170,"小")</f>
        <v>0</v>
      </c>
      <c r="BI81" s="627">
        <f>COUNTIFS($U$141:$U$170,1,$W$141:$W$170,"中")</f>
        <v>0</v>
      </c>
      <c r="BJ81" s="627">
        <f>COUNTIFS($V$141:$V$170,1,$W$141:$W$170,"中")+COUNTIFS($V$141:$V$170,2,$W$141:$W$170,"中")</f>
        <v>0</v>
      </c>
      <c r="BK81" s="627">
        <f>COUNTIFS($U$141:$U$170,1,$W$141:$W$170,"引")</f>
        <v>0</v>
      </c>
      <c r="BL81" s="627">
        <f>COUNTIFS($V$141:$V$170,1,$W$141:$W$170,"引")+COUNTIFS($V$141:$V$170,2,$W$141:$W$170,"引")</f>
        <v>0</v>
      </c>
      <c r="BM81" s="627">
        <f>COUNTIFS($U$141:$U$170,1,$W$141:$W$170,"一")</f>
        <v>0</v>
      </c>
      <c r="BN81" s="627">
        <f>COUNTIFS($V$141:$V$170,1,$W$141:$W$170,"一")+COUNTIFS($V$141:$V$170,2,$W$141:$W$170,"一")</f>
        <v>0</v>
      </c>
      <c r="BO81" s="625"/>
      <c r="BP81" s="625"/>
      <c r="BQ81" s="857"/>
      <c r="BR81" s="857"/>
      <c r="BS81" s="857"/>
      <c r="BT81" s="857"/>
      <c r="BU81" s="857"/>
      <c r="BV81" s="857"/>
      <c r="BW81" s="857"/>
      <c r="BX81" s="857"/>
      <c r="BY81" s="857"/>
      <c r="BZ81" s="857"/>
      <c r="CA81" s="857"/>
      <c r="CB81" s="857"/>
      <c r="CC81" s="796" t="str">
        <f t="shared" si="36"/>
        <v>中泊/準・特・精</v>
      </c>
      <c r="CD81" s="839">
        <f t="shared" si="37"/>
        <v>0</v>
      </c>
      <c r="CE81" s="796">
        <f>IF(OR(BV30="",BV30=0),0,44)</f>
        <v>0</v>
      </c>
      <c r="CF81" s="796">
        <v>330</v>
      </c>
      <c r="CG81" s="854">
        <v>44</v>
      </c>
      <c r="CH81" s="857"/>
      <c r="CI81" s="858"/>
      <c r="CJ81" s="858"/>
      <c r="CK81" s="857"/>
      <c r="CL81" s="857"/>
      <c r="CM81" s="857"/>
      <c r="CN81" s="857"/>
      <c r="CO81" s="857"/>
      <c r="CP81" s="857"/>
      <c r="CQ81" s="857"/>
      <c r="CR81" s="857"/>
      <c r="CS81" s="857"/>
      <c r="CT81" s="857"/>
      <c r="CU81" s="857"/>
      <c r="CV81" s="857"/>
      <c r="CW81" s="857"/>
      <c r="CX81" s="857"/>
      <c r="CY81" s="857"/>
    </row>
    <row r="82" spans="1:103" s="45" customFormat="1" ht="24.95" customHeight="1">
      <c r="A82" s="326">
        <v>48</v>
      </c>
      <c r="B82" s="2021"/>
      <c r="C82" s="2022"/>
      <c r="D82" s="2022"/>
      <c r="E82" s="2022"/>
      <c r="F82" s="2022"/>
      <c r="G82" s="2023"/>
      <c r="H82" s="327"/>
      <c r="I82" s="328"/>
      <c r="J82" s="329"/>
      <c r="K82" s="2012"/>
      <c r="L82" s="2013"/>
      <c r="M82" s="2014"/>
      <c r="N82" s="331">
        <v>78</v>
      </c>
      <c r="O82" s="2074"/>
      <c r="P82" s="2022"/>
      <c r="Q82" s="2022"/>
      <c r="R82" s="2022"/>
      <c r="S82" s="2022"/>
      <c r="T82" s="2023"/>
      <c r="U82" s="327"/>
      <c r="V82" s="328"/>
      <c r="W82" s="329"/>
      <c r="X82" s="2012"/>
      <c r="Y82" s="2013"/>
      <c r="Z82" s="2014"/>
      <c r="BA82" s="67">
        <v>70</v>
      </c>
      <c r="BB82" s="68">
        <f t="shared" si="33"/>
        <v>0</v>
      </c>
      <c r="BC82" s="192">
        <f t="shared" si="34"/>
        <v>0</v>
      </c>
      <c r="BD82" s="70">
        <f t="shared" si="35"/>
        <v>0</v>
      </c>
      <c r="BE82" s="70">
        <f t="shared" si="35"/>
        <v>0</v>
      </c>
      <c r="BF82" s="624">
        <v>9</v>
      </c>
      <c r="BG82" s="192">
        <f>COUNTIFS($H$184:$H$213,1,$J$184:$J$213,"小")</f>
        <v>0</v>
      </c>
      <c r="BH82" s="627">
        <f>COUNTIFS($I$184:$I$213,1,$J$184:$J$213,"小")+COUNTIFS($I$184:$I$213,2,$J$184:$J$213,"小")</f>
        <v>0</v>
      </c>
      <c r="BI82" s="192">
        <f>COUNTIFS($H$184:$H$213,1,$J$184:$J$213,"中")</f>
        <v>0</v>
      </c>
      <c r="BJ82" s="627">
        <f>COUNTIFS($I$184:$I$213,1,$J$184:$J$213,"中")+COUNTIFS($I$184:$I$213,2,$J$184:$J$213,"中")</f>
        <v>0</v>
      </c>
      <c r="BK82" s="192">
        <f>COUNTIFS($H$184:$H$213,1,$J$184:$J$213,"引")</f>
        <v>0</v>
      </c>
      <c r="BL82" s="627">
        <f>COUNTIFS($I$184:$I$213,1,$J$184:$J$213,"引")+COUNTIFS($I$184:$I$213,2,$J$184:$J$213,"引")</f>
        <v>0</v>
      </c>
      <c r="BM82" s="192">
        <f>COUNTIFS($H$184:$H$213,1,$J$184:$J$213,"一")</f>
        <v>0</v>
      </c>
      <c r="BN82" s="627">
        <f>COUNTIFS($I$184:$I$213,1,$J$184:$J$213,"一")+COUNTIFS($I$184:$I$213,2,$J$184:$J$213,"一")</f>
        <v>0</v>
      </c>
      <c r="BO82" s="625"/>
      <c r="BP82" s="625"/>
      <c r="BQ82" s="857"/>
      <c r="BR82" s="857"/>
      <c r="BS82" s="857"/>
      <c r="BT82" s="857"/>
      <c r="BU82" s="857"/>
      <c r="BV82" s="857"/>
      <c r="BW82" s="857"/>
      <c r="BX82" s="857"/>
      <c r="BY82" s="857"/>
      <c r="BZ82" s="857"/>
      <c r="CA82" s="857"/>
      <c r="CB82" s="857"/>
      <c r="CC82" s="796" t="str">
        <f t="shared" si="36"/>
        <v>中泊/準・身・療</v>
      </c>
      <c r="CD82" s="839">
        <f t="shared" si="37"/>
        <v>0</v>
      </c>
      <c r="CE82" s="796">
        <f>IF(OR(BV31="",BV31=0),0,43)</f>
        <v>0</v>
      </c>
      <c r="CF82" s="796">
        <v>330</v>
      </c>
      <c r="CG82" s="854">
        <v>43</v>
      </c>
      <c r="CH82" s="857"/>
      <c r="CI82" s="858"/>
      <c r="CJ82" s="858"/>
      <c r="CK82" s="857"/>
      <c r="CL82" s="857"/>
      <c r="CM82" s="857"/>
      <c r="CN82" s="857"/>
      <c r="CO82" s="857"/>
      <c r="CP82" s="857"/>
      <c r="CQ82" s="857"/>
      <c r="CR82" s="857"/>
      <c r="CS82" s="857"/>
      <c r="CT82" s="857"/>
      <c r="CU82" s="857"/>
      <c r="CV82" s="857"/>
      <c r="CW82" s="857"/>
      <c r="CX82" s="857"/>
      <c r="CY82" s="857"/>
    </row>
    <row r="83" spans="1:103" s="45" customFormat="1" ht="24.95" customHeight="1">
      <c r="A83" s="326">
        <v>49</v>
      </c>
      <c r="B83" s="2021"/>
      <c r="C83" s="2022"/>
      <c r="D83" s="2022"/>
      <c r="E83" s="2022"/>
      <c r="F83" s="2022"/>
      <c r="G83" s="2023"/>
      <c r="H83" s="327"/>
      <c r="I83" s="328"/>
      <c r="J83" s="329"/>
      <c r="K83" s="2012"/>
      <c r="L83" s="2013"/>
      <c r="M83" s="2014"/>
      <c r="N83" s="331">
        <v>79</v>
      </c>
      <c r="O83" s="2074"/>
      <c r="P83" s="2022"/>
      <c r="Q83" s="2022"/>
      <c r="R83" s="2022"/>
      <c r="S83" s="2022"/>
      <c r="T83" s="2023"/>
      <c r="U83" s="327"/>
      <c r="V83" s="328"/>
      <c r="W83" s="329"/>
      <c r="X83" s="2012"/>
      <c r="Y83" s="2013"/>
      <c r="Z83" s="2014"/>
      <c r="BA83" s="67">
        <v>71</v>
      </c>
      <c r="BB83" s="68">
        <f t="shared" si="33"/>
        <v>0</v>
      </c>
      <c r="BC83" s="192">
        <f t="shared" si="34"/>
        <v>0</v>
      </c>
      <c r="BD83" s="70">
        <f t="shared" si="35"/>
        <v>0</v>
      </c>
      <c r="BE83" s="70">
        <f t="shared" si="35"/>
        <v>0</v>
      </c>
      <c r="BF83" s="624">
        <v>10</v>
      </c>
      <c r="BG83" s="192">
        <f>COUNTIFS($U$184:$U$213,1,$W$184:$W$213,"小")</f>
        <v>0</v>
      </c>
      <c r="BH83" s="627">
        <f>COUNTIFS($V$184:$V$213,1,$W$184:$W$213,"小")+COUNTIFS($V$184:$V$213,2,$W$184:$W$213,"小")</f>
        <v>0</v>
      </c>
      <c r="BI83" s="192">
        <f>COUNTIFS($U$184:$U$213,1,$W$184:$W$213,"中")</f>
        <v>0</v>
      </c>
      <c r="BJ83" s="627">
        <f>COUNTIFS($V$184:$V$213,1,$W$184:$W$213,"中")+COUNTIFS($V$184:$V$213,2,$W$184:$W$213,"中")</f>
        <v>0</v>
      </c>
      <c r="BK83" s="192">
        <f>COUNTIFS($U$184:$U$213,1,$W$184:$W$213,"引")</f>
        <v>0</v>
      </c>
      <c r="BL83" s="627">
        <f>COUNTIFS($V$184:$V$213,1,$W$184:$W$213,"引")+COUNTIFS($V$184:$V$213,2,$W$184:$W$213,"引")</f>
        <v>0</v>
      </c>
      <c r="BM83" s="192">
        <f>COUNTIFS($U$184:$U$213,1,$W$184:$W$213,"一")</f>
        <v>0</v>
      </c>
      <c r="BN83" s="627">
        <f>COUNTIFS($V$184:$V$213,1,$W$184:$W$213,"一")+COUNTIFS($V$184:$V$213,2,$W$184:$W$213,"一")</f>
        <v>0</v>
      </c>
      <c r="BO83" s="625"/>
      <c r="BP83" s="625"/>
      <c r="BQ83" s="857"/>
      <c r="BR83" s="857"/>
      <c r="BS83" s="857"/>
      <c r="BT83" s="857"/>
      <c r="BU83" s="857"/>
      <c r="BV83" s="857"/>
      <c r="BW83" s="857"/>
      <c r="BX83" s="857"/>
      <c r="BY83" s="857"/>
      <c r="BZ83" s="857"/>
      <c r="CA83" s="857"/>
      <c r="CB83" s="857"/>
      <c r="CC83" s="796" t="str">
        <f t="shared" si="36"/>
        <v>中泊/準・身・精</v>
      </c>
      <c r="CD83" s="839">
        <f t="shared" si="37"/>
        <v>0</v>
      </c>
      <c r="CE83" s="796">
        <f>IF(OR(BV32="",BV32=0),0,42)</f>
        <v>0</v>
      </c>
      <c r="CF83" s="796">
        <v>330</v>
      </c>
      <c r="CG83" s="854">
        <v>42</v>
      </c>
      <c r="CH83" s="857"/>
      <c r="CI83" s="858"/>
      <c r="CJ83" s="858"/>
      <c r="CK83" s="857"/>
      <c r="CL83" s="857"/>
      <c r="CM83" s="857"/>
      <c r="CN83" s="857"/>
      <c r="CO83" s="857"/>
      <c r="CP83" s="857"/>
      <c r="CQ83" s="857"/>
      <c r="CR83" s="857"/>
      <c r="CS83" s="857"/>
      <c r="CT83" s="857"/>
      <c r="CU83" s="857"/>
      <c r="CV83" s="857"/>
      <c r="CW83" s="857"/>
      <c r="CX83" s="857"/>
      <c r="CY83" s="857"/>
    </row>
    <row r="84" spans="1:103" s="45" customFormat="1" ht="24.95" customHeight="1">
      <c r="A84" s="326">
        <v>50</v>
      </c>
      <c r="B84" s="2021"/>
      <c r="C84" s="2022"/>
      <c r="D84" s="2022"/>
      <c r="E84" s="2022"/>
      <c r="F84" s="2022"/>
      <c r="G84" s="2023"/>
      <c r="H84" s="327"/>
      <c r="I84" s="328"/>
      <c r="J84" s="329"/>
      <c r="K84" s="2012"/>
      <c r="L84" s="2013"/>
      <c r="M84" s="2014"/>
      <c r="N84" s="331">
        <v>80</v>
      </c>
      <c r="O84" s="2074"/>
      <c r="P84" s="2022"/>
      <c r="Q84" s="2022"/>
      <c r="R84" s="2022"/>
      <c r="S84" s="2022"/>
      <c r="T84" s="2023"/>
      <c r="U84" s="327"/>
      <c r="V84" s="328"/>
      <c r="W84" s="329"/>
      <c r="X84" s="2012"/>
      <c r="Y84" s="2013"/>
      <c r="Z84" s="2014"/>
      <c r="BA84" s="67">
        <v>72</v>
      </c>
      <c r="BB84" s="68">
        <f t="shared" si="33"/>
        <v>0</v>
      </c>
      <c r="BC84" s="192">
        <f t="shared" si="34"/>
        <v>0</v>
      </c>
      <c r="BD84" s="70">
        <f t="shared" si="35"/>
        <v>0</v>
      </c>
      <c r="BE84" s="70">
        <f t="shared" si="35"/>
        <v>0</v>
      </c>
      <c r="BF84" s="624">
        <v>11</v>
      </c>
      <c r="BG84" s="192">
        <f>COUNTIFS($H$227:$H$256,1,$J$227:$J$256,"小")</f>
        <v>0</v>
      </c>
      <c r="BH84" s="627">
        <f>COUNTIFS($I$227:$I$256,1,$J$227:$J$256,"小")+COUNTIFS($I$227:$I$256,2,$J$227:$J$256,"小")</f>
        <v>0</v>
      </c>
      <c r="BI84" s="192">
        <f>COUNTIFS($H$227:$H$256,1,$J$227:$J$256,"中")</f>
        <v>0</v>
      </c>
      <c r="BJ84" s="627">
        <f>COUNTIFS($I$227:$I$256,1,$J$227:$J$256,"中")+COUNTIFS($I$227:$I$256,2,$J$227:$J$256,"中")</f>
        <v>0</v>
      </c>
      <c r="BK84" s="192">
        <f>COUNTIFS($H$227:$H$256,1,$J$227:$J$256,"引")</f>
        <v>0</v>
      </c>
      <c r="BL84" s="627">
        <f>COUNTIFS($I$227:$I$256,1,$J$227:$J$256,"引")+COUNTIFS($I$227:$I$256,2,$J$227:$J$256,"引")</f>
        <v>0</v>
      </c>
      <c r="BM84" s="192">
        <f>COUNTIFS($H$227:$H$256,1,$J$227:$J$256,"一")</f>
        <v>0</v>
      </c>
      <c r="BN84" s="627">
        <f>COUNTIFS($I$227:$I$256,1,$J$227:$J$256,"一")+COUNTIFS($I$227:$I$256,2,$J$227:$J$256,"一")</f>
        <v>0</v>
      </c>
      <c r="BO84" s="625"/>
      <c r="BP84" s="625"/>
      <c r="BQ84" s="857"/>
      <c r="BR84" s="857"/>
      <c r="BS84" s="857"/>
      <c r="BT84" s="857"/>
      <c r="BU84" s="857"/>
      <c r="BV84" s="857"/>
      <c r="BW84" s="857"/>
      <c r="BX84" s="857"/>
      <c r="BY84" s="857"/>
      <c r="BZ84" s="857"/>
      <c r="CA84" s="857"/>
      <c r="CB84" s="857"/>
      <c r="CC84" s="796" t="str">
        <f t="shared" si="36"/>
        <v>中泊/準・療・精</v>
      </c>
      <c r="CD84" s="839">
        <f t="shared" si="37"/>
        <v>0</v>
      </c>
      <c r="CE84" s="796">
        <f>IF(OR(BV33="",BV33=0),0,41)</f>
        <v>0</v>
      </c>
      <c r="CF84" s="796">
        <v>330</v>
      </c>
      <c r="CG84" s="854">
        <v>41</v>
      </c>
      <c r="CH84" s="857"/>
      <c r="CI84" s="858"/>
      <c r="CJ84" s="858"/>
      <c r="CK84" s="857"/>
      <c r="CL84" s="857"/>
      <c r="CM84" s="857"/>
      <c r="CN84" s="857"/>
      <c r="CO84" s="857"/>
      <c r="CP84" s="857"/>
      <c r="CQ84" s="857"/>
      <c r="CR84" s="857"/>
      <c r="CS84" s="857"/>
      <c r="CT84" s="857"/>
      <c r="CU84" s="857"/>
      <c r="CV84" s="857"/>
      <c r="CW84" s="857"/>
      <c r="CX84" s="857"/>
      <c r="CY84" s="857"/>
    </row>
    <row r="85" spans="1:103" s="45" customFormat="1" ht="24" customHeight="1">
      <c r="A85" s="359"/>
      <c r="B85" s="354"/>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BA85" s="67">
        <v>73</v>
      </c>
      <c r="BB85" s="68">
        <f t="shared" si="33"/>
        <v>0</v>
      </c>
      <c r="BC85" s="192">
        <f t="shared" si="34"/>
        <v>0</v>
      </c>
      <c r="BD85" s="70">
        <f t="shared" si="35"/>
        <v>0</v>
      </c>
      <c r="BE85" s="70">
        <f t="shared" si="35"/>
        <v>0</v>
      </c>
      <c r="BF85" s="624">
        <v>12</v>
      </c>
      <c r="BG85" s="192">
        <f>COUNTIFS($U$227:$U$256,1,$W$227:$W$256,"小")</f>
        <v>0</v>
      </c>
      <c r="BH85" s="627">
        <f>COUNTIFS($V$227:$V$256,1,$W$227:$W$256,"小")+COUNTIFS($V$227:$V$256,2,$W$227:$W$256,"小")</f>
        <v>0</v>
      </c>
      <c r="BI85" s="192">
        <f>COUNTIFS($U$227:$U$256,1,$W$227:$W$256,"中")</f>
        <v>0</v>
      </c>
      <c r="BJ85" s="627">
        <f>COUNTIFS($V$227:$V$256,1,$W$227:$W$256,"中")+COUNTIFS($V$227:$V$256,2,$W$227:$W$256,"中")</f>
        <v>0</v>
      </c>
      <c r="BK85" s="192">
        <f>COUNTIFS($U$227:$U$256,1,$W$227:$W$256,"引")</f>
        <v>0</v>
      </c>
      <c r="BL85" s="627">
        <f>COUNTIFS($V$227:$V$256,1,$W$227:$W$256,"引")+COUNTIFS($V$227:$V$256,2,$W$227:$W$256,"引")</f>
        <v>0</v>
      </c>
      <c r="BM85" s="192">
        <f>COUNTIFS($U$227:$U$256,1,$W$227:$W$256,"一")</f>
        <v>0</v>
      </c>
      <c r="BN85" s="627">
        <f>COUNTIFS($V$227:$V$256,1,$W$227:$W$256,"一")+COUNTIFS($V$227:$V$256,2,$W$227:$W$256,"一")</f>
        <v>0</v>
      </c>
      <c r="BO85" s="625"/>
      <c r="BP85" s="625"/>
      <c r="BQ85" s="857"/>
      <c r="BR85" s="857"/>
      <c r="BS85" s="857"/>
      <c r="BT85" s="857"/>
      <c r="BU85" s="857"/>
      <c r="BV85" s="857"/>
      <c r="BW85" s="857"/>
      <c r="BX85" s="857"/>
      <c r="BY85" s="857"/>
      <c r="BZ85" s="857"/>
      <c r="CA85" s="857"/>
      <c r="CB85" s="857"/>
      <c r="CC85" s="796" t="str">
        <f t="shared" si="36"/>
        <v>中泊/特・身・療</v>
      </c>
      <c r="CD85" s="839">
        <f t="shared" si="37"/>
        <v>0</v>
      </c>
      <c r="CE85" s="796">
        <f>IF(OR(BV34="",BV34=0),0,40)</f>
        <v>0</v>
      </c>
      <c r="CF85" s="796">
        <v>330</v>
      </c>
      <c r="CG85" s="854">
        <v>40</v>
      </c>
      <c r="CH85" s="857"/>
      <c r="CI85" s="858"/>
      <c r="CJ85" s="858"/>
      <c r="CK85" s="857"/>
      <c r="CL85" s="857"/>
      <c r="CM85" s="857"/>
      <c r="CN85" s="857"/>
      <c r="CO85" s="857"/>
      <c r="CP85" s="857"/>
      <c r="CQ85" s="857"/>
      <c r="CR85" s="857"/>
      <c r="CS85" s="857"/>
      <c r="CT85" s="857"/>
      <c r="CU85" s="857"/>
      <c r="CV85" s="857"/>
      <c r="CW85" s="857"/>
      <c r="CX85" s="857"/>
      <c r="CY85" s="857"/>
    </row>
    <row r="86" spans="1:103" s="45" customFormat="1" ht="24.95" customHeight="1">
      <c r="A86" s="1276" t="s">
        <v>461</v>
      </c>
      <c r="B86" s="1276"/>
      <c r="C86" s="1276"/>
      <c r="D86" s="1276"/>
      <c r="E86" s="1276"/>
      <c r="F86" s="1276"/>
      <c r="G86" s="1276"/>
      <c r="H86" s="1276"/>
      <c r="I86" s="1276"/>
      <c r="J86" s="1276"/>
      <c r="K86" s="1276"/>
      <c r="L86" s="1276"/>
      <c r="M86" s="1276"/>
      <c r="N86" s="1276"/>
      <c r="O86" s="1276"/>
      <c r="P86" s="1276"/>
      <c r="Q86" s="1276"/>
      <c r="R86" s="1276"/>
      <c r="S86" s="1276"/>
      <c r="T86" s="1276"/>
      <c r="U86" s="1276"/>
      <c r="V86" s="1276"/>
      <c r="W86" s="1276"/>
      <c r="X86" s="1276"/>
      <c r="Y86" s="1276"/>
      <c r="Z86" s="1276"/>
      <c r="AD86" s="615"/>
      <c r="AE86" s="616"/>
      <c r="BA86" s="67">
        <v>74</v>
      </c>
      <c r="BB86" s="68">
        <f t="shared" si="33"/>
        <v>0</v>
      </c>
      <c r="BC86" s="192">
        <f t="shared" si="34"/>
        <v>0</v>
      </c>
      <c r="BD86" s="70">
        <f t="shared" si="35"/>
        <v>0</v>
      </c>
      <c r="BE86" s="70">
        <f t="shared" si="35"/>
        <v>0</v>
      </c>
      <c r="BF86" s="624" t="s">
        <v>1873</v>
      </c>
      <c r="BG86" s="192">
        <f>SUM(BG74:BG85)</f>
        <v>0</v>
      </c>
      <c r="BH86" s="192">
        <f t="shared" ref="BH86:BN86" si="38">SUM(BH74:BH85)</f>
        <v>0</v>
      </c>
      <c r="BI86" s="192">
        <f t="shared" si="38"/>
        <v>0</v>
      </c>
      <c r="BJ86" s="192">
        <f t="shared" si="38"/>
        <v>0</v>
      </c>
      <c r="BK86" s="192">
        <f t="shared" si="38"/>
        <v>0</v>
      </c>
      <c r="BL86" s="192">
        <f t="shared" si="38"/>
        <v>0</v>
      </c>
      <c r="BM86" s="192">
        <f t="shared" si="38"/>
        <v>0</v>
      </c>
      <c r="BN86" s="192">
        <f t="shared" si="38"/>
        <v>0</v>
      </c>
      <c r="BO86" s="625"/>
      <c r="BP86" s="625"/>
      <c r="BQ86" s="857"/>
      <c r="BR86" s="857"/>
      <c r="BS86" s="857"/>
      <c r="BT86" s="857"/>
      <c r="BU86" s="857"/>
      <c r="BV86" s="857"/>
      <c r="BW86" s="857"/>
      <c r="BX86" s="857"/>
      <c r="BY86" s="857"/>
      <c r="BZ86" s="857"/>
      <c r="CA86" s="857"/>
      <c r="CB86" s="857"/>
      <c r="CC86" s="796" t="str">
        <f t="shared" si="36"/>
        <v>中泊/特・身・精</v>
      </c>
      <c r="CD86" s="839">
        <f t="shared" si="37"/>
        <v>0</v>
      </c>
      <c r="CE86" s="796">
        <f>IF(OR(BV35="",BV35=0),0,39)</f>
        <v>0</v>
      </c>
      <c r="CF86" s="796">
        <v>330</v>
      </c>
      <c r="CG86" s="854">
        <v>39</v>
      </c>
      <c r="CH86" s="857"/>
      <c r="CI86" s="858"/>
      <c r="CJ86" s="858"/>
      <c r="CK86" s="857"/>
      <c r="CL86" s="857"/>
      <c r="CM86" s="857"/>
      <c r="CN86" s="857"/>
      <c r="CO86" s="857"/>
      <c r="CP86" s="857"/>
      <c r="CQ86" s="857"/>
      <c r="CR86" s="857"/>
      <c r="CS86" s="857"/>
      <c r="CT86" s="857"/>
      <c r="CU86" s="857"/>
      <c r="CV86" s="857"/>
      <c r="CW86" s="857"/>
      <c r="CX86" s="857"/>
      <c r="CY86" s="857"/>
    </row>
    <row r="87" spans="1:103" ht="24" thickBot="1">
      <c r="A87" s="317">
        <f>COUNTIFS(K98:K127,"a",H98:H127,"&gt;0")</f>
        <v>0</v>
      </c>
      <c r="B87" s="317">
        <f>COUNTIFS(X98:X127,"a",U98:U127,"&gt;0")</f>
        <v>0</v>
      </c>
      <c r="C87" s="317">
        <f>COUNTIFS(K98:K127,"b",H98:H127,"&gt;0")</f>
        <v>0</v>
      </c>
      <c r="D87" s="317">
        <f>COUNTIFS(X98:X127,"b",U98:U127,"&gt;0")</f>
        <v>0</v>
      </c>
      <c r="E87" s="317">
        <f>COUNTIFS(K98:K127,"c",H98:H127,"&gt;0")</f>
        <v>0</v>
      </c>
      <c r="F87" s="317">
        <f>COUNTIFS(X98:X127,"c",U98:U127,"&gt;0")</f>
        <v>0</v>
      </c>
      <c r="G87" s="317">
        <f>COUNTIFS(K98:K127,"d",H98:H127,"&gt;0")</f>
        <v>0</v>
      </c>
      <c r="H87" s="317">
        <f>COUNTIFS(X98:X127,"d",U98:U127,"&gt;0")</f>
        <v>0</v>
      </c>
      <c r="I87" s="317">
        <f>COUNTIFS(K98:K127,"e",H98:H127,"&gt;0")</f>
        <v>0</v>
      </c>
      <c r="J87" s="317">
        <f>COUNTIFS(X98:X127,"e",U98:U127,"&gt;0")</f>
        <v>0</v>
      </c>
      <c r="K87" s="317">
        <f>COUNTIFS(K98:K127,"f",H98:H127,"&gt;0")</f>
        <v>0</v>
      </c>
      <c r="L87" s="317">
        <f>COUNTIFS(X98:X127,"f",U98:U127,"&gt;0")</f>
        <v>0</v>
      </c>
      <c r="M87" s="317">
        <f>COUNTIFS(K98:K127,"g",H98:H127,"&gt;0")</f>
        <v>0</v>
      </c>
      <c r="N87" s="317">
        <f>COUNTIFS(X98:X127,"g",U98:U127,"&gt;0")</f>
        <v>0</v>
      </c>
      <c r="O87" s="317">
        <f>COUNTIFS(K98:K127,"h",H98:H127,"&gt;0")</f>
        <v>0</v>
      </c>
      <c r="P87" s="317">
        <f>COUNTIFS(X98:X127,"h",U98:U127,"&gt;0")</f>
        <v>0</v>
      </c>
      <c r="Q87" s="317">
        <f>COUNTIFS(K98:K127,"i",H98:H127,"&gt;0")</f>
        <v>0</v>
      </c>
      <c r="R87" s="317">
        <f>COUNTIFS(X98:X127,"i",U98:U127,"&gt;0")</f>
        <v>0</v>
      </c>
      <c r="S87" s="318">
        <f>SUM(A87:R87)</f>
        <v>0</v>
      </c>
      <c r="T87" s="318"/>
      <c r="U87" s="318"/>
      <c r="V87" s="318"/>
      <c r="W87" s="2024" t="s">
        <v>466</v>
      </c>
      <c r="X87" s="2024"/>
      <c r="Y87" s="2024">
        <v>3</v>
      </c>
      <c r="Z87" s="2024"/>
      <c r="AA87" s="14"/>
      <c r="AB87" s="14"/>
      <c r="AC87" s="14"/>
      <c r="AD87" s="617"/>
      <c r="AE87" s="616"/>
      <c r="AF87" s="14"/>
      <c r="AG87" s="14"/>
      <c r="AH87" s="14"/>
      <c r="AI87" s="14"/>
      <c r="AJ87" s="14"/>
      <c r="AK87" s="14"/>
      <c r="AL87" s="14"/>
      <c r="AM87" s="14"/>
      <c r="AN87" s="14"/>
      <c r="AO87" s="14"/>
      <c r="AP87" s="14"/>
      <c r="AQ87" s="14"/>
      <c r="AR87" s="14"/>
      <c r="AS87" s="14"/>
      <c r="AT87" s="14"/>
      <c r="AU87" s="14"/>
      <c r="AV87" s="14"/>
      <c r="AW87" s="14"/>
      <c r="AX87" s="14"/>
      <c r="AY87" s="14"/>
      <c r="AZ87" s="14"/>
      <c r="BA87" s="67">
        <v>75</v>
      </c>
      <c r="BB87" s="68">
        <f t="shared" si="33"/>
        <v>0</v>
      </c>
      <c r="BC87" s="192">
        <f t="shared" si="34"/>
        <v>0</v>
      </c>
      <c r="BD87" s="70">
        <f t="shared" si="35"/>
        <v>0</v>
      </c>
      <c r="BE87" s="70">
        <f t="shared" si="35"/>
        <v>0</v>
      </c>
      <c r="BF87" s="624"/>
      <c r="BG87" s="192"/>
      <c r="BH87" s="192"/>
      <c r="BI87" s="192"/>
      <c r="BJ87" s="624"/>
      <c r="BK87" s="625"/>
      <c r="BL87" s="625">
        <f t="shared" ref="BL87:BL101" si="39">I70</f>
        <v>0</v>
      </c>
      <c r="BM87" s="625"/>
      <c r="BN87" s="624"/>
      <c r="BO87" s="625"/>
      <c r="BP87" s="625"/>
      <c r="BQ87" s="192"/>
      <c r="BR87" s="192"/>
      <c r="BS87" s="192"/>
      <c r="BT87" s="192"/>
      <c r="BU87" s="192"/>
      <c r="BV87" s="192"/>
      <c r="BW87" s="192"/>
      <c r="BX87" s="192"/>
      <c r="BY87" s="192"/>
      <c r="BZ87" s="192"/>
      <c r="CA87" s="192"/>
      <c r="CB87" s="192"/>
      <c r="CC87" s="796" t="str">
        <f t="shared" si="36"/>
        <v>中泊/身・療・精</v>
      </c>
      <c r="CD87" s="839">
        <f t="shared" si="37"/>
        <v>0</v>
      </c>
      <c r="CE87" s="796">
        <f>IF(OR(BV36="",BV36=0),0,38)</f>
        <v>0</v>
      </c>
      <c r="CF87" s="796">
        <v>330</v>
      </c>
      <c r="CG87" s="854">
        <v>38</v>
      </c>
      <c r="CH87" s="192"/>
      <c r="CI87" s="796"/>
      <c r="CJ87" s="796"/>
      <c r="CK87" s="192"/>
      <c r="CL87" s="192"/>
      <c r="CM87" s="192"/>
      <c r="CN87" s="192"/>
      <c r="CO87" s="192"/>
      <c r="CP87" s="192"/>
      <c r="CQ87" s="192"/>
      <c r="CR87" s="192"/>
      <c r="CS87" s="192"/>
      <c r="CT87" s="192"/>
      <c r="CU87" s="192"/>
      <c r="CV87" s="192"/>
      <c r="CW87" s="192"/>
      <c r="CX87" s="192"/>
      <c r="CY87" s="192"/>
    </row>
    <row r="88" spans="1:103" s="43" customFormat="1" ht="23.25">
      <c r="A88" s="317">
        <f>COUNTIFS(K98:K127,"a",I98:I127,"&gt;0")</f>
        <v>0</v>
      </c>
      <c r="B88" s="317">
        <f>COUNTIFS(X98:X127,"a",V98:V127,"&gt;0")</f>
        <v>0</v>
      </c>
      <c r="C88" s="317">
        <f>COUNTIFS(K98:K127,"b",I98:I127,"&gt;0")</f>
        <v>0</v>
      </c>
      <c r="D88" s="317">
        <f>COUNTIFS(X98:X127,"b",V98:V127,"&gt;0")</f>
        <v>0</v>
      </c>
      <c r="E88" s="317">
        <f>COUNTIFS(K98:K127,"c",I98:I127,"&gt;0")</f>
        <v>0</v>
      </c>
      <c r="F88" s="317">
        <f>COUNTIFS(X98:X127,"c",V98:V127,"&gt;0")</f>
        <v>0</v>
      </c>
      <c r="G88" s="317">
        <f>COUNTIFS(K98:K127,"d",I98:I127,"&gt;0")</f>
        <v>0</v>
      </c>
      <c r="H88" s="317">
        <f>COUNTIFS(X98:X127,"d",V98:V127,"&gt;0")</f>
        <v>0</v>
      </c>
      <c r="I88" s="317">
        <f>COUNTIFS(K98:K127,"e",I98:I127,"&gt;0")</f>
        <v>0</v>
      </c>
      <c r="J88" s="317">
        <f>COUNTIFS(X98:X127,"e",V98:V127,"&gt;0")</f>
        <v>0</v>
      </c>
      <c r="K88" s="317">
        <f>COUNTIFS(K98:K127,"f",I98:I127,"&gt;0")</f>
        <v>0</v>
      </c>
      <c r="L88" s="317">
        <f>COUNTIFS(X98:X127,"f",V98:V127,"&gt;0")</f>
        <v>0</v>
      </c>
      <c r="M88" s="317">
        <f>COUNTIFS(K98:K127,"g",I98:I127,"&gt;0")</f>
        <v>0</v>
      </c>
      <c r="N88" s="317">
        <f>COUNTIFS(X98:X127,"g",V98:V127,"&gt;0")</f>
        <v>0</v>
      </c>
      <c r="O88" s="317">
        <f>COUNTIFS(K98:K127,"h",I98:I127,"&gt;0")</f>
        <v>0</v>
      </c>
      <c r="P88" s="317">
        <f>COUNTIFS(X98:X127,"h",V98:V127,"&gt;0")</f>
        <v>0</v>
      </c>
      <c r="Q88" s="317">
        <f>COUNTIFS(K98:K127,"i",I98:I127,"&gt;0")</f>
        <v>0</v>
      </c>
      <c r="R88" s="317">
        <f>COUNTIFS(X98:X127,"i",V98:V127,"&gt;0")</f>
        <v>0</v>
      </c>
      <c r="S88" s="318">
        <f>SUM(A88:R88)</f>
        <v>0</v>
      </c>
      <c r="T88" s="318"/>
      <c r="U88" s="318"/>
      <c r="V88" s="318"/>
      <c r="W88" s="319"/>
      <c r="X88" s="319"/>
      <c r="Y88" s="319"/>
      <c r="Z88" s="319"/>
      <c r="AA88" s="14"/>
      <c r="AB88" s="14"/>
      <c r="AC88" s="14"/>
      <c r="AD88" s="617"/>
      <c r="AE88" s="616"/>
      <c r="AF88" s="14"/>
      <c r="AG88" s="14"/>
      <c r="AH88" s="14"/>
      <c r="AJ88" s="14"/>
      <c r="AK88" s="14"/>
      <c r="AL88" s="14"/>
      <c r="AM88" s="14"/>
      <c r="AN88" s="14"/>
      <c r="AO88" s="14"/>
      <c r="AP88" s="14"/>
      <c r="AQ88" s="14"/>
      <c r="AR88" s="14"/>
      <c r="AS88" s="14"/>
      <c r="AT88" s="14"/>
      <c r="AU88" s="14"/>
      <c r="AV88" s="14"/>
      <c r="AW88" s="14"/>
      <c r="AX88" s="14"/>
      <c r="AY88" s="14"/>
      <c r="AZ88" s="14"/>
      <c r="BA88" s="67">
        <v>76</v>
      </c>
      <c r="BB88" s="68">
        <f t="shared" si="33"/>
        <v>0</v>
      </c>
      <c r="BC88" s="192">
        <f t="shared" si="34"/>
        <v>0</v>
      </c>
      <c r="BD88" s="70">
        <f t="shared" si="35"/>
        <v>0</v>
      </c>
      <c r="BE88" s="70">
        <f t="shared" si="35"/>
        <v>0</v>
      </c>
      <c r="BF88" s="624"/>
      <c r="BG88" s="192"/>
      <c r="BH88" s="192"/>
      <c r="BI88" s="192"/>
      <c r="BJ88" s="624"/>
      <c r="BK88" s="625"/>
      <c r="BL88" s="625">
        <f t="shared" si="39"/>
        <v>0</v>
      </c>
      <c r="BM88" s="625"/>
      <c r="BN88" s="624"/>
      <c r="BO88" s="625"/>
      <c r="BP88" s="625"/>
      <c r="BQ88" s="192"/>
      <c r="BR88" s="192"/>
      <c r="BS88" s="192"/>
      <c r="BT88" s="192"/>
      <c r="BU88" s="192"/>
      <c r="BV88" s="192"/>
      <c r="BW88" s="192"/>
      <c r="BX88" s="192"/>
      <c r="BY88" s="192"/>
      <c r="BZ88" s="192"/>
      <c r="CA88" s="192"/>
      <c r="CB88" s="192"/>
      <c r="CC88" s="796" t="str">
        <f t="shared" si="36"/>
        <v>中泊/特・療・精</v>
      </c>
      <c r="CD88" s="839">
        <f t="shared" si="37"/>
        <v>0</v>
      </c>
      <c r="CE88" s="796">
        <f>IF(OR(BV37="",BV37=0),0,37)</f>
        <v>0</v>
      </c>
      <c r="CF88" s="796">
        <v>330</v>
      </c>
      <c r="CG88" s="854">
        <v>37</v>
      </c>
      <c r="CH88" s="192"/>
      <c r="CI88" s="796"/>
      <c r="CJ88" s="796"/>
      <c r="CK88" s="192"/>
      <c r="CL88" s="192"/>
      <c r="CM88" s="192"/>
      <c r="CN88" s="192"/>
      <c r="CO88" s="192"/>
      <c r="CP88" s="192"/>
      <c r="CQ88" s="192"/>
      <c r="CR88" s="192"/>
      <c r="CS88" s="192"/>
      <c r="CT88" s="192"/>
      <c r="CU88" s="192"/>
      <c r="CV88" s="192"/>
      <c r="CW88" s="192"/>
      <c r="CX88" s="192"/>
      <c r="CY88" s="192"/>
    </row>
    <row r="89" spans="1:103" ht="36" customHeight="1">
      <c r="A89" s="2122" t="s">
        <v>84</v>
      </c>
      <c r="B89" s="2122"/>
      <c r="C89" s="2118">
        <f>C46</f>
        <v>0</v>
      </c>
      <c r="D89" s="2118"/>
      <c r="E89" s="2118"/>
      <c r="F89" s="2118"/>
      <c r="G89" s="2118"/>
      <c r="H89" s="2118"/>
      <c r="I89" s="2118"/>
      <c r="J89" s="2118"/>
      <c r="K89" s="2118"/>
      <c r="L89" s="2118"/>
      <c r="M89" s="2118"/>
      <c r="N89" s="2118"/>
      <c r="O89" s="2118"/>
      <c r="P89" s="2118"/>
      <c r="Q89" s="2118"/>
      <c r="R89" s="2118"/>
      <c r="S89" s="2118"/>
      <c r="T89" s="2118"/>
      <c r="U89" s="307"/>
      <c r="V89" s="307"/>
      <c r="W89" s="307"/>
      <c r="X89" s="307"/>
      <c r="Y89" s="307"/>
      <c r="Z89" s="307"/>
      <c r="AA89" s="14"/>
      <c r="AB89" s="14"/>
      <c r="AC89" s="14"/>
      <c r="AD89" s="617"/>
      <c r="AE89" s="616"/>
      <c r="AF89" s="14"/>
      <c r="AG89" s="14"/>
      <c r="AH89" s="14"/>
      <c r="AI89" s="14"/>
      <c r="AJ89" s="14"/>
      <c r="AK89" s="14"/>
      <c r="AL89" s="14"/>
      <c r="AM89" s="14"/>
      <c r="AN89" s="14"/>
      <c r="AO89" s="14"/>
      <c r="AP89" s="14"/>
      <c r="AQ89" s="14"/>
      <c r="AR89" s="14"/>
      <c r="AS89" s="14"/>
      <c r="AT89" s="14"/>
      <c r="AU89" s="14"/>
      <c r="AV89" s="14"/>
      <c r="AW89" s="14"/>
      <c r="AX89" s="14"/>
      <c r="AY89" s="14"/>
      <c r="AZ89" s="14"/>
      <c r="BA89" s="67">
        <v>77</v>
      </c>
      <c r="BB89" s="68">
        <f t="shared" si="33"/>
        <v>0</v>
      </c>
      <c r="BC89" s="192">
        <f t="shared" si="34"/>
        <v>0</v>
      </c>
      <c r="BD89" s="70">
        <f t="shared" si="35"/>
        <v>0</v>
      </c>
      <c r="BE89" s="70">
        <f t="shared" si="35"/>
        <v>0</v>
      </c>
      <c r="BF89" s="624"/>
      <c r="BG89" s="192"/>
      <c r="BH89" s="192"/>
      <c r="BI89" s="192"/>
      <c r="BJ89" s="624"/>
      <c r="BK89" s="625"/>
      <c r="BL89" s="625">
        <f t="shared" si="39"/>
        <v>0</v>
      </c>
      <c r="BM89" s="625"/>
      <c r="BN89" s="624"/>
      <c r="BO89" s="625"/>
      <c r="BP89" s="625"/>
      <c r="BQ89" s="192"/>
      <c r="BR89" s="192"/>
      <c r="BS89" s="192"/>
      <c r="BT89" s="192"/>
      <c r="BU89" s="192"/>
      <c r="BV89" s="192"/>
      <c r="BW89" s="192"/>
      <c r="BX89" s="192"/>
      <c r="BY89" s="192"/>
      <c r="BZ89" s="192"/>
      <c r="CA89" s="192"/>
      <c r="CB89" s="192"/>
      <c r="CC89" s="796" t="str">
        <f t="shared" ref="CC89:CC114" si="40">$BW$11&amp;BF12</f>
        <v>中日帰/準</v>
      </c>
      <c r="CD89" s="839">
        <f>BW12</f>
        <v>0</v>
      </c>
      <c r="CE89" s="796">
        <f>IF(OR(BW12="",BW12=0),0,36)</f>
        <v>0</v>
      </c>
      <c r="CF89" s="796">
        <v>110</v>
      </c>
      <c r="CG89" s="837">
        <v>36</v>
      </c>
      <c r="CH89" s="192"/>
      <c r="CI89" s="796"/>
      <c r="CJ89" s="796"/>
      <c r="CK89" s="192"/>
      <c r="CL89" s="192"/>
      <c r="CM89" s="192"/>
      <c r="CN89" s="192"/>
      <c r="CO89" s="192"/>
      <c r="CP89" s="192"/>
      <c r="CQ89" s="192"/>
      <c r="CR89" s="192"/>
      <c r="CS89" s="192"/>
      <c r="CT89" s="192"/>
      <c r="CU89" s="192"/>
      <c r="CV89" s="192"/>
      <c r="CW89" s="192"/>
      <c r="CX89" s="192"/>
      <c r="CY89" s="192"/>
    </row>
    <row r="90" spans="1:103" ht="15.95" customHeight="1">
      <c r="A90" s="2121" t="s">
        <v>82</v>
      </c>
      <c r="B90" s="2121"/>
      <c r="C90" s="2073">
        <f>C47</f>
        <v>0</v>
      </c>
      <c r="D90" s="2073"/>
      <c r="E90" s="1796" t="s">
        <v>16</v>
      </c>
      <c r="F90" s="2073">
        <f>F47</f>
        <v>0</v>
      </c>
      <c r="G90" s="1796" t="s">
        <v>15</v>
      </c>
      <c r="H90" s="2025">
        <f>H47</f>
        <v>0</v>
      </c>
      <c r="I90" s="1796" t="s">
        <v>14</v>
      </c>
      <c r="J90" s="1796" t="s">
        <v>436</v>
      </c>
      <c r="K90" s="2025">
        <f>K47</f>
        <v>0</v>
      </c>
      <c r="L90" s="1796" t="s">
        <v>467</v>
      </c>
      <c r="M90" s="1796" t="s">
        <v>443</v>
      </c>
      <c r="N90" s="2025">
        <f>N47</f>
        <v>0</v>
      </c>
      <c r="O90" s="1796" t="s">
        <v>15</v>
      </c>
      <c r="P90" s="2025">
        <f>P47</f>
        <v>0</v>
      </c>
      <c r="Q90" s="1796" t="s">
        <v>14</v>
      </c>
      <c r="R90" s="1796" t="s">
        <v>436</v>
      </c>
      <c r="S90" s="2025">
        <f>S47</f>
        <v>0</v>
      </c>
      <c r="T90" s="1796" t="s">
        <v>467</v>
      </c>
      <c r="U90" s="1796"/>
      <c r="V90" s="1796"/>
      <c r="W90" s="321">
        <f>W47</f>
        <v>0</v>
      </c>
      <c r="X90" s="296" t="s">
        <v>46</v>
      </c>
      <c r="Y90" s="321" t="str">
        <f>Y47</f>
        <v/>
      </c>
      <c r="Z90" s="296" t="s">
        <v>14</v>
      </c>
      <c r="AA90" s="14"/>
      <c r="AB90" s="14"/>
      <c r="AC90" s="14"/>
      <c r="AD90" s="617"/>
      <c r="AE90" s="616"/>
      <c r="AF90" s="14"/>
      <c r="AG90" s="14"/>
      <c r="AH90" s="14"/>
      <c r="AI90" s="14"/>
      <c r="AJ90" s="14"/>
      <c r="AK90" s="14"/>
      <c r="AL90" s="14"/>
      <c r="AM90" s="14"/>
      <c r="AN90" s="14"/>
      <c r="AO90" s="14"/>
      <c r="AP90" s="14"/>
      <c r="AQ90" s="14"/>
      <c r="AR90" s="14"/>
      <c r="AS90" s="14"/>
      <c r="AT90" s="14"/>
      <c r="AU90" s="14"/>
      <c r="AV90" s="14"/>
      <c r="AW90" s="14"/>
      <c r="AX90" s="14"/>
      <c r="AY90" s="14"/>
      <c r="AZ90" s="14"/>
      <c r="BA90" s="67">
        <v>78</v>
      </c>
      <c r="BB90" s="68">
        <f t="shared" si="33"/>
        <v>0</v>
      </c>
      <c r="BC90" s="192">
        <f t="shared" si="34"/>
        <v>0</v>
      </c>
      <c r="BD90" s="70">
        <f t="shared" si="35"/>
        <v>0</v>
      </c>
      <c r="BE90" s="70">
        <f t="shared" si="35"/>
        <v>0</v>
      </c>
      <c r="BF90" s="624"/>
      <c r="BG90" s="192"/>
      <c r="BH90" s="192"/>
      <c r="BI90" s="192"/>
      <c r="BJ90" s="624"/>
      <c r="BK90" s="625"/>
      <c r="BL90" s="625">
        <f t="shared" si="39"/>
        <v>0</v>
      </c>
      <c r="BM90" s="625"/>
      <c r="BN90" s="624"/>
      <c r="BO90" s="625"/>
      <c r="BP90" s="625"/>
      <c r="BQ90" s="192"/>
      <c r="BR90" s="192"/>
      <c r="BS90" s="192"/>
      <c r="BT90" s="192"/>
      <c r="BU90" s="192"/>
      <c r="BV90" s="192"/>
      <c r="BW90" s="192"/>
      <c r="BX90" s="192"/>
      <c r="BY90" s="192"/>
      <c r="BZ90" s="192"/>
      <c r="CA90" s="192"/>
      <c r="CB90" s="192"/>
      <c r="CC90" s="796" t="str">
        <f t="shared" si="40"/>
        <v>中日帰/特</v>
      </c>
      <c r="CD90" s="839">
        <f t="shared" ref="CD90:CD114" si="41">BW13</f>
        <v>0</v>
      </c>
      <c r="CE90" s="796">
        <f>IF(OR(BW13="",BW13=0),0,34)</f>
        <v>0</v>
      </c>
      <c r="CF90" s="796">
        <v>110</v>
      </c>
      <c r="CG90" s="837">
        <v>34</v>
      </c>
      <c r="CH90" s="192"/>
      <c r="CI90" s="796"/>
      <c r="CJ90" s="796"/>
      <c r="CK90" s="192"/>
      <c r="CL90" s="192"/>
      <c r="CM90" s="192"/>
      <c r="CN90" s="192"/>
      <c r="CO90" s="192"/>
      <c r="CP90" s="192"/>
      <c r="CQ90" s="192"/>
      <c r="CR90" s="192"/>
      <c r="CS90" s="192"/>
      <c r="CT90" s="192"/>
      <c r="CU90" s="192"/>
      <c r="CV90" s="192"/>
      <c r="CW90" s="192"/>
      <c r="CX90" s="192"/>
      <c r="CY90" s="192"/>
    </row>
    <row r="91" spans="1:103" ht="15.95" customHeight="1">
      <c r="A91" s="2122"/>
      <c r="B91" s="2122"/>
      <c r="C91" s="2026"/>
      <c r="D91" s="2026"/>
      <c r="E91" s="1454"/>
      <c r="F91" s="2026"/>
      <c r="G91" s="1454"/>
      <c r="H91" s="2026"/>
      <c r="I91" s="1454"/>
      <c r="J91" s="1454"/>
      <c r="K91" s="2026"/>
      <c r="L91" s="1454"/>
      <c r="M91" s="1454"/>
      <c r="N91" s="2026"/>
      <c r="O91" s="1454"/>
      <c r="P91" s="2026"/>
      <c r="Q91" s="1454"/>
      <c r="R91" s="1454"/>
      <c r="S91" s="2026"/>
      <c r="T91" s="1454"/>
      <c r="U91" s="1796"/>
      <c r="V91" s="1796"/>
      <c r="W91" s="1796" t="s">
        <v>47</v>
      </c>
      <c r="X91" s="1796"/>
      <c r="Y91" s="323" t="str">
        <f>Y48</f>
        <v/>
      </c>
      <c r="Z91" s="296" t="s">
        <v>14</v>
      </c>
      <c r="AA91" s="13"/>
      <c r="AB91" s="13"/>
      <c r="AC91" s="13"/>
      <c r="AD91" s="617"/>
      <c r="AE91" s="616"/>
      <c r="AF91" s="13"/>
      <c r="AG91" s="13"/>
      <c r="AH91" s="13"/>
      <c r="AI91" s="13"/>
      <c r="AK91" s="13"/>
      <c r="AL91" s="13"/>
      <c r="AM91" s="13"/>
      <c r="AN91" s="13"/>
      <c r="AO91" s="13"/>
      <c r="AP91" s="13"/>
      <c r="AQ91" s="13"/>
      <c r="AR91" s="13"/>
      <c r="AS91" s="13"/>
      <c r="AT91" s="13"/>
      <c r="AU91" s="13"/>
      <c r="AV91" s="13"/>
      <c r="AW91" s="13"/>
      <c r="AX91" s="13"/>
      <c r="AY91" s="13"/>
      <c r="AZ91" s="13"/>
      <c r="BA91" s="67">
        <v>79</v>
      </c>
      <c r="BB91" s="68">
        <f t="shared" si="33"/>
        <v>0</v>
      </c>
      <c r="BC91" s="192">
        <f t="shared" si="34"/>
        <v>0</v>
      </c>
      <c r="BD91" s="70">
        <f t="shared" si="35"/>
        <v>0</v>
      </c>
      <c r="BE91" s="70">
        <f t="shared" si="35"/>
        <v>0</v>
      </c>
      <c r="BF91" s="624"/>
      <c r="BG91" s="192"/>
      <c r="BH91" s="192"/>
      <c r="BI91" s="192"/>
      <c r="BJ91" s="624"/>
      <c r="BK91" s="625"/>
      <c r="BL91" s="625">
        <f t="shared" si="39"/>
        <v>0</v>
      </c>
      <c r="BM91" s="625"/>
      <c r="BN91" s="624"/>
      <c r="BO91" s="625"/>
      <c r="BP91" s="625"/>
      <c r="BQ91" s="192"/>
      <c r="BR91" s="192"/>
      <c r="BS91" s="192"/>
      <c r="BT91" s="192"/>
      <c r="BU91" s="192"/>
      <c r="BV91" s="192"/>
      <c r="BW91" s="192"/>
      <c r="BX91" s="192"/>
      <c r="BY91" s="192"/>
      <c r="BZ91" s="192"/>
      <c r="CA91" s="192"/>
      <c r="CB91" s="192"/>
      <c r="CC91" s="796" t="str">
        <f t="shared" si="40"/>
        <v>中日帰/身</v>
      </c>
      <c r="CD91" s="839">
        <f t="shared" si="41"/>
        <v>0</v>
      </c>
      <c r="CE91" s="796">
        <f>IF(OR(BW14="",BW14=0),0,33)</f>
        <v>0</v>
      </c>
      <c r="CF91" s="796">
        <v>110</v>
      </c>
      <c r="CG91" s="837">
        <v>33</v>
      </c>
      <c r="CH91" s="192"/>
      <c r="CI91" s="796"/>
      <c r="CJ91" s="796"/>
      <c r="CK91" s="192"/>
      <c r="CL91" s="192"/>
      <c r="CM91" s="192"/>
      <c r="CN91" s="192"/>
      <c r="CO91" s="192"/>
      <c r="CP91" s="192"/>
      <c r="CQ91" s="192"/>
      <c r="CR91" s="192"/>
      <c r="CS91" s="192"/>
      <c r="CT91" s="192"/>
      <c r="CU91" s="192"/>
      <c r="CV91" s="192"/>
      <c r="CW91" s="192"/>
      <c r="CX91" s="192"/>
      <c r="CY91" s="192"/>
    </row>
    <row r="92" spans="1:103" ht="24.95" customHeight="1">
      <c r="A92" s="324"/>
      <c r="B92" s="324"/>
      <c r="C92" s="324"/>
      <c r="D92" s="324"/>
      <c r="E92" s="324"/>
      <c r="F92" s="324"/>
      <c r="G92" s="324"/>
      <c r="H92" s="324"/>
      <c r="I92" s="324"/>
      <c r="J92" s="324"/>
      <c r="K92" s="324"/>
      <c r="L92" s="324"/>
      <c r="M92" s="324"/>
      <c r="N92" s="324"/>
      <c r="O92" s="324"/>
      <c r="P92" s="324"/>
      <c r="Q92" s="324"/>
      <c r="R92" s="324"/>
      <c r="S92" s="324"/>
      <c r="T92" s="324"/>
      <c r="U92" s="325"/>
      <c r="V92" s="325"/>
      <c r="W92" s="325"/>
      <c r="X92" s="325"/>
      <c r="Y92" s="325"/>
      <c r="Z92" s="325"/>
      <c r="AA92" s="13"/>
      <c r="AB92" s="13"/>
      <c r="AC92" s="13"/>
      <c r="AD92" s="617"/>
      <c r="AE92" s="616"/>
      <c r="AF92" s="13"/>
      <c r="AG92" s="13"/>
      <c r="AH92" s="13"/>
      <c r="AI92" s="13"/>
      <c r="AK92" s="13"/>
      <c r="AL92" s="13"/>
      <c r="AM92" s="13"/>
      <c r="AN92" s="13"/>
      <c r="AO92" s="13"/>
      <c r="AP92" s="13"/>
      <c r="AQ92" s="13"/>
      <c r="AR92" s="13"/>
      <c r="AS92" s="13"/>
      <c r="AT92" s="13"/>
      <c r="AU92" s="13"/>
      <c r="AV92" s="13"/>
      <c r="AW92" s="13"/>
      <c r="AX92" s="13"/>
      <c r="AY92" s="13"/>
      <c r="AZ92" s="13"/>
      <c r="BA92" s="67">
        <v>80</v>
      </c>
      <c r="BB92" s="68">
        <f t="shared" si="33"/>
        <v>0</v>
      </c>
      <c r="BC92" s="192">
        <f t="shared" si="34"/>
        <v>0</v>
      </c>
      <c r="BD92" s="70">
        <f t="shared" si="35"/>
        <v>0</v>
      </c>
      <c r="BE92" s="70">
        <f t="shared" si="35"/>
        <v>0</v>
      </c>
      <c r="BF92" s="192"/>
      <c r="BG92" s="192"/>
      <c r="BH92" s="192"/>
      <c r="BI92" s="192"/>
      <c r="BJ92" s="624"/>
      <c r="BK92" s="625"/>
      <c r="BL92" s="625">
        <f t="shared" si="39"/>
        <v>0</v>
      </c>
      <c r="BM92" s="625"/>
      <c r="BN92" s="624"/>
      <c r="BO92" s="625"/>
      <c r="BP92" s="625"/>
      <c r="BQ92" s="192"/>
      <c r="BR92" s="192"/>
      <c r="BS92" s="192"/>
      <c r="BT92" s="192"/>
      <c r="BU92" s="192"/>
      <c r="BV92" s="192"/>
      <c r="BW92" s="192"/>
      <c r="BX92" s="192"/>
      <c r="BY92" s="192"/>
      <c r="BZ92" s="192"/>
      <c r="CA92" s="192"/>
      <c r="CB92" s="192"/>
      <c r="CC92" s="796" t="str">
        <f t="shared" si="40"/>
        <v>中日帰/療</v>
      </c>
      <c r="CD92" s="839">
        <f t="shared" si="41"/>
        <v>0</v>
      </c>
      <c r="CE92" s="796">
        <f>IF(OR(BW15="",BW15=0),0,32)</f>
        <v>0</v>
      </c>
      <c r="CF92" s="796">
        <v>110</v>
      </c>
      <c r="CG92" s="837">
        <v>32</v>
      </c>
      <c r="CH92" s="192"/>
      <c r="CI92" s="796"/>
      <c r="CJ92" s="796"/>
      <c r="CK92" s="192"/>
      <c r="CL92" s="192"/>
      <c r="CM92" s="192"/>
      <c r="CN92" s="192"/>
      <c r="CO92" s="192"/>
      <c r="CP92" s="192"/>
      <c r="CQ92" s="192"/>
      <c r="CR92" s="192"/>
      <c r="CS92" s="192"/>
      <c r="CT92" s="192"/>
      <c r="CU92" s="192"/>
      <c r="CV92" s="192"/>
      <c r="CW92" s="192"/>
      <c r="CX92" s="192"/>
      <c r="CY92" s="192"/>
    </row>
    <row r="93" spans="1:103" ht="12.6" customHeight="1">
      <c r="A93" s="1773" t="s">
        <v>465</v>
      </c>
      <c r="B93" s="2032" t="s">
        <v>163</v>
      </c>
      <c r="C93" s="2033"/>
      <c r="D93" s="2033"/>
      <c r="E93" s="2033"/>
      <c r="F93" s="2033"/>
      <c r="G93" s="2034"/>
      <c r="H93" s="2043" t="s">
        <v>164</v>
      </c>
      <c r="I93" s="2034"/>
      <c r="J93" s="2032" t="s">
        <v>165</v>
      </c>
      <c r="K93" s="2033"/>
      <c r="L93" s="2033"/>
      <c r="M93" s="2045"/>
      <c r="N93" s="2029" t="s">
        <v>450</v>
      </c>
      <c r="O93" s="2032" t="s">
        <v>163</v>
      </c>
      <c r="P93" s="2033"/>
      <c r="Q93" s="2033"/>
      <c r="R93" s="2033"/>
      <c r="S93" s="2033"/>
      <c r="T93" s="2034"/>
      <c r="U93" s="2043" t="s">
        <v>164</v>
      </c>
      <c r="V93" s="2034"/>
      <c r="W93" s="2032" t="s">
        <v>165</v>
      </c>
      <c r="X93" s="2033"/>
      <c r="Y93" s="2033"/>
      <c r="Z93" s="2045"/>
      <c r="AA93" s="13"/>
      <c r="AB93" s="13"/>
      <c r="AC93" s="13"/>
      <c r="AD93" s="617"/>
      <c r="AE93" s="616"/>
      <c r="AF93" s="13"/>
      <c r="AG93" s="13"/>
      <c r="AH93" s="13"/>
      <c r="AI93" s="13"/>
      <c r="AK93" s="13"/>
      <c r="AL93" s="13"/>
      <c r="AM93" s="13"/>
      <c r="AN93" s="13"/>
      <c r="AO93" s="13"/>
      <c r="AP93" s="13"/>
      <c r="AQ93" s="13"/>
      <c r="AR93" s="13"/>
      <c r="AS93" s="13"/>
      <c r="AT93" s="13"/>
      <c r="AU93" s="13"/>
      <c r="AV93" s="13"/>
      <c r="AW93" s="13"/>
      <c r="AX93" s="13"/>
      <c r="AY93" s="13"/>
      <c r="AZ93" s="13"/>
      <c r="BA93" s="67">
        <v>81</v>
      </c>
      <c r="BB93" s="68">
        <f>COUNTA(H98:I98)</f>
        <v>0</v>
      </c>
      <c r="BC93" s="192">
        <f>COUNTA(K98)</f>
        <v>0</v>
      </c>
      <c r="BD93" s="70">
        <f>BB93-COUNTA(H98)</f>
        <v>0</v>
      </c>
      <c r="BE93" s="70">
        <f>BC93-COUNTA(I98)</f>
        <v>0</v>
      </c>
      <c r="BF93" s="192"/>
      <c r="BG93" s="192"/>
      <c r="BH93" s="192"/>
      <c r="BI93" s="192"/>
      <c r="BJ93" s="624"/>
      <c r="BK93" s="625"/>
      <c r="BL93" s="625">
        <f t="shared" si="39"/>
        <v>0</v>
      </c>
      <c r="BM93" s="625"/>
      <c r="BN93" s="624"/>
      <c r="BO93" s="625"/>
      <c r="BP93" s="625"/>
      <c r="BQ93" s="192"/>
      <c r="BR93" s="192"/>
      <c r="BS93" s="192"/>
      <c r="BT93" s="192"/>
      <c r="BU93" s="192"/>
      <c r="BV93" s="192"/>
      <c r="BW93" s="192"/>
      <c r="BX93" s="192"/>
      <c r="BY93" s="192"/>
      <c r="BZ93" s="192"/>
      <c r="CA93" s="192"/>
      <c r="CB93" s="192"/>
      <c r="CC93" s="796" t="str">
        <f t="shared" si="40"/>
        <v>中日帰/精</v>
      </c>
      <c r="CD93" s="839">
        <f t="shared" si="41"/>
        <v>0</v>
      </c>
      <c r="CE93" s="796">
        <f>IF(OR(BW16="",BW16=0),0,31)</f>
        <v>0</v>
      </c>
      <c r="CF93" s="796">
        <v>110</v>
      </c>
      <c r="CG93" s="837">
        <v>31</v>
      </c>
      <c r="CH93" s="192"/>
      <c r="CI93" s="796"/>
      <c r="CJ93" s="796"/>
      <c r="CK93" s="192"/>
      <c r="CL93" s="192"/>
      <c r="CM93" s="192"/>
      <c r="CN93" s="192"/>
      <c r="CO93" s="192"/>
      <c r="CP93" s="192"/>
      <c r="CQ93" s="192"/>
      <c r="CR93" s="192"/>
      <c r="CS93" s="192"/>
      <c r="CT93" s="192"/>
      <c r="CU93" s="192"/>
      <c r="CV93" s="192"/>
      <c r="CW93" s="192"/>
      <c r="CX93" s="192"/>
      <c r="CY93" s="192"/>
    </row>
    <row r="94" spans="1:103" ht="13.5" customHeight="1">
      <c r="A94" s="1773"/>
      <c r="B94" s="2035"/>
      <c r="C94" s="2036"/>
      <c r="D94" s="2036"/>
      <c r="E94" s="2036"/>
      <c r="F94" s="2036"/>
      <c r="G94" s="2037"/>
      <c r="H94" s="2038"/>
      <c r="I94" s="2040"/>
      <c r="J94" s="2038"/>
      <c r="K94" s="2039"/>
      <c r="L94" s="2039"/>
      <c r="M94" s="2046"/>
      <c r="N94" s="2030"/>
      <c r="O94" s="2035"/>
      <c r="P94" s="2036"/>
      <c r="Q94" s="2036"/>
      <c r="R94" s="2036"/>
      <c r="S94" s="2036"/>
      <c r="T94" s="2037"/>
      <c r="U94" s="2038"/>
      <c r="V94" s="2040"/>
      <c r="W94" s="2038"/>
      <c r="X94" s="2039"/>
      <c r="Y94" s="2039"/>
      <c r="Z94" s="2046"/>
      <c r="AA94" s="13"/>
      <c r="AB94" s="13"/>
      <c r="AC94" s="13"/>
      <c r="AD94" s="617"/>
      <c r="AE94" s="616"/>
      <c r="AF94" s="13"/>
      <c r="AG94" s="13"/>
      <c r="AH94" s="13"/>
      <c r="AI94" s="13"/>
      <c r="AK94" s="13"/>
      <c r="AL94" s="13"/>
      <c r="AM94" s="13"/>
      <c r="AN94" s="13"/>
      <c r="AO94" s="13"/>
      <c r="AP94" s="13"/>
      <c r="AQ94" s="13"/>
      <c r="AR94" s="13"/>
      <c r="AS94" s="13"/>
      <c r="AT94" s="13"/>
      <c r="AU94" s="13"/>
      <c r="AV94" s="13"/>
      <c r="AW94" s="13"/>
      <c r="AX94" s="13"/>
      <c r="AY94" s="13"/>
      <c r="AZ94" s="13"/>
      <c r="BA94" s="67">
        <v>82</v>
      </c>
      <c r="BB94" s="68">
        <f t="shared" ref="BB94:BB122" si="42">COUNTA(H99:I99)</f>
        <v>0</v>
      </c>
      <c r="BC94" s="192">
        <f t="shared" ref="BC94:BC122" si="43">COUNTA(K99)</f>
        <v>0</v>
      </c>
      <c r="BD94" s="70">
        <f t="shared" ref="BD94:BE122" si="44">BB94-COUNTA(H99)</f>
        <v>0</v>
      </c>
      <c r="BE94" s="70">
        <f t="shared" si="44"/>
        <v>0</v>
      </c>
      <c r="BF94" s="192"/>
      <c r="BG94" s="192"/>
      <c r="BH94" s="192"/>
      <c r="BI94" s="192"/>
      <c r="BJ94" s="624"/>
      <c r="BK94" s="625"/>
      <c r="BL94" s="625">
        <f t="shared" si="39"/>
        <v>0</v>
      </c>
      <c r="BM94" s="625"/>
      <c r="BN94" s="624"/>
      <c r="BO94" s="625"/>
      <c r="BP94" s="625"/>
      <c r="BQ94" s="192"/>
      <c r="BR94" s="192"/>
      <c r="BS94" s="192"/>
      <c r="BT94" s="192"/>
      <c r="BU94" s="192"/>
      <c r="BV94" s="192"/>
      <c r="BW94" s="192"/>
      <c r="BX94" s="192"/>
      <c r="BY94" s="192"/>
      <c r="BZ94" s="192"/>
      <c r="CA94" s="192"/>
      <c r="CB94" s="192"/>
      <c r="CC94" s="796" t="str">
        <f t="shared" si="40"/>
        <v>中日帰/介添</v>
      </c>
      <c r="CD94" s="839">
        <f t="shared" si="41"/>
        <v>0</v>
      </c>
      <c r="CE94" s="796">
        <f>IF(OR(BW17="",BW17=0),0,30)</f>
        <v>0</v>
      </c>
      <c r="CF94" s="796">
        <v>110</v>
      </c>
      <c r="CG94" s="837">
        <v>30</v>
      </c>
      <c r="CH94" s="192"/>
      <c r="CI94" s="796"/>
      <c r="CJ94" s="796"/>
      <c r="CK94" s="192"/>
      <c r="CL94" s="192"/>
      <c r="CM94" s="192"/>
      <c r="CN94" s="192"/>
      <c r="CO94" s="192"/>
      <c r="CP94" s="192"/>
      <c r="CQ94" s="192"/>
      <c r="CR94" s="192"/>
      <c r="CS94" s="192"/>
      <c r="CT94" s="192"/>
      <c r="CU94" s="192"/>
      <c r="CV94" s="192"/>
      <c r="CW94" s="192"/>
      <c r="CX94" s="192"/>
      <c r="CY94" s="192"/>
    </row>
    <row r="95" spans="1:103" ht="26.1" customHeight="1">
      <c r="A95" s="1773"/>
      <c r="B95" s="2035"/>
      <c r="C95" s="2036"/>
      <c r="D95" s="2036"/>
      <c r="E95" s="2036"/>
      <c r="F95" s="2036"/>
      <c r="G95" s="2037"/>
      <c r="H95" s="2059" t="s">
        <v>48</v>
      </c>
      <c r="I95" s="2060" t="s">
        <v>47</v>
      </c>
      <c r="J95" s="2041" t="s">
        <v>529</v>
      </c>
      <c r="K95" s="2047" t="s">
        <v>528</v>
      </c>
      <c r="L95" s="2048"/>
      <c r="M95" s="2049"/>
      <c r="N95" s="2030"/>
      <c r="O95" s="2035"/>
      <c r="P95" s="2036"/>
      <c r="Q95" s="2036"/>
      <c r="R95" s="2036"/>
      <c r="S95" s="2036"/>
      <c r="T95" s="2037"/>
      <c r="U95" s="2059" t="s">
        <v>48</v>
      </c>
      <c r="V95" s="2060" t="s">
        <v>47</v>
      </c>
      <c r="W95" s="2041" t="s">
        <v>529</v>
      </c>
      <c r="X95" s="2047" t="s">
        <v>528</v>
      </c>
      <c r="Y95" s="2048"/>
      <c r="Z95" s="2049"/>
      <c r="AA95" s="13"/>
      <c r="AB95" s="13"/>
      <c r="AC95" s="13"/>
      <c r="AD95" s="617"/>
      <c r="AE95" s="616"/>
      <c r="AF95" s="13"/>
      <c r="AG95" s="13"/>
      <c r="AH95" s="13"/>
      <c r="AI95" s="13"/>
      <c r="AK95" s="13"/>
      <c r="AL95" s="13"/>
      <c r="AM95" s="13"/>
      <c r="AN95" s="13"/>
      <c r="AO95" s="13"/>
      <c r="AP95" s="13"/>
      <c r="AQ95" s="13"/>
      <c r="AR95" s="13"/>
      <c r="AS95" s="13"/>
      <c r="AT95" s="13"/>
      <c r="AU95" s="13"/>
      <c r="AV95" s="13"/>
      <c r="AW95" s="13"/>
      <c r="AX95" s="13"/>
      <c r="AY95" s="13"/>
      <c r="AZ95" s="13"/>
      <c r="BA95" s="67">
        <v>83</v>
      </c>
      <c r="BB95" s="68">
        <f t="shared" si="42"/>
        <v>0</v>
      </c>
      <c r="BC95" s="192">
        <f t="shared" si="43"/>
        <v>0</v>
      </c>
      <c r="BD95" s="70">
        <f t="shared" si="44"/>
        <v>0</v>
      </c>
      <c r="BE95" s="70">
        <f t="shared" si="44"/>
        <v>0</v>
      </c>
      <c r="BF95" s="192"/>
      <c r="BG95" s="192"/>
      <c r="BH95" s="192"/>
      <c r="BI95" s="192"/>
      <c r="BJ95" s="624"/>
      <c r="BK95" s="625"/>
      <c r="BL95" s="625">
        <f t="shared" si="39"/>
        <v>0</v>
      </c>
      <c r="BM95" s="625"/>
      <c r="BN95" s="624"/>
      <c r="BO95" s="625"/>
      <c r="BP95" s="625"/>
      <c r="BQ95" s="192"/>
      <c r="BR95" s="192"/>
      <c r="BS95" s="192"/>
      <c r="BT95" s="192"/>
      <c r="BU95" s="192"/>
      <c r="BV95" s="192"/>
      <c r="BW95" s="192"/>
      <c r="BX95" s="192"/>
      <c r="BY95" s="192"/>
      <c r="BZ95" s="192"/>
      <c r="CA95" s="192"/>
      <c r="CB95" s="192"/>
      <c r="CC95" s="796" t="str">
        <f t="shared" si="40"/>
        <v>中日帰/準・特</v>
      </c>
      <c r="CD95" s="839">
        <f t="shared" si="41"/>
        <v>0</v>
      </c>
      <c r="CE95" s="796">
        <f>IF(OR(BW18="",BW18=0),0,29)</f>
        <v>0</v>
      </c>
      <c r="CF95" s="796">
        <v>110</v>
      </c>
      <c r="CG95" s="837">
        <v>29</v>
      </c>
      <c r="CH95" s="192"/>
      <c r="CI95" s="796"/>
      <c r="CJ95" s="796"/>
      <c r="CK95" s="192"/>
      <c r="CL95" s="192"/>
      <c r="CM95" s="192"/>
      <c r="CN95" s="192"/>
      <c r="CO95" s="192"/>
      <c r="CP95" s="192"/>
      <c r="CQ95" s="192"/>
      <c r="CR95" s="192"/>
      <c r="CS95" s="192"/>
      <c r="CT95" s="192"/>
      <c r="CU95" s="192"/>
      <c r="CV95" s="192"/>
      <c r="CW95" s="192"/>
      <c r="CX95" s="192"/>
      <c r="CY95" s="192"/>
    </row>
    <row r="96" spans="1:103" ht="26.1" customHeight="1">
      <c r="A96" s="1773"/>
      <c r="B96" s="2035"/>
      <c r="C96" s="2036"/>
      <c r="D96" s="2036"/>
      <c r="E96" s="2036"/>
      <c r="F96" s="2036"/>
      <c r="G96" s="2037"/>
      <c r="H96" s="2059"/>
      <c r="I96" s="2060"/>
      <c r="J96" s="2042"/>
      <c r="K96" s="2047"/>
      <c r="L96" s="2048"/>
      <c r="M96" s="2049"/>
      <c r="N96" s="2030"/>
      <c r="O96" s="2035"/>
      <c r="P96" s="2036"/>
      <c r="Q96" s="2036"/>
      <c r="R96" s="2036"/>
      <c r="S96" s="2036"/>
      <c r="T96" s="2037"/>
      <c r="U96" s="2059"/>
      <c r="V96" s="2060"/>
      <c r="W96" s="2042"/>
      <c r="X96" s="2047"/>
      <c r="Y96" s="2048"/>
      <c r="Z96" s="2049"/>
      <c r="AA96" s="9"/>
      <c r="AB96" s="9"/>
      <c r="AC96" s="9"/>
      <c r="AD96" s="617"/>
      <c r="AE96" s="616"/>
      <c r="AF96" s="9"/>
      <c r="AG96" s="9"/>
      <c r="AH96" s="9"/>
      <c r="AI96" s="9"/>
      <c r="AJ96" s="9"/>
      <c r="AK96" s="9"/>
      <c r="AL96" s="9"/>
      <c r="AM96" s="9"/>
      <c r="AN96" s="9"/>
      <c r="AO96" s="9"/>
      <c r="AP96" s="9"/>
      <c r="AQ96" s="9"/>
      <c r="AR96" s="9"/>
      <c r="AS96" s="9"/>
      <c r="AT96" s="9"/>
      <c r="AU96" s="9"/>
      <c r="AV96" s="9"/>
      <c r="AW96" s="9"/>
      <c r="AX96" s="9"/>
      <c r="AY96" s="9"/>
      <c r="AZ96" s="9"/>
      <c r="BA96" s="67">
        <v>84</v>
      </c>
      <c r="BB96" s="68">
        <f t="shared" si="42"/>
        <v>0</v>
      </c>
      <c r="BC96" s="192">
        <f t="shared" si="43"/>
        <v>0</v>
      </c>
      <c r="BD96" s="70">
        <f t="shared" si="44"/>
        <v>0</v>
      </c>
      <c r="BE96" s="70">
        <f t="shared" si="44"/>
        <v>0</v>
      </c>
      <c r="BF96" s="192"/>
      <c r="BG96" s="192"/>
      <c r="BH96" s="192"/>
      <c r="BI96" s="192"/>
      <c r="BJ96" s="624"/>
      <c r="BK96" s="625"/>
      <c r="BL96" s="625">
        <f t="shared" si="39"/>
        <v>0</v>
      </c>
      <c r="BM96" s="625"/>
      <c r="BN96" s="624"/>
      <c r="BO96" s="625"/>
      <c r="BP96" s="625"/>
      <c r="BQ96" s="192"/>
      <c r="BR96" s="192"/>
      <c r="BS96" s="192"/>
      <c r="BT96" s="192"/>
      <c r="BU96" s="192"/>
      <c r="BV96" s="192"/>
      <c r="BW96" s="192"/>
      <c r="BX96" s="192"/>
      <c r="BY96" s="192"/>
      <c r="BZ96" s="192"/>
      <c r="CA96" s="192"/>
      <c r="CB96" s="192"/>
      <c r="CC96" s="796" t="str">
        <f t="shared" si="40"/>
        <v>中日帰/準・身</v>
      </c>
      <c r="CD96" s="839">
        <f t="shared" si="41"/>
        <v>0</v>
      </c>
      <c r="CE96" s="796">
        <f>IF(OR(BW19="",BW19=0),0,28)</f>
        <v>0</v>
      </c>
      <c r="CF96" s="796">
        <v>110</v>
      </c>
      <c r="CG96" s="837">
        <v>28</v>
      </c>
      <c r="CH96" s="192"/>
      <c r="CI96" s="796"/>
      <c r="CJ96" s="796"/>
      <c r="CK96" s="192"/>
      <c r="CL96" s="192"/>
      <c r="CM96" s="192"/>
      <c r="CN96" s="192"/>
      <c r="CO96" s="192"/>
      <c r="CP96" s="192"/>
      <c r="CQ96" s="192"/>
      <c r="CR96" s="192"/>
      <c r="CS96" s="192"/>
      <c r="CT96" s="192"/>
      <c r="CU96" s="192"/>
      <c r="CV96" s="192"/>
      <c r="CW96" s="192"/>
      <c r="CX96" s="192"/>
      <c r="CY96" s="192"/>
    </row>
    <row r="97" spans="1:103" ht="26.1" customHeight="1">
      <c r="A97" s="1773"/>
      <c r="B97" s="2038"/>
      <c r="C97" s="2039"/>
      <c r="D97" s="2039"/>
      <c r="E97" s="2039"/>
      <c r="F97" s="2039"/>
      <c r="G97" s="2040"/>
      <c r="H97" s="2059"/>
      <c r="I97" s="2060"/>
      <c r="J97" s="2042"/>
      <c r="K97" s="2050"/>
      <c r="L97" s="2051"/>
      <c r="M97" s="2052"/>
      <c r="N97" s="2031"/>
      <c r="O97" s="2038"/>
      <c r="P97" s="2039"/>
      <c r="Q97" s="2039"/>
      <c r="R97" s="2039"/>
      <c r="S97" s="2039"/>
      <c r="T97" s="2040"/>
      <c r="U97" s="2059"/>
      <c r="V97" s="2060"/>
      <c r="W97" s="2042"/>
      <c r="X97" s="2050"/>
      <c r="Y97" s="2051"/>
      <c r="Z97" s="2052"/>
      <c r="AA97" s="9"/>
      <c r="AB97" s="9"/>
      <c r="AC97" s="9"/>
      <c r="AD97" s="617"/>
      <c r="AE97" s="616"/>
      <c r="AF97" s="9"/>
      <c r="AG97" s="9"/>
      <c r="AH97" s="9"/>
      <c r="AI97" s="9"/>
      <c r="AJ97" s="9"/>
      <c r="AK97" s="9"/>
      <c r="AL97" s="9"/>
      <c r="AM97" s="9"/>
      <c r="AN97" s="9"/>
      <c r="AO97" s="9"/>
      <c r="AP97" s="9"/>
      <c r="AQ97" s="9"/>
      <c r="AR97" s="9"/>
      <c r="AS97" s="9"/>
      <c r="AT97" s="9"/>
      <c r="AU97" s="9"/>
      <c r="AV97" s="9"/>
      <c r="AW97" s="9"/>
      <c r="AX97" s="9"/>
      <c r="AY97" s="9"/>
      <c r="AZ97" s="9"/>
      <c r="BA97" s="67">
        <v>85</v>
      </c>
      <c r="BB97" s="68">
        <f t="shared" si="42"/>
        <v>0</v>
      </c>
      <c r="BC97" s="192">
        <f t="shared" si="43"/>
        <v>0</v>
      </c>
      <c r="BD97" s="70">
        <f t="shared" si="44"/>
        <v>0</v>
      </c>
      <c r="BE97" s="70">
        <f t="shared" si="44"/>
        <v>0</v>
      </c>
      <c r="BF97" s="192"/>
      <c r="BG97" s="192"/>
      <c r="BH97" s="192"/>
      <c r="BI97" s="192"/>
      <c r="BJ97" s="624"/>
      <c r="BK97" s="625"/>
      <c r="BL97" s="625">
        <f t="shared" si="39"/>
        <v>0</v>
      </c>
      <c r="BM97" s="625"/>
      <c r="BN97" s="624"/>
      <c r="BO97" s="625"/>
      <c r="BP97" s="625"/>
      <c r="BQ97" s="192"/>
      <c r="BR97" s="192"/>
      <c r="BS97" s="192"/>
      <c r="BT97" s="192"/>
      <c r="BU97" s="192"/>
      <c r="BV97" s="192"/>
      <c r="BW97" s="192"/>
      <c r="BX97" s="192"/>
      <c r="BY97" s="192"/>
      <c r="BZ97" s="192"/>
      <c r="CA97" s="192"/>
      <c r="CB97" s="192"/>
      <c r="CC97" s="796" t="str">
        <f t="shared" si="40"/>
        <v>中日帰/準・療</v>
      </c>
      <c r="CD97" s="839">
        <f t="shared" si="41"/>
        <v>0</v>
      </c>
      <c r="CE97" s="796">
        <f>IF(OR(BW20="",BW20=0),0,27)</f>
        <v>0</v>
      </c>
      <c r="CF97" s="796">
        <v>110</v>
      </c>
      <c r="CG97" s="837">
        <v>27</v>
      </c>
      <c r="CH97" s="192"/>
      <c r="CI97" s="796"/>
      <c r="CJ97" s="796"/>
      <c r="CK97" s="192"/>
      <c r="CL97" s="192"/>
      <c r="CM97" s="192"/>
      <c r="CN97" s="192"/>
      <c r="CO97" s="192"/>
      <c r="CP97" s="192"/>
      <c r="CQ97" s="192"/>
      <c r="CR97" s="192"/>
      <c r="CS97" s="192"/>
      <c r="CT97" s="192"/>
      <c r="CU97" s="192"/>
      <c r="CV97" s="192"/>
      <c r="CW97" s="192"/>
      <c r="CX97" s="192"/>
      <c r="CY97" s="192"/>
    </row>
    <row r="98" spans="1:103" ht="24.95" customHeight="1">
      <c r="A98" s="326">
        <v>81</v>
      </c>
      <c r="B98" s="2021"/>
      <c r="C98" s="2022"/>
      <c r="D98" s="2022"/>
      <c r="E98" s="2022"/>
      <c r="F98" s="2022"/>
      <c r="G98" s="2023"/>
      <c r="H98" s="327"/>
      <c r="I98" s="328"/>
      <c r="J98" s="329"/>
      <c r="K98" s="2012"/>
      <c r="L98" s="2013"/>
      <c r="M98" s="2014"/>
      <c r="N98" s="331">
        <v>111</v>
      </c>
      <c r="O98" s="2021"/>
      <c r="P98" s="2022"/>
      <c r="Q98" s="2022"/>
      <c r="R98" s="2022"/>
      <c r="S98" s="2022"/>
      <c r="T98" s="2023"/>
      <c r="U98" s="327"/>
      <c r="V98" s="328"/>
      <c r="W98" s="329"/>
      <c r="X98" s="2012"/>
      <c r="Y98" s="2013"/>
      <c r="Z98" s="2014"/>
      <c r="AA98" s="9"/>
      <c r="AB98" s="9"/>
      <c r="AC98" s="9"/>
      <c r="AD98" s="617"/>
      <c r="AE98" s="618"/>
      <c r="AF98" s="9"/>
      <c r="AG98" s="9"/>
      <c r="AH98" s="9"/>
      <c r="AI98" s="9"/>
      <c r="AJ98" s="9"/>
      <c r="AK98" s="9"/>
      <c r="AL98" s="9"/>
      <c r="AM98" s="9"/>
      <c r="AN98" s="9"/>
      <c r="AO98" s="9"/>
      <c r="AP98" s="9"/>
      <c r="AQ98" s="9"/>
      <c r="AR98" s="9"/>
      <c r="AS98" s="9"/>
      <c r="AT98" s="9"/>
      <c r="AU98" s="9"/>
      <c r="AV98" s="9"/>
      <c r="AW98" s="9"/>
      <c r="AX98" s="9"/>
      <c r="AY98" s="9"/>
      <c r="AZ98" s="9"/>
      <c r="BA98" s="67">
        <v>86</v>
      </c>
      <c r="BB98" s="68">
        <f t="shared" si="42"/>
        <v>0</v>
      </c>
      <c r="BC98" s="192">
        <f t="shared" si="43"/>
        <v>0</v>
      </c>
      <c r="BD98" s="70">
        <f t="shared" si="44"/>
        <v>0</v>
      </c>
      <c r="BE98" s="70">
        <f t="shared" si="44"/>
        <v>0</v>
      </c>
      <c r="BF98" s="192"/>
      <c r="BG98" s="192"/>
      <c r="BH98" s="192"/>
      <c r="BI98" s="192"/>
      <c r="BJ98" s="624"/>
      <c r="BK98" s="625"/>
      <c r="BL98" s="625">
        <f t="shared" si="39"/>
        <v>0</v>
      </c>
      <c r="BM98" s="625"/>
      <c r="BN98" s="624"/>
      <c r="BO98" s="625"/>
      <c r="BP98" s="625"/>
      <c r="BQ98" s="192"/>
      <c r="BR98" s="192"/>
      <c r="BS98" s="192"/>
      <c r="BT98" s="192"/>
      <c r="BU98" s="192"/>
      <c r="BV98" s="192"/>
      <c r="BW98" s="192"/>
      <c r="BX98" s="192"/>
      <c r="BY98" s="192"/>
      <c r="BZ98" s="192"/>
      <c r="CA98" s="192"/>
      <c r="CB98" s="192"/>
      <c r="CC98" s="796" t="str">
        <f t="shared" si="40"/>
        <v>中日帰/準・精</v>
      </c>
      <c r="CD98" s="839">
        <f t="shared" si="41"/>
        <v>0</v>
      </c>
      <c r="CE98" s="796">
        <f>IF(OR(BW21="",BW21=0),0,26)</f>
        <v>0</v>
      </c>
      <c r="CF98" s="796">
        <v>110</v>
      </c>
      <c r="CG98" s="837">
        <v>26</v>
      </c>
      <c r="CH98" s="192"/>
      <c r="CI98" s="796"/>
      <c r="CJ98" s="796"/>
      <c r="CK98" s="192"/>
      <c r="CL98" s="192"/>
      <c r="CM98" s="192"/>
      <c r="CN98" s="192"/>
      <c r="CO98" s="192"/>
      <c r="CP98" s="192"/>
      <c r="CQ98" s="192"/>
      <c r="CR98" s="192"/>
      <c r="CS98" s="192"/>
      <c r="CT98" s="192"/>
      <c r="CU98" s="192"/>
      <c r="CV98" s="192"/>
      <c r="CW98" s="192"/>
      <c r="CX98" s="192"/>
      <c r="CY98" s="192"/>
    </row>
    <row r="99" spans="1:103" ht="24.95" customHeight="1">
      <c r="A99" s="326">
        <v>82</v>
      </c>
      <c r="B99" s="2021"/>
      <c r="C99" s="2022"/>
      <c r="D99" s="2022"/>
      <c r="E99" s="2022"/>
      <c r="F99" s="2022"/>
      <c r="G99" s="2023"/>
      <c r="H99" s="327"/>
      <c r="I99" s="328"/>
      <c r="J99" s="329"/>
      <c r="K99" s="2012"/>
      <c r="L99" s="2013"/>
      <c r="M99" s="2014"/>
      <c r="N99" s="331">
        <v>112</v>
      </c>
      <c r="O99" s="2021"/>
      <c r="P99" s="2022"/>
      <c r="Q99" s="2022"/>
      <c r="R99" s="2022"/>
      <c r="S99" s="2022"/>
      <c r="T99" s="2023"/>
      <c r="U99" s="327"/>
      <c r="V99" s="328"/>
      <c r="W99" s="329"/>
      <c r="X99" s="2012"/>
      <c r="Y99" s="2013"/>
      <c r="Z99" s="2014"/>
      <c r="AA99" s="9"/>
      <c r="AB99" s="9"/>
      <c r="AC99" s="9"/>
      <c r="AD99" s="617"/>
      <c r="AE99" s="618"/>
      <c r="AF99" s="9"/>
      <c r="AG99" s="9"/>
      <c r="AH99" s="9"/>
      <c r="AI99" s="9"/>
      <c r="AJ99" s="9"/>
      <c r="AK99" s="9"/>
      <c r="AL99" s="9"/>
      <c r="AM99" s="9"/>
      <c r="AN99" s="9"/>
      <c r="AO99" s="9"/>
      <c r="AP99" s="9"/>
      <c r="AQ99" s="9"/>
      <c r="AR99" s="9"/>
      <c r="AS99" s="9"/>
      <c r="AT99" s="9"/>
      <c r="AU99" s="9"/>
      <c r="AV99" s="9"/>
      <c r="AW99" s="9"/>
      <c r="AX99" s="9"/>
      <c r="AY99" s="9"/>
      <c r="AZ99" s="9"/>
      <c r="BA99" s="67">
        <v>87</v>
      </c>
      <c r="BB99" s="68">
        <f t="shared" si="42"/>
        <v>0</v>
      </c>
      <c r="BC99" s="192">
        <f t="shared" si="43"/>
        <v>0</v>
      </c>
      <c r="BD99" s="70">
        <f t="shared" si="44"/>
        <v>0</v>
      </c>
      <c r="BE99" s="70">
        <f t="shared" si="44"/>
        <v>0</v>
      </c>
      <c r="BF99" s="192"/>
      <c r="BG99" s="192"/>
      <c r="BH99" s="192"/>
      <c r="BI99" s="192"/>
      <c r="BJ99" s="624"/>
      <c r="BK99" s="625"/>
      <c r="BL99" s="625">
        <f t="shared" si="39"/>
        <v>0</v>
      </c>
      <c r="BM99" s="625"/>
      <c r="BN99" s="624"/>
      <c r="BO99" s="625"/>
      <c r="BP99" s="625"/>
      <c r="BQ99" s="192"/>
      <c r="BR99" s="192"/>
      <c r="BS99" s="192"/>
      <c r="BT99" s="192"/>
      <c r="BU99" s="192"/>
      <c r="BV99" s="192"/>
      <c r="BW99" s="192"/>
      <c r="BX99" s="192"/>
      <c r="BY99" s="192"/>
      <c r="BZ99" s="192"/>
      <c r="CA99" s="192"/>
      <c r="CB99" s="192"/>
      <c r="CC99" s="796" t="str">
        <f t="shared" si="40"/>
        <v>中日帰/特・身</v>
      </c>
      <c r="CD99" s="839">
        <f t="shared" si="41"/>
        <v>0</v>
      </c>
      <c r="CE99" s="796">
        <f>IF(OR(BW22="",BW22=0),0,25)</f>
        <v>0</v>
      </c>
      <c r="CF99" s="796">
        <v>110</v>
      </c>
      <c r="CG99" s="837">
        <v>25</v>
      </c>
      <c r="CH99" s="192"/>
      <c r="CI99" s="796"/>
      <c r="CJ99" s="796"/>
      <c r="CK99" s="192"/>
      <c r="CL99" s="192"/>
      <c r="CM99" s="192"/>
      <c r="CN99" s="192"/>
      <c r="CO99" s="192"/>
      <c r="CP99" s="192"/>
      <c r="CQ99" s="192"/>
      <c r="CR99" s="192"/>
      <c r="CS99" s="192"/>
      <c r="CT99" s="192"/>
      <c r="CU99" s="192"/>
      <c r="CV99" s="192"/>
      <c r="CW99" s="192"/>
      <c r="CX99" s="192"/>
      <c r="CY99" s="192"/>
    </row>
    <row r="100" spans="1:103" ht="24.95" customHeight="1">
      <c r="A100" s="326">
        <v>83</v>
      </c>
      <c r="B100" s="2021"/>
      <c r="C100" s="2022"/>
      <c r="D100" s="2022"/>
      <c r="E100" s="2022"/>
      <c r="F100" s="2022"/>
      <c r="G100" s="2023"/>
      <c r="H100" s="327"/>
      <c r="I100" s="328"/>
      <c r="J100" s="329"/>
      <c r="K100" s="2012"/>
      <c r="L100" s="2013"/>
      <c r="M100" s="2014"/>
      <c r="N100" s="331">
        <v>113</v>
      </c>
      <c r="O100" s="2021"/>
      <c r="P100" s="2022"/>
      <c r="Q100" s="2022"/>
      <c r="R100" s="2022"/>
      <c r="S100" s="2022"/>
      <c r="T100" s="2023"/>
      <c r="U100" s="327"/>
      <c r="V100" s="328"/>
      <c r="W100" s="329"/>
      <c r="X100" s="2012"/>
      <c r="Y100" s="2013"/>
      <c r="Z100" s="2014"/>
      <c r="AA100" s="9"/>
      <c r="AB100" s="9"/>
      <c r="AC100" s="9"/>
      <c r="AD100" s="617"/>
      <c r="AE100" s="618"/>
      <c r="AF100" s="9"/>
      <c r="AG100" s="9"/>
      <c r="AH100" s="9"/>
      <c r="AI100" s="9"/>
      <c r="AJ100" s="9"/>
      <c r="AK100" s="9"/>
      <c r="AL100" s="9"/>
      <c r="AM100" s="9"/>
      <c r="AN100" s="9"/>
      <c r="AO100" s="9"/>
      <c r="AP100" s="9"/>
      <c r="AQ100" s="9"/>
      <c r="AR100" s="9"/>
      <c r="AS100" s="9"/>
      <c r="AT100" s="9"/>
      <c r="AU100" s="9"/>
      <c r="AV100" s="9"/>
      <c r="AW100" s="9"/>
      <c r="AX100" s="9"/>
      <c r="AY100" s="9"/>
      <c r="AZ100" s="9"/>
      <c r="BA100" s="67">
        <v>88</v>
      </c>
      <c r="BB100" s="68">
        <f t="shared" si="42"/>
        <v>0</v>
      </c>
      <c r="BC100" s="192">
        <f t="shared" si="43"/>
        <v>0</v>
      </c>
      <c r="BD100" s="70">
        <f t="shared" si="44"/>
        <v>0</v>
      </c>
      <c r="BE100" s="70">
        <f t="shared" si="44"/>
        <v>0</v>
      </c>
      <c r="BF100" s="192"/>
      <c r="BG100" s="192"/>
      <c r="BH100" s="192"/>
      <c r="BI100" s="192"/>
      <c r="BJ100" s="624"/>
      <c r="BK100" s="625"/>
      <c r="BL100" s="625">
        <f t="shared" si="39"/>
        <v>0</v>
      </c>
      <c r="BM100" s="625"/>
      <c r="BN100" s="624"/>
      <c r="BO100" s="625"/>
      <c r="BP100" s="625"/>
      <c r="BQ100" s="192"/>
      <c r="BR100" s="192"/>
      <c r="BS100" s="192"/>
      <c r="BT100" s="192"/>
      <c r="BU100" s="192"/>
      <c r="BV100" s="192"/>
      <c r="BW100" s="192"/>
      <c r="BX100" s="192"/>
      <c r="BY100" s="192"/>
      <c r="BZ100" s="192"/>
      <c r="CA100" s="192"/>
      <c r="CB100" s="192"/>
      <c r="CC100" s="796" t="str">
        <f t="shared" si="40"/>
        <v>中日帰/特・療</v>
      </c>
      <c r="CD100" s="839">
        <f t="shared" si="41"/>
        <v>0</v>
      </c>
      <c r="CE100" s="796">
        <f>IF(OR(BW23="",BW23=0),0,24)</f>
        <v>0</v>
      </c>
      <c r="CF100" s="796">
        <v>110</v>
      </c>
      <c r="CG100" s="837">
        <v>24</v>
      </c>
      <c r="CH100" s="192"/>
      <c r="CI100" s="796"/>
      <c r="CJ100" s="796"/>
      <c r="CK100" s="192"/>
      <c r="CL100" s="192"/>
      <c r="CM100" s="192"/>
      <c r="CN100" s="192"/>
      <c r="CO100" s="192"/>
      <c r="CP100" s="192"/>
      <c r="CQ100" s="192"/>
      <c r="CR100" s="192"/>
      <c r="CS100" s="192"/>
      <c r="CT100" s="192"/>
      <c r="CU100" s="192"/>
      <c r="CV100" s="192"/>
      <c r="CW100" s="192"/>
      <c r="CX100" s="192"/>
      <c r="CY100" s="192"/>
    </row>
    <row r="101" spans="1:103" ht="24.95" customHeight="1">
      <c r="A101" s="326">
        <v>84</v>
      </c>
      <c r="B101" s="2021"/>
      <c r="C101" s="2022"/>
      <c r="D101" s="2022"/>
      <c r="E101" s="2022"/>
      <c r="F101" s="2022"/>
      <c r="G101" s="2023"/>
      <c r="H101" s="327"/>
      <c r="I101" s="328"/>
      <c r="J101" s="329"/>
      <c r="K101" s="2012"/>
      <c r="L101" s="2013"/>
      <c r="M101" s="2014"/>
      <c r="N101" s="331">
        <v>114</v>
      </c>
      <c r="O101" s="2021"/>
      <c r="P101" s="2022"/>
      <c r="Q101" s="2022"/>
      <c r="R101" s="2022"/>
      <c r="S101" s="2022"/>
      <c r="T101" s="2023"/>
      <c r="U101" s="327"/>
      <c r="V101" s="328"/>
      <c r="W101" s="329"/>
      <c r="X101" s="2012"/>
      <c r="Y101" s="2013"/>
      <c r="Z101" s="2014"/>
      <c r="AA101" s="9"/>
      <c r="AB101" s="9"/>
      <c r="AC101" s="9"/>
      <c r="AD101" s="617"/>
      <c r="AE101" s="618"/>
      <c r="AF101" s="9"/>
      <c r="AG101" s="9"/>
      <c r="AH101" s="9"/>
      <c r="AI101" s="9"/>
      <c r="AJ101" s="9"/>
      <c r="AK101" s="9"/>
      <c r="AL101" s="9"/>
      <c r="AM101" s="9"/>
      <c r="AN101" s="9"/>
      <c r="AO101" s="9"/>
      <c r="AP101" s="9"/>
      <c r="AQ101" s="9"/>
      <c r="AR101" s="9"/>
      <c r="AS101" s="9"/>
      <c r="AT101" s="9"/>
      <c r="AU101" s="9"/>
      <c r="AV101" s="9"/>
      <c r="AW101" s="9"/>
      <c r="AX101" s="9"/>
      <c r="AY101" s="9"/>
      <c r="AZ101" s="9"/>
      <c r="BA101" s="67">
        <v>89</v>
      </c>
      <c r="BB101" s="68">
        <f t="shared" si="42"/>
        <v>0</v>
      </c>
      <c r="BC101" s="192">
        <f t="shared" si="43"/>
        <v>0</v>
      </c>
      <c r="BD101" s="70">
        <f t="shared" si="44"/>
        <v>0</v>
      </c>
      <c r="BE101" s="70">
        <f t="shared" si="44"/>
        <v>0</v>
      </c>
      <c r="BF101" s="192"/>
      <c r="BG101" s="192"/>
      <c r="BH101" s="192"/>
      <c r="BI101" s="192"/>
      <c r="BJ101" s="624"/>
      <c r="BK101" s="625"/>
      <c r="BL101" s="625">
        <f t="shared" si="39"/>
        <v>0</v>
      </c>
      <c r="BM101" s="625"/>
      <c r="BN101" s="624"/>
      <c r="BO101" s="625"/>
      <c r="BP101" s="625"/>
      <c r="BQ101" s="192"/>
      <c r="BR101" s="192"/>
      <c r="BS101" s="192"/>
      <c r="BT101" s="192"/>
      <c r="BU101" s="192"/>
      <c r="BV101" s="192"/>
      <c r="BW101" s="192"/>
      <c r="BX101" s="192"/>
      <c r="BY101" s="192"/>
      <c r="BZ101" s="192"/>
      <c r="CA101" s="192"/>
      <c r="CB101" s="192"/>
      <c r="CC101" s="796" t="str">
        <f t="shared" si="40"/>
        <v>中日帰/特・精</v>
      </c>
      <c r="CD101" s="839">
        <f t="shared" si="41"/>
        <v>0</v>
      </c>
      <c r="CE101" s="796">
        <f>IF(OR(BW24="",BW24=0),0,23)</f>
        <v>0</v>
      </c>
      <c r="CF101" s="796">
        <v>110</v>
      </c>
      <c r="CG101" s="837">
        <v>23</v>
      </c>
      <c r="CH101" s="192"/>
      <c r="CI101" s="796"/>
      <c r="CJ101" s="796"/>
      <c r="CK101" s="192"/>
      <c r="CL101" s="192"/>
      <c r="CM101" s="192"/>
      <c r="CN101" s="192"/>
      <c r="CO101" s="192"/>
      <c r="CP101" s="192"/>
      <c r="CQ101" s="192"/>
      <c r="CR101" s="192"/>
      <c r="CS101" s="192"/>
      <c r="CT101" s="192"/>
      <c r="CU101" s="192"/>
      <c r="CV101" s="192"/>
      <c r="CW101" s="192"/>
      <c r="CX101" s="192"/>
      <c r="CY101" s="192"/>
    </row>
    <row r="102" spans="1:103" ht="24.95" customHeight="1">
      <c r="A102" s="326">
        <v>85</v>
      </c>
      <c r="B102" s="2021"/>
      <c r="C102" s="2022"/>
      <c r="D102" s="2022"/>
      <c r="E102" s="2022"/>
      <c r="F102" s="2022"/>
      <c r="G102" s="2023"/>
      <c r="H102" s="327"/>
      <c r="I102" s="328"/>
      <c r="J102" s="329"/>
      <c r="K102" s="2012"/>
      <c r="L102" s="2013"/>
      <c r="M102" s="2014"/>
      <c r="N102" s="331">
        <v>115</v>
      </c>
      <c r="O102" s="2021"/>
      <c r="P102" s="2022"/>
      <c r="Q102" s="2022"/>
      <c r="R102" s="2022"/>
      <c r="S102" s="2022"/>
      <c r="T102" s="2023"/>
      <c r="U102" s="327"/>
      <c r="V102" s="328"/>
      <c r="W102" s="329"/>
      <c r="X102" s="2012"/>
      <c r="Y102" s="2013"/>
      <c r="Z102" s="2014"/>
      <c r="AA102" s="9"/>
      <c r="AB102" s="9"/>
      <c r="AC102" s="9"/>
      <c r="AD102" s="617"/>
      <c r="AE102" s="618"/>
      <c r="AF102" s="9"/>
      <c r="AG102" s="9"/>
      <c r="AH102" s="9"/>
      <c r="AI102" s="9"/>
      <c r="AJ102" s="9"/>
      <c r="AK102" s="9"/>
      <c r="AL102" s="9"/>
      <c r="AM102" s="9"/>
      <c r="AN102" s="9"/>
      <c r="AO102" s="9"/>
      <c r="AP102" s="9"/>
      <c r="AQ102" s="9"/>
      <c r="AR102" s="9"/>
      <c r="AS102" s="9"/>
      <c r="AT102" s="9"/>
      <c r="AU102" s="9"/>
      <c r="AV102" s="9"/>
      <c r="AW102" s="9"/>
      <c r="AX102" s="9"/>
      <c r="AY102" s="9"/>
      <c r="AZ102" s="9"/>
      <c r="BA102" s="67">
        <v>90</v>
      </c>
      <c r="BB102" s="68">
        <f t="shared" si="42"/>
        <v>0</v>
      </c>
      <c r="BC102" s="192">
        <f t="shared" si="43"/>
        <v>0</v>
      </c>
      <c r="BD102" s="70">
        <f t="shared" si="44"/>
        <v>0</v>
      </c>
      <c r="BE102" s="70">
        <f t="shared" si="44"/>
        <v>0</v>
      </c>
      <c r="BF102" s="192"/>
      <c r="BG102" s="192"/>
      <c r="BH102" s="192"/>
      <c r="BI102" s="192"/>
      <c r="BJ102" s="625"/>
      <c r="BK102" s="625"/>
      <c r="BL102" s="625"/>
      <c r="BM102" s="625"/>
      <c r="BN102" s="625"/>
      <c r="BO102" s="625"/>
      <c r="BP102" s="625"/>
      <c r="BQ102" s="192"/>
      <c r="BR102" s="192"/>
      <c r="BS102" s="192"/>
      <c r="BT102" s="192"/>
      <c r="BU102" s="192"/>
      <c r="BV102" s="192"/>
      <c r="BW102" s="192"/>
      <c r="BX102" s="192"/>
      <c r="BY102" s="192"/>
      <c r="BZ102" s="192"/>
      <c r="CA102" s="192"/>
      <c r="CB102" s="192"/>
      <c r="CC102" s="796" t="str">
        <f t="shared" si="40"/>
        <v>中日帰/身・療</v>
      </c>
      <c r="CD102" s="839">
        <f t="shared" si="41"/>
        <v>0</v>
      </c>
      <c r="CE102" s="796">
        <f>IF(OR(BW25="",BW25=0),0,22)</f>
        <v>0</v>
      </c>
      <c r="CF102" s="796">
        <v>110</v>
      </c>
      <c r="CG102" s="837">
        <v>22</v>
      </c>
      <c r="CH102" s="192"/>
      <c r="CI102" s="796"/>
      <c r="CJ102" s="796"/>
      <c r="CK102" s="192"/>
      <c r="CL102" s="192"/>
      <c r="CM102" s="192"/>
      <c r="CN102" s="192"/>
      <c r="CO102" s="192"/>
      <c r="CP102" s="192"/>
      <c r="CQ102" s="192"/>
      <c r="CR102" s="192"/>
      <c r="CS102" s="192"/>
      <c r="CT102" s="192"/>
      <c r="CU102" s="192"/>
      <c r="CV102" s="192"/>
      <c r="CW102" s="192"/>
      <c r="CX102" s="192"/>
      <c r="CY102" s="192"/>
    </row>
    <row r="103" spans="1:103" ht="24.95" customHeight="1">
      <c r="A103" s="326">
        <v>86</v>
      </c>
      <c r="B103" s="2021"/>
      <c r="C103" s="2022"/>
      <c r="D103" s="2022"/>
      <c r="E103" s="2022"/>
      <c r="F103" s="2022"/>
      <c r="G103" s="2023"/>
      <c r="H103" s="327"/>
      <c r="I103" s="328"/>
      <c r="J103" s="329"/>
      <c r="K103" s="2012"/>
      <c r="L103" s="2013"/>
      <c r="M103" s="2014"/>
      <c r="N103" s="331">
        <v>116</v>
      </c>
      <c r="O103" s="2021"/>
      <c r="P103" s="2022"/>
      <c r="Q103" s="2022"/>
      <c r="R103" s="2022"/>
      <c r="S103" s="2022"/>
      <c r="T103" s="2023"/>
      <c r="U103" s="327"/>
      <c r="V103" s="328"/>
      <c r="W103" s="329"/>
      <c r="X103" s="2012"/>
      <c r="Y103" s="2013"/>
      <c r="Z103" s="2014"/>
      <c r="AA103" s="9"/>
      <c r="AB103" s="9"/>
      <c r="AC103" s="9"/>
      <c r="AD103" s="617"/>
      <c r="AE103" s="618"/>
      <c r="AF103" s="9"/>
      <c r="AG103" s="9"/>
      <c r="AH103" s="9"/>
      <c r="AI103" s="9"/>
      <c r="AJ103" s="9"/>
      <c r="AK103" s="9"/>
      <c r="AL103" s="9"/>
      <c r="AM103" s="9"/>
      <c r="AN103" s="9"/>
      <c r="AO103" s="9"/>
      <c r="AP103" s="9"/>
      <c r="AQ103" s="9"/>
      <c r="AR103" s="9"/>
      <c r="AS103" s="9"/>
      <c r="AT103" s="9"/>
      <c r="AU103" s="9"/>
      <c r="AV103" s="9"/>
      <c r="AW103" s="9"/>
      <c r="AX103" s="9"/>
      <c r="AY103" s="9"/>
      <c r="AZ103" s="9"/>
      <c r="BA103" s="67">
        <v>91</v>
      </c>
      <c r="BB103" s="68">
        <f t="shared" si="42"/>
        <v>0</v>
      </c>
      <c r="BC103" s="192">
        <f t="shared" si="43"/>
        <v>0</v>
      </c>
      <c r="BD103" s="70">
        <f t="shared" si="44"/>
        <v>0</v>
      </c>
      <c r="BE103" s="70">
        <f t="shared" si="44"/>
        <v>0</v>
      </c>
      <c r="BF103" s="624" t="s">
        <v>1363</v>
      </c>
      <c r="BG103" s="624" t="s">
        <v>1364</v>
      </c>
      <c r="BH103" s="624" t="s">
        <v>1365</v>
      </c>
      <c r="BI103" s="624" t="s">
        <v>1362</v>
      </c>
      <c r="BJ103" s="624" t="s">
        <v>1363</v>
      </c>
      <c r="BK103" s="624" t="s">
        <v>1364</v>
      </c>
      <c r="BL103" s="624" t="s">
        <v>1365</v>
      </c>
      <c r="BM103" s="624" t="s">
        <v>1362</v>
      </c>
      <c r="BN103" s="625"/>
      <c r="BO103" s="625"/>
      <c r="BP103" s="625"/>
      <c r="BQ103" s="192"/>
      <c r="BR103" s="192"/>
      <c r="BS103" s="192"/>
      <c r="BT103" s="192"/>
      <c r="BU103" s="192"/>
      <c r="BV103" s="192"/>
      <c r="BW103" s="192"/>
      <c r="BX103" s="192"/>
      <c r="BY103" s="192"/>
      <c r="BZ103" s="192"/>
      <c r="CA103" s="192"/>
      <c r="CB103" s="192"/>
      <c r="CC103" s="796" t="str">
        <f t="shared" si="40"/>
        <v>中日帰/身・精</v>
      </c>
      <c r="CD103" s="839">
        <f t="shared" si="41"/>
        <v>0</v>
      </c>
      <c r="CE103" s="796">
        <f>IF(OR(BW26="",BW26=0),0,21)</f>
        <v>0</v>
      </c>
      <c r="CF103" s="796">
        <v>110</v>
      </c>
      <c r="CG103" s="837">
        <v>21</v>
      </c>
      <c r="CH103" s="192"/>
      <c r="CI103" s="796"/>
      <c r="CJ103" s="796"/>
      <c r="CK103" s="192"/>
      <c r="CL103" s="192"/>
      <c r="CM103" s="192"/>
      <c r="CN103" s="192"/>
      <c r="CO103" s="192"/>
      <c r="CP103" s="192"/>
      <c r="CQ103" s="192"/>
      <c r="CR103" s="192"/>
      <c r="CS103" s="192"/>
      <c r="CT103" s="192"/>
      <c r="CU103" s="192"/>
      <c r="CV103" s="192"/>
      <c r="CW103" s="192"/>
      <c r="CX103" s="192"/>
      <c r="CY103" s="192"/>
    </row>
    <row r="104" spans="1:103" ht="24.95" customHeight="1">
      <c r="A104" s="326">
        <v>87</v>
      </c>
      <c r="B104" s="2021"/>
      <c r="C104" s="2022"/>
      <c r="D104" s="2022"/>
      <c r="E104" s="2022"/>
      <c r="F104" s="2022"/>
      <c r="G104" s="2023"/>
      <c r="H104" s="327"/>
      <c r="I104" s="328"/>
      <c r="J104" s="329"/>
      <c r="K104" s="2012"/>
      <c r="L104" s="2013"/>
      <c r="M104" s="2014"/>
      <c r="N104" s="331">
        <v>117</v>
      </c>
      <c r="O104" s="2021"/>
      <c r="P104" s="2022"/>
      <c r="Q104" s="2022"/>
      <c r="R104" s="2022"/>
      <c r="S104" s="2022"/>
      <c r="T104" s="2023"/>
      <c r="U104" s="327"/>
      <c r="V104" s="328"/>
      <c r="W104" s="329"/>
      <c r="X104" s="2012"/>
      <c r="Y104" s="2013"/>
      <c r="Z104" s="2014"/>
      <c r="AA104" s="9"/>
      <c r="AB104" s="9"/>
      <c r="AC104" s="9"/>
      <c r="AD104" s="617"/>
      <c r="AE104" s="618"/>
      <c r="AF104" s="9"/>
      <c r="AG104" s="9"/>
      <c r="AH104" s="9"/>
      <c r="AI104" s="9"/>
      <c r="AJ104" s="9"/>
      <c r="AK104" s="9"/>
      <c r="AL104" s="9"/>
      <c r="AM104" s="9"/>
      <c r="AN104" s="9"/>
      <c r="AO104" s="9"/>
      <c r="AP104" s="9"/>
      <c r="AQ104" s="9"/>
      <c r="AR104" s="9"/>
      <c r="AS104" s="9"/>
      <c r="AT104" s="9"/>
      <c r="AU104" s="9"/>
      <c r="AV104" s="9"/>
      <c r="AW104" s="9"/>
      <c r="AX104" s="9"/>
      <c r="AY104" s="9"/>
      <c r="AZ104" s="9"/>
      <c r="BA104" s="67">
        <v>92</v>
      </c>
      <c r="BB104" s="68">
        <f t="shared" si="42"/>
        <v>0</v>
      </c>
      <c r="BC104" s="192">
        <f t="shared" si="43"/>
        <v>0</v>
      </c>
      <c r="BD104" s="70">
        <f t="shared" si="44"/>
        <v>0</v>
      </c>
      <c r="BE104" s="70">
        <f t="shared" si="44"/>
        <v>0</v>
      </c>
      <c r="BF104" s="624">
        <v>81</v>
      </c>
      <c r="BG104" s="625"/>
      <c r="BH104" s="625"/>
      <c r="BI104" s="625" t="b">
        <v>0</v>
      </c>
      <c r="BJ104" s="624">
        <v>111</v>
      </c>
      <c r="BK104" s="625"/>
      <c r="BL104" s="625"/>
      <c r="BM104" s="625" t="b">
        <v>0</v>
      </c>
      <c r="BN104" s="625"/>
      <c r="BO104" s="625"/>
      <c r="BP104" s="625"/>
      <c r="BQ104" s="192"/>
      <c r="BR104" s="192"/>
      <c r="BS104" s="192"/>
      <c r="BT104" s="192"/>
      <c r="BU104" s="192"/>
      <c r="BV104" s="192"/>
      <c r="BW104" s="192"/>
      <c r="BX104" s="192"/>
      <c r="BY104" s="192"/>
      <c r="BZ104" s="192"/>
      <c r="CA104" s="192"/>
      <c r="CB104" s="192"/>
      <c r="CC104" s="796" t="str">
        <f t="shared" si="40"/>
        <v>中日帰/療・精</v>
      </c>
      <c r="CD104" s="839">
        <f t="shared" si="41"/>
        <v>0</v>
      </c>
      <c r="CE104" s="796">
        <f>IF(OR(BW27="",BW27=0),0,20)</f>
        <v>0</v>
      </c>
      <c r="CF104" s="796">
        <v>110</v>
      </c>
      <c r="CG104" s="837">
        <v>20</v>
      </c>
      <c r="CH104" s="192"/>
      <c r="CI104" s="796"/>
      <c r="CJ104" s="796"/>
      <c r="CK104" s="192"/>
      <c r="CL104" s="192"/>
      <c r="CM104" s="192"/>
      <c r="CN104" s="192"/>
      <c r="CO104" s="192"/>
      <c r="CP104" s="192"/>
      <c r="CQ104" s="192"/>
      <c r="CR104" s="192"/>
      <c r="CS104" s="192"/>
      <c r="CT104" s="192"/>
      <c r="CU104" s="192"/>
      <c r="CV104" s="192"/>
      <c r="CW104" s="192"/>
      <c r="CX104" s="192"/>
      <c r="CY104" s="192"/>
    </row>
    <row r="105" spans="1:103" ht="24.95" customHeight="1">
      <c r="A105" s="326">
        <v>88</v>
      </c>
      <c r="B105" s="2021"/>
      <c r="C105" s="2022"/>
      <c r="D105" s="2022"/>
      <c r="E105" s="2022"/>
      <c r="F105" s="2022"/>
      <c r="G105" s="2023"/>
      <c r="H105" s="327"/>
      <c r="I105" s="328"/>
      <c r="J105" s="329"/>
      <c r="K105" s="2012"/>
      <c r="L105" s="2013"/>
      <c r="M105" s="2014"/>
      <c r="N105" s="331">
        <v>118</v>
      </c>
      <c r="O105" s="2021"/>
      <c r="P105" s="2022"/>
      <c r="Q105" s="2022"/>
      <c r="R105" s="2022"/>
      <c r="S105" s="2022"/>
      <c r="T105" s="2023"/>
      <c r="U105" s="327"/>
      <c r="V105" s="328"/>
      <c r="W105" s="329"/>
      <c r="X105" s="2012"/>
      <c r="Y105" s="2013"/>
      <c r="Z105" s="2014"/>
      <c r="AA105" s="9"/>
      <c r="AB105" s="9"/>
      <c r="AC105" s="9"/>
      <c r="AD105" s="617"/>
      <c r="AE105" s="618"/>
      <c r="AF105" s="9"/>
      <c r="AG105" s="9"/>
      <c r="AH105" s="9"/>
      <c r="AI105" s="9"/>
      <c r="AJ105" s="9"/>
      <c r="AK105" s="9"/>
      <c r="AL105" s="9"/>
      <c r="AM105" s="9"/>
      <c r="AN105" s="9"/>
      <c r="AO105" s="9"/>
      <c r="AP105" s="9"/>
      <c r="AQ105" s="9"/>
      <c r="AR105" s="9"/>
      <c r="AS105" s="9"/>
      <c r="AT105" s="9"/>
      <c r="AU105" s="9"/>
      <c r="AV105" s="9"/>
      <c r="AW105" s="9"/>
      <c r="AX105" s="9"/>
      <c r="AY105" s="9"/>
      <c r="AZ105" s="9"/>
      <c r="BA105" s="67">
        <v>93</v>
      </c>
      <c r="BB105" s="68">
        <f t="shared" si="42"/>
        <v>0</v>
      </c>
      <c r="BC105" s="192">
        <f t="shared" si="43"/>
        <v>0</v>
      </c>
      <c r="BD105" s="70">
        <f t="shared" si="44"/>
        <v>0</v>
      </c>
      <c r="BE105" s="70">
        <f t="shared" si="44"/>
        <v>0</v>
      </c>
      <c r="BF105" s="624">
        <v>82</v>
      </c>
      <c r="BG105" s="625"/>
      <c r="BH105" s="625"/>
      <c r="BI105" s="625" t="b">
        <v>0</v>
      </c>
      <c r="BJ105" s="624">
        <v>112</v>
      </c>
      <c r="BK105" s="625"/>
      <c r="BL105" s="625"/>
      <c r="BM105" s="625" t="b">
        <v>0</v>
      </c>
      <c r="BN105" s="625"/>
      <c r="BO105" s="625"/>
      <c r="BP105" s="625"/>
      <c r="BQ105" s="192"/>
      <c r="BR105" s="192"/>
      <c r="BS105" s="192"/>
      <c r="BT105" s="192"/>
      <c r="BU105" s="192"/>
      <c r="BV105" s="192"/>
      <c r="BW105" s="192"/>
      <c r="BX105" s="192"/>
      <c r="BY105" s="192"/>
      <c r="BZ105" s="192"/>
      <c r="CA105" s="192"/>
      <c r="CB105" s="192"/>
      <c r="CC105" s="796" t="str">
        <f t="shared" si="40"/>
        <v>中日帰/準・特・身</v>
      </c>
      <c r="CD105" s="839">
        <f t="shared" si="41"/>
        <v>0</v>
      </c>
      <c r="CE105" s="796">
        <f>IF(OR(BW28="",BW28=0),0,19)</f>
        <v>0</v>
      </c>
      <c r="CF105" s="796">
        <v>110</v>
      </c>
      <c r="CG105" s="837">
        <v>19</v>
      </c>
      <c r="CH105" s="192"/>
      <c r="CI105" s="796"/>
      <c r="CJ105" s="796"/>
      <c r="CK105" s="192"/>
      <c r="CL105" s="192"/>
      <c r="CM105" s="192"/>
      <c r="CN105" s="192"/>
      <c r="CO105" s="192"/>
      <c r="CP105" s="192"/>
      <c r="CQ105" s="192"/>
      <c r="CR105" s="192"/>
      <c r="CS105" s="192"/>
      <c r="CT105" s="192"/>
      <c r="CU105" s="192"/>
      <c r="CV105" s="192"/>
      <c r="CW105" s="192"/>
      <c r="CX105" s="192"/>
      <c r="CY105" s="192"/>
    </row>
    <row r="106" spans="1:103" ht="24.95" customHeight="1">
      <c r="A106" s="326">
        <v>89</v>
      </c>
      <c r="B106" s="2021"/>
      <c r="C106" s="2022"/>
      <c r="D106" s="2022"/>
      <c r="E106" s="2022"/>
      <c r="F106" s="2022"/>
      <c r="G106" s="2023"/>
      <c r="H106" s="327"/>
      <c r="I106" s="328"/>
      <c r="J106" s="329"/>
      <c r="K106" s="2012"/>
      <c r="L106" s="2013"/>
      <c r="M106" s="2014"/>
      <c r="N106" s="331">
        <v>119</v>
      </c>
      <c r="O106" s="2021"/>
      <c r="P106" s="2022"/>
      <c r="Q106" s="2022"/>
      <c r="R106" s="2022"/>
      <c r="S106" s="2022"/>
      <c r="T106" s="2023"/>
      <c r="U106" s="327"/>
      <c r="V106" s="328"/>
      <c r="W106" s="329"/>
      <c r="X106" s="2012"/>
      <c r="Y106" s="2013"/>
      <c r="Z106" s="2014"/>
      <c r="AA106" s="9"/>
      <c r="AB106" s="9"/>
      <c r="AC106" s="9"/>
      <c r="AD106" s="617"/>
      <c r="AE106" s="618"/>
      <c r="AF106" s="9"/>
      <c r="AG106" s="9"/>
      <c r="AH106" s="9"/>
      <c r="AI106" s="9"/>
      <c r="AJ106" s="9"/>
      <c r="AK106" s="9"/>
      <c r="AL106" s="9"/>
      <c r="AM106" s="9"/>
      <c r="AN106" s="9"/>
      <c r="AO106" s="9"/>
      <c r="AP106" s="9"/>
      <c r="AQ106" s="9"/>
      <c r="AR106" s="9"/>
      <c r="AS106" s="9"/>
      <c r="AT106" s="9"/>
      <c r="AU106" s="9"/>
      <c r="AV106" s="9"/>
      <c r="AW106" s="9"/>
      <c r="AX106" s="9"/>
      <c r="AY106" s="9"/>
      <c r="AZ106" s="9"/>
      <c r="BA106" s="67">
        <v>94</v>
      </c>
      <c r="BB106" s="68">
        <f t="shared" si="42"/>
        <v>0</v>
      </c>
      <c r="BC106" s="192">
        <f t="shared" si="43"/>
        <v>0</v>
      </c>
      <c r="BD106" s="70">
        <f t="shared" si="44"/>
        <v>0</v>
      </c>
      <c r="BE106" s="70">
        <f t="shared" si="44"/>
        <v>0</v>
      </c>
      <c r="BF106" s="624">
        <v>83</v>
      </c>
      <c r="BG106" s="625"/>
      <c r="BH106" s="625"/>
      <c r="BI106" s="625" t="b">
        <v>0</v>
      </c>
      <c r="BJ106" s="624">
        <v>113</v>
      </c>
      <c r="BK106" s="625"/>
      <c r="BL106" s="625"/>
      <c r="BM106" s="625" t="b">
        <v>0</v>
      </c>
      <c r="BN106" s="625"/>
      <c r="BO106" s="625"/>
      <c r="BP106" s="625"/>
      <c r="BQ106" s="192"/>
      <c r="BR106" s="192"/>
      <c r="BS106" s="192"/>
      <c r="BT106" s="192"/>
      <c r="BU106" s="192"/>
      <c r="BV106" s="192"/>
      <c r="BW106" s="192"/>
      <c r="BX106" s="192"/>
      <c r="BY106" s="192"/>
      <c r="BZ106" s="192"/>
      <c r="CA106" s="192"/>
      <c r="CB106" s="192"/>
      <c r="CC106" s="796" t="str">
        <f t="shared" si="40"/>
        <v>中日帰/準・特・療</v>
      </c>
      <c r="CD106" s="839">
        <f t="shared" si="41"/>
        <v>0</v>
      </c>
      <c r="CE106" s="796">
        <f>IF(OR(BW29="",BW29=0),0,18)</f>
        <v>0</v>
      </c>
      <c r="CF106" s="796">
        <v>110</v>
      </c>
      <c r="CG106" s="837">
        <v>18</v>
      </c>
      <c r="CH106" s="192"/>
      <c r="CI106" s="796"/>
      <c r="CJ106" s="796"/>
      <c r="CK106" s="192"/>
      <c r="CL106" s="192"/>
      <c r="CM106" s="192"/>
      <c r="CN106" s="192"/>
      <c r="CO106" s="192"/>
      <c r="CP106" s="192"/>
      <c r="CQ106" s="192"/>
      <c r="CR106" s="192"/>
      <c r="CS106" s="192"/>
      <c r="CT106" s="192"/>
      <c r="CU106" s="192"/>
      <c r="CV106" s="192"/>
      <c r="CW106" s="192"/>
      <c r="CX106" s="192"/>
      <c r="CY106" s="192"/>
    </row>
    <row r="107" spans="1:103" ht="24.95" customHeight="1">
      <c r="A107" s="326">
        <v>90</v>
      </c>
      <c r="B107" s="2021"/>
      <c r="C107" s="2022"/>
      <c r="D107" s="2022"/>
      <c r="E107" s="2022"/>
      <c r="F107" s="2022"/>
      <c r="G107" s="2023"/>
      <c r="H107" s="327"/>
      <c r="I107" s="328"/>
      <c r="J107" s="329"/>
      <c r="K107" s="2012"/>
      <c r="L107" s="2013"/>
      <c r="M107" s="2014"/>
      <c r="N107" s="331">
        <v>120</v>
      </c>
      <c r="O107" s="2021"/>
      <c r="P107" s="2022"/>
      <c r="Q107" s="2022"/>
      <c r="R107" s="2022"/>
      <c r="S107" s="2022"/>
      <c r="T107" s="2023"/>
      <c r="U107" s="327"/>
      <c r="V107" s="328"/>
      <c r="W107" s="329"/>
      <c r="X107" s="2012"/>
      <c r="Y107" s="2013"/>
      <c r="Z107" s="2014"/>
      <c r="AA107" s="9"/>
      <c r="AB107" s="9"/>
      <c r="AC107" s="9"/>
      <c r="AD107" s="617"/>
      <c r="AE107" s="618"/>
      <c r="AF107" s="9"/>
      <c r="AG107" s="9"/>
      <c r="AH107" s="9"/>
      <c r="AI107" s="9"/>
      <c r="AJ107" s="9"/>
      <c r="AK107" s="9"/>
      <c r="AL107" s="9"/>
      <c r="AM107" s="9"/>
      <c r="AN107" s="9"/>
      <c r="AO107" s="9"/>
      <c r="AP107" s="9"/>
      <c r="AQ107" s="9"/>
      <c r="AR107" s="9"/>
      <c r="AS107" s="9"/>
      <c r="AT107" s="9"/>
      <c r="AU107" s="9"/>
      <c r="AV107" s="9"/>
      <c r="AW107" s="9"/>
      <c r="AX107" s="9"/>
      <c r="AY107" s="9"/>
      <c r="AZ107" s="9"/>
      <c r="BA107" s="67">
        <v>95</v>
      </c>
      <c r="BB107" s="68">
        <f t="shared" si="42"/>
        <v>0</v>
      </c>
      <c r="BC107" s="192">
        <f t="shared" si="43"/>
        <v>0</v>
      </c>
      <c r="BD107" s="70">
        <f t="shared" si="44"/>
        <v>0</v>
      </c>
      <c r="BE107" s="70">
        <f t="shared" si="44"/>
        <v>0</v>
      </c>
      <c r="BF107" s="624">
        <v>84</v>
      </c>
      <c r="BG107" s="625"/>
      <c r="BH107" s="625"/>
      <c r="BI107" s="625" t="b">
        <v>0</v>
      </c>
      <c r="BJ107" s="624">
        <v>114</v>
      </c>
      <c r="BK107" s="625"/>
      <c r="BL107" s="625"/>
      <c r="BM107" s="625" t="b">
        <v>0</v>
      </c>
      <c r="BN107" s="625"/>
      <c r="BO107" s="625"/>
      <c r="BP107" s="625"/>
      <c r="BQ107" s="192"/>
      <c r="BR107" s="192"/>
      <c r="BS107" s="192"/>
      <c r="BT107" s="192"/>
      <c r="BU107" s="192"/>
      <c r="BV107" s="192"/>
      <c r="BW107" s="192"/>
      <c r="BX107" s="192"/>
      <c r="BY107" s="192"/>
      <c r="BZ107" s="192"/>
      <c r="CA107" s="192"/>
      <c r="CB107" s="192"/>
      <c r="CC107" s="796" t="str">
        <f t="shared" si="40"/>
        <v>中日帰/準・特・精</v>
      </c>
      <c r="CD107" s="839">
        <f t="shared" si="41"/>
        <v>0</v>
      </c>
      <c r="CE107" s="796">
        <f>IF(OR(BW30="",BW30=0),0,17)</f>
        <v>0</v>
      </c>
      <c r="CF107" s="796">
        <v>110</v>
      </c>
      <c r="CG107" s="837">
        <v>17</v>
      </c>
      <c r="CH107" s="192"/>
      <c r="CI107" s="796"/>
      <c r="CJ107" s="796"/>
      <c r="CK107" s="192"/>
      <c r="CL107" s="192"/>
      <c r="CM107" s="192"/>
      <c r="CN107" s="192"/>
      <c r="CO107" s="192"/>
      <c r="CP107" s="192"/>
      <c r="CQ107" s="192"/>
      <c r="CR107" s="192"/>
      <c r="CS107" s="192"/>
      <c r="CT107" s="192"/>
      <c r="CU107" s="192"/>
      <c r="CV107" s="192"/>
      <c r="CW107" s="192"/>
      <c r="CX107" s="192"/>
      <c r="CY107" s="192"/>
    </row>
    <row r="108" spans="1:103" ht="24.95" customHeight="1">
      <c r="A108" s="326">
        <v>91</v>
      </c>
      <c r="B108" s="2021"/>
      <c r="C108" s="2022"/>
      <c r="D108" s="2022"/>
      <c r="E108" s="2022"/>
      <c r="F108" s="2022"/>
      <c r="G108" s="2023"/>
      <c r="H108" s="327"/>
      <c r="I108" s="328"/>
      <c r="J108" s="329"/>
      <c r="K108" s="2012"/>
      <c r="L108" s="2013"/>
      <c r="M108" s="2014"/>
      <c r="N108" s="331">
        <v>121</v>
      </c>
      <c r="O108" s="2021"/>
      <c r="P108" s="2022"/>
      <c r="Q108" s="2022"/>
      <c r="R108" s="2022"/>
      <c r="S108" s="2022"/>
      <c r="T108" s="2023"/>
      <c r="U108" s="327"/>
      <c r="V108" s="328"/>
      <c r="W108" s="329"/>
      <c r="X108" s="2012"/>
      <c r="Y108" s="2013"/>
      <c r="Z108" s="2014"/>
      <c r="AA108" s="9"/>
      <c r="AB108" s="9"/>
      <c r="AC108" s="9"/>
      <c r="AD108" s="617"/>
      <c r="AE108" s="618"/>
      <c r="AF108" s="9"/>
      <c r="AG108" s="9"/>
      <c r="AH108" s="9"/>
      <c r="AI108" s="9"/>
      <c r="AJ108" s="9"/>
      <c r="AK108" s="9"/>
      <c r="AL108" s="9"/>
      <c r="AM108" s="9"/>
      <c r="AN108" s="9"/>
      <c r="AO108" s="9"/>
      <c r="AP108" s="9"/>
      <c r="AQ108" s="9"/>
      <c r="AR108" s="9"/>
      <c r="AS108" s="9"/>
      <c r="AT108" s="9"/>
      <c r="AU108" s="9"/>
      <c r="AV108" s="9"/>
      <c r="AW108" s="9"/>
      <c r="AX108" s="9"/>
      <c r="AY108" s="9"/>
      <c r="AZ108" s="9"/>
      <c r="BA108" s="67">
        <v>96</v>
      </c>
      <c r="BB108" s="68">
        <f t="shared" si="42"/>
        <v>0</v>
      </c>
      <c r="BC108" s="192">
        <f t="shared" si="43"/>
        <v>0</v>
      </c>
      <c r="BD108" s="70">
        <f t="shared" si="44"/>
        <v>0</v>
      </c>
      <c r="BE108" s="70">
        <f t="shared" si="44"/>
        <v>0</v>
      </c>
      <c r="BF108" s="624">
        <v>85</v>
      </c>
      <c r="BG108" s="625"/>
      <c r="BH108" s="625"/>
      <c r="BI108" s="625" t="b">
        <v>0</v>
      </c>
      <c r="BJ108" s="624">
        <v>115</v>
      </c>
      <c r="BK108" s="625"/>
      <c r="BL108" s="625"/>
      <c r="BM108" s="625" t="b">
        <v>0</v>
      </c>
      <c r="BN108" s="625"/>
      <c r="BO108" s="625"/>
      <c r="BP108" s="625"/>
      <c r="BQ108" s="192"/>
      <c r="BR108" s="192"/>
      <c r="BS108" s="192"/>
      <c r="BT108" s="192"/>
      <c r="BU108" s="192"/>
      <c r="BV108" s="192"/>
      <c r="BW108" s="192"/>
      <c r="BX108" s="192"/>
      <c r="BY108" s="192"/>
      <c r="BZ108" s="192"/>
      <c r="CA108" s="192"/>
      <c r="CB108" s="192"/>
      <c r="CC108" s="796" t="str">
        <f t="shared" si="40"/>
        <v>中日帰/準・身・療</v>
      </c>
      <c r="CD108" s="839">
        <f t="shared" si="41"/>
        <v>0</v>
      </c>
      <c r="CE108" s="796">
        <f>IF(OR(BW31="",BW31=0),0,16)</f>
        <v>0</v>
      </c>
      <c r="CF108" s="796">
        <v>110</v>
      </c>
      <c r="CG108" s="837">
        <v>16</v>
      </c>
      <c r="CH108" s="192"/>
      <c r="CI108" s="796"/>
      <c r="CJ108" s="796"/>
      <c r="CK108" s="192"/>
      <c r="CL108" s="192"/>
      <c r="CM108" s="192"/>
      <c r="CN108" s="192"/>
      <c r="CO108" s="192"/>
      <c r="CP108" s="192"/>
      <c r="CQ108" s="192"/>
      <c r="CR108" s="192"/>
      <c r="CS108" s="192"/>
      <c r="CT108" s="192"/>
      <c r="CU108" s="192"/>
      <c r="CV108" s="192"/>
      <c r="CW108" s="192"/>
      <c r="CX108" s="192"/>
      <c r="CY108" s="192"/>
    </row>
    <row r="109" spans="1:103" ht="24.95" customHeight="1">
      <c r="A109" s="326">
        <v>92</v>
      </c>
      <c r="B109" s="2021"/>
      <c r="C109" s="2022"/>
      <c r="D109" s="2022"/>
      <c r="E109" s="2022"/>
      <c r="F109" s="2022"/>
      <c r="G109" s="2023"/>
      <c r="H109" s="327"/>
      <c r="I109" s="328"/>
      <c r="J109" s="329"/>
      <c r="K109" s="2012"/>
      <c r="L109" s="2013"/>
      <c r="M109" s="2014"/>
      <c r="N109" s="331">
        <v>122</v>
      </c>
      <c r="O109" s="2021"/>
      <c r="P109" s="2022"/>
      <c r="Q109" s="2022"/>
      <c r="R109" s="2022"/>
      <c r="S109" s="2022"/>
      <c r="T109" s="2023"/>
      <c r="U109" s="327"/>
      <c r="V109" s="328"/>
      <c r="W109" s="329"/>
      <c r="X109" s="2012"/>
      <c r="Y109" s="2013"/>
      <c r="Z109" s="2014"/>
      <c r="AA109" s="9"/>
      <c r="AB109" s="9"/>
      <c r="AC109" s="9"/>
      <c r="AD109" s="617"/>
      <c r="AE109" s="618"/>
      <c r="AF109" s="9"/>
      <c r="AG109" s="9"/>
      <c r="AH109" s="9"/>
      <c r="AI109" s="9"/>
      <c r="AJ109" s="9"/>
      <c r="AK109" s="9"/>
      <c r="AL109" s="9"/>
      <c r="AM109" s="9"/>
      <c r="AN109" s="9"/>
      <c r="AO109" s="9"/>
      <c r="AP109" s="9"/>
      <c r="AQ109" s="9"/>
      <c r="AR109" s="9"/>
      <c r="AS109" s="9"/>
      <c r="AT109" s="9"/>
      <c r="AU109" s="9"/>
      <c r="AV109" s="9"/>
      <c r="AW109" s="9"/>
      <c r="AX109" s="9"/>
      <c r="AY109" s="9"/>
      <c r="AZ109" s="9"/>
      <c r="BA109" s="67">
        <v>97</v>
      </c>
      <c r="BB109" s="68">
        <f t="shared" si="42"/>
        <v>0</v>
      </c>
      <c r="BC109" s="192">
        <f t="shared" si="43"/>
        <v>0</v>
      </c>
      <c r="BD109" s="70">
        <f t="shared" si="44"/>
        <v>0</v>
      </c>
      <c r="BE109" s="70">
        <f t="shared" si="44"/>
        <v>0</v>
      </c>
      <c r="BF109" s="624">
        <v>86</v>
      </c>
      <c r="BG109" s="625"/>
      <c r="BH109" s="625"/>
      <c r="BI109" s="625" t="b">
        <v>0</v>
      </c>
      <c r="BJ109" s="624">
        <v>116</v>
      </c>
      <c r="BK109" s="625"/>
      <c r="BL109" s="625"/>
      <c r="BM109" s="625" t="b">
        <v>0</v>
      </c>
      <c r="BN109" s="625"/>
      <c r="BO109" s="625"/>
      <c r="BP109" s="625"/>
      <c r="BQ109" s="192"/>
      <c r="BR109" s="192"/>
      <c r="BS109" s="192"/>
      <c r="BT109" s="192"/>
      <c r="BU109" s="192"/>
      <c r="BV109" s="192"/>
      <c r="BW109" s="192"/>
      <c r="BX109" s="192"/>
      <c r="BY109" s="192"/>
      <c r="BZ109" s="192"/>
      <c r="CA109" s="192"/>
      <c r="CB109" s="192"/>
      <c r="CC109" s="796" t="str">
        <f t="shared" si="40"/>
        <v>中日帰/準・身・精</v>
      </c>
      <c r="CD109" s="839">
        <f t="shared" si="41"/>
        <v>0</v>
      </c>
      <c r="CE109" s="796">
        <f>IF(OR(BW32="",BW32=0),0,15)</f>
        <v>0</v>
      </c>
      <c r="CF109" s="796">
        <v>110</v>
      </c>
      <c r="CG109" s="837">
        <v>15</v>
      </c>
      <c r="CH109" s="192"/>
      <c r="CI109" s="796"/>
      <c r="CJ109" s="796"/>
      <c r="CK109" s="192"/>
      <c r="CL109" s="192"/>
      <c r="CM109" s="192"/>
      <c r="CN109" s="192"/>
      <c r="CO109" s="192"/>
      <c r="CP109" s="192"/>
      <c r="CQ109" s="192"/>
      <c r="CR109" s="192"/>
      <c r="CS109" s="192"/>
      <c r="CT109" s="192"/>
      <c r="CU109" s="192"/>
      <c r="CV109" s="192"/>
      <c r="CW109" s="192"/>
      <c r="CX109" s="192"/>
      <c r="CY109" s="192"/>
    </row>
    <row r="110" spans="1:103" ht="24.95" customHeight="1">
      <c r="A110" s="326">
        <v>93</v>
      </c>
      <c r="B110" s="2021"/>
      <c r="C110" s="2022"/>
      <c r="D110" s="2022"/>
      <c r="E110" s="2022"/>
      <c r="F110" s="2022"/>
      <c r="G110" s="2023"/>
      <c r="H110" s="327"/>
      <c r="I110" s="328"/>
      <c r="J110" s="329"/>
      <c r="K110" s="2012"/>
      <c r="L110" s="2013"/>
      <c r="M110" s="2014"/>
      <c r="N110" s="331">
        <v>123</v>
      </c>
      <c r="O110" s="2021"/>
      <c r="P110" s="2022"/>
      <c r="Q110" s="2022"/>
      <c r="R110" s="2022"/>
      <c r="S110" s="2022"/>
      <c r="T110" s="2023"/>
      <c r="U110" s="327"/>
      <c r="V110" s="328"/>
      <c r="W110" s="329"/>
      <c r="X110" s="2012"/>
      <c r="Y110" s="2013"/>
      <c r="Z110" s="2014"/>
      <c r="AA110" s="9"/>
      <c r="AB110" s="9"/>
      <c r="AC110" s="9"/>
      <c r="AD110" s="617"/>
      <c r="AE110" s="618"/>
      <c r="AF110" s="9"/>
      <c r="AG110" s="9"/>
      <c r="AH110" s="9"/>
      <c r="AI110" s="9"/>
      <c r="AJ110" s="9"/>
      <c r="AK110" s="9"/>
      <c r="AL110" s="9"/>
      <c r="AM110" s="9"/>
      <c r="AN110" s="9"/>
      <c r="AO110" s="9"/>
      <c r="AP110" s="9"/>
      <c r="AQ110" s="9"/>
      <c r="AR110" s="9"/>
      <c r="AS110" s="9"/>
      <c r="AT110" s="9"/>
      <c r="AU110" s="9"/>
      <c r="AV110" s="9"/>
      <c r="AW110" s="9"/>
      <c r="AX110" s="9"/>
      <c r="AY110" s="9"/>
      <c r="AZ110" s="9"/>
      <c r="BA110" s="67">
        <v>98</v>
      </c>
      <c r="BB110" s="68">
        <f t="shared" si="42"/>
        <v>0</v>
      </c>
      <c r="BC110" s="192">
        <f t="shared" si="43"/>
        <v>0</v>
      </c>
      <c r="BD110" s="70">
        <f t="shared" si="44"/>
        <v>0</v>
      </c>
      <c r="BE110" s="70">
        <f t="shared" si="44"/>
        <v>0</v>
      </c>
      <c r="BF110" s="624">
        <v>87</v>
      </c>
      <c r="BG110" s="625"/>
      <c r="BH110" s="625"/>
      <c r="BI110" s="625" t="b">
        <v>0</v>
      </c>
      <c r="BJ110" s="624">
        <v>117</v>
      </c>
      <c r="BK110" s="625"/>
      <c r="BL110" s="625"/>
      <c r="BM110" s="625" t="b">
        <v>0</v>
      </c>
      <c r="BN110" s="625"/>
      <c r="BO110" s="625"/>
      <c r="BP110" s="625"/>
      <c r="BQ110" s="192"/>
      <c r="BR110" s="192"/>
      <c r="BS110" s="192"/>
      <c r="BT110" s="192"/>
      <c r="BU110" s="192"/>
      <c r="BV110" s="192"/>
      <c r="BW110" s="192"/>
      <c r="BX110" s="192"/>
      <c r="BY110" s="192"/>
      <c r="BZ110" s="192"/>
      <c r="CA110" s="192"/>
      <c r="CB110" s="192"/>
      <c r="CC110" s="796" t="str">
        <f t="shared" si="40"/>
        <v>中日帰/準・療・精</v>
      </c>
      <c r="CD110" s="839">
        <f t="shared" si="41"/>
        <v>0</v>
      </c>
      <c r="CE110" s="796">
        <f>IF(OR(BW33="",BW33=0),0,14)</f>
        <v>0</v>
      </c>
      <c r="CF110" s="796">
        <v>110</v>
      </c>
      <c r="CG110" s="837">
        <v>14</v>
      </c>
      <c r="CH110" s="192"/>
      <c r="CI110" s="796"/>
      <c r="CJ110" s="796"/>
      <c r="CK110" s="192"/>
      <c r="CL110" s="192"/>
      <c r="CM110" s="192"/>
      <c r="CN110" s="192"/>
      <c r="CO110" s="192"/>
      <c r="CP110" s="192"/>
      <c r="CQ110" s="192"/>
      <c r="CR110" s="192"/>
      <c r="CS110" s="192"/>
      <c r="CT110" s="192"/>
      <c r="CU110" s="192"/>
      <c r="CV110" s="192"/>
      <c r="CW110" s="192"/>
      <c r="CX110" s="192"/>
      <c r="CY110" s="192"/>
    </row>
    <row r="111" spans="1:103" ht="24.95" customHeight="1">
      <c r="A111" s="326">
        <v>94</v>
      </c>
      <c r="B111" s="2021"/>
      <c r="C111" s="2022"/>
      <c r="D111" s="2022"/>
      <c r="E111" s="2022"/>
      <c r="F111" s="2022"/>
      <c r="G111" s="2023"/>
      <c r="H111" s="327"/>
      <c r="I111" s="328"/>
      <c r="J111" s="329"/>
      <c r="K111" s="2012"/>
      <c r="L111" s="2013"/>
      <c r="M111" s="2014"/>
      <c r="N111" s="331">
        <v>124</v>
      </c>
      <c r="O111" s="2021"/>
      <c r="P111" s="2022"/>
      <c r="Q111" s="2022"/>
      <c r="R111" s="2022"/>
      <c r="S111" s="2022"/>
      <c r="T111" s="2023"/>
      <c r="U111" s="327"/>
      <c r="V111" s="328"/>
      <c r="W111" s="329"/>
      <c r="X111" s="2012"/>
      <c r="Y111" s="2013"/>
      <c r="Z111" s="2014"/>
      <c r="AA111" s="60"/>
      <c r="AB111" s="60"/>
      <c r="AC111" s="60"/>
      <c r="AD111" s="617"/>
      <c r="AE111" s="618"/>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7">
        <v>99</v>
      </c>
      <c r="BB111" s="68">
        <f t="shared" si="42"/>
        <v>0</v>
      </c>
      <c r="BC111" s="192">
        <f t="shared" si="43"/>
        <v>0</v>
      </c>
      <c r="BD111" s="70">
        <f t="shared" si="44"/>
        <v>0</v>
      </c>
      <c r="BE111" s="70">
        <f t="shared" si="44"/>
        <v>0</v>
      </c>
      <c r="BF111" s="624">
        <v>88</v>
      </c>
      <c r="BG111" s="625"/>
      <c r="BH111" s="625"/>
      <c r="BI111" s="625" t="b">
        <v>0</v>
      </c>
      <c r="BJ111" s="624">
        <v>118</v>
      </c>
      <c r="BK111" s="625"/>
      <c r="BL111" s="625"/>
      <c r="BM111" s="625" t="b">
        <v>0</v>
      </c>
      <c r="BN111" s="625"/>
      <c r="BO111" s="625"/>
      <c r="BP111" s="625"/>
      <c r="BQ111" s="192"/>
      <c r="BR111" s="192"/>
      <c r="BS111" s="192"/>
      <c r="BT111" s="192"/>
      <c r="BU111" s="192"/>
      <c r="BV111" s="192"/>
      <c r="BW111" s="192"/>
      <c r="BX111" s="192"/>
      <c r="BY111" s="192"/>
      <c r="BZ111" s="192"/>
      <c r="CA111" s="192"/>
      <c r="CB111" s="192"/>
      <c r="CC111" s="796" t="str">
        <f t="shared" si="40"/>
        <v>中日帰/特・身・療</v>
      </c>
      <c r="CD111" s="839">
        <f t="shared" si="41"/>
        <v>0</v>
      </c>
      <c r="CE111" s="796">
        <f>IF(OR(BW34="",BW34=0),0,13)</f>
        <v>0</v>
      </c>
      <c r="CF111" s="796">
        <v>110</v>
      </c>
      <c r="CG111" s="837">
        <v>13</v>
      </c>
      <c r="CH111" s="192"/>
      <c r="CI111" s="796"/>
      <c r="CJ111" s="796"/>
      <c r="CK111" s="192"/>
      <c r="CL111" s="192"/>
      <c r="CM111" s="192"/>
      <c r="CN111" s="192"/>
      <c r="CO111" s="192"/>
      <c r="CP111" s="192"/>
      <c r="CQ111" s="192"/>
      <c r="CR111" s="192"/>
      <c r="CS111" s="192"/>
      <c r="CT111" s="192"/>
      <c r="CU111" s="192"/>
      <c r="CV111" s="192"/>
      <c r="CW111" s="192"/>
      <c r="CX111" s="192"/>
      <c r="CY111" s="192"/>
    </row>
    <row r="112" spans="1:103" ht="24.95" customHeight="1">
      <c r="A112" s="326">
        <v>95</v>
      </c>
      <c r="B112" s="2021"/>
      <c r="C112" s="2022"/>
      <c r="D112" s="2022"/>
      <c r="E112" s="2022"/>
      <c r="F112" s="2022"/>
      <c r="G112" s="2023"/>
      <c r="H112" s="327"/>
      <c r="I112" s="328"/>
      <c r="J112" s="329"/>
      <c r="K112" s="2012"/>
      <c r="L112" s="2013"/>
      <c r="M112" s="2014"/>
      <c r="N112" s="331">
        <v>125</v>
      </c>
      <c r="O112" s="2021"/>
      <c r="P112" s="2022"/>
      <c r="Q112" s="2022"/>
      <c r="R112" s="2022"/>
      <c r="S112" s="2022"/>
      <c r="T112" s="2023"/>
      <c r="U112" s="327"/>
      <c r="V112" s="328"/>
      <c r="W112" s="329"/>
      <c r="X112" s="2012"/>
      <c r="Y112" s="2013"/>
      <c r="Z112" s="2014"/>
      <c r="AA112" s="60"/>
      <c r="AB112" s="60"/>
      <c r="AC112" s="60"/>
      <c r="AD112" s="619"/>
      <c r="AE112" s="616"/>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7">
        <v>100</v>
      </c>
      <c r="BB112" s="68">
        <f t="shared" si="42"/>
        <v>0</v>
      </c>
      <c r="BC112" s="192">
        <f t="shared" si="43"/>
        <v>0</v>
      </c>
      <c r="BD112" s="70">
        <f t="shared" si="44"/>
        <v>0</v>
      </c>
      <c r="BE112" s="70">
        <f t="shared" si="44"/>
        <v>0</v>
      </c>
      <c r="BF112" s="624">
        <v>89</v>
      </c>
      <c r="BG112" s="625"/>
      <c r="BH112" s="625"/>
      <c r="BI112" s="625" t="b">
        <v>0</v>
      </c>
      <c r="BJ112" s="624">
        <v>119</v>
      </c>
      <c r="BK112" s="625"/>
      <c r="BL112" s="625"/>
      <c r="BM112" s="625" t="b">
        <v>0</v>
      </c>
      <c r="BN112" s="625"/>
      <c r="BO112" s="625"/>
      <c r="BP112" s="625"/>
      <c r="BQ112" s="192"/>
      <c r="BR112" s="192"/>
      <c r="BS112" s="192"/>
      <c r="BT112" s="192"/>
      <c r="BU112" s="192"/>
      <c r="BV112" s="192"/>
      <c r="BW112" s="192"/>
      <c r="BX112" s="192"/>
      <c r="BY112" s="192"/>
      <c r="BZ112" s="192"/>
      <c r="CA112" s="192"/>
      <c r="CB112" s="192"/>
      <c r="CC112" s="796" t="str">
        <f t="shared" si="40"/>
        <v>中日帰/特・身・精</v>
      </c>
      <c r="CD112" s="839">
        <f t="shared" si="41"/>
        <v>0</v>
      </c>
      <c r="CE112" s="796">
        <f>IF(OR(BW35="",BW35=0),0,12)</f>
        <v>0</v>
      </c>
      <c r="CF112" s="796">
        <v>110</v>
      </c>
      <c r="CG112" s="837">
        <v>12</v>
      </c>
      <c r="CH112" s="192"/>
      <c r="CI112" s="796"/>
      <c r="CJ112" s="796"/>
      <c r="CK112" s="192"/>
      <c r="CL112" s="192"/>
      <c r="CM112" s="192"/>
      <c r="CN112" s="192"/>
      <c r="CO112" s="192"/>
      <c r="CP112" s="192"/>
      <c r="CQ112" s="192"/>
      <c r="CR112" s="192"/>
      <c r="CS112" s="192"/>
      <c r="CT112" s="192"/>
      <c r="CU112" s="192"/>
      <c r="CV112" s="192"/>
      <c r="CW112" s="192"/>
      <c r="CX112" s="192"/>
      <c r="CY112" s="192"/>
    </row>
    <row r="113" spans="1:103" ht="24.95" customHeight="1">
      <c r="A113" s="326">
        <v>96</v>
      </c>
      <c r="B113" s="2021"/>
      <c r="C113" s="2022"/>
      <c r="D113" s="2022"/>
      <c r="E113" s="2022"/>
      <c r="F113" s="2022"/>
      <c r="G113" s="2023"/>
      <c r="H113" s="327"/>
      <c r="I113" s="328"/>
      <c r="J113" s="329"/>
      <c r="K113" s="2012"/>
      <c r="L113" s="2013"/>
      <c r="M113" s="2014"/>
      <c r="N113" s="331">
        <v>126</v>
      </c>
      <c r="O113" s="2021"/>
      <c r="P113" s="2022"/>
      <c r="Q113" s="2022"/>
      <c r="R113" s="2022"/>
      <c r="S113" s="2022"/>
      <c r="T113" s="2023"/>
      <c r="U113" s="327"/>
      <c r="V113" s="328"/>
      <c r="W113" s="329"/>
      <c r="X113" s="2012"/>
      <c r="Y113" s="2013"/>
      <c r="Z113" s="2014"/>
      <c r="AA113" s="60"/>
      <c r="AB113" s="60"/>
      <c r="AC113" s="60"/>
      <c r="AD113" s="620"/>
      <c r="AE113" s="616"/>
      <c r="AF113" s="60"/>
      <c r="AG113" s="60"/>
      <c r="AH113" s="60"/>
      <c r="AI113" s="60"/>
      <c r="AJ113" s="60"/>
      <c r="AL113" s="60"/>
      <c r="AM113" s="60"/>
      <c r="AN113" s="60"/>
      <c r="AO113" s="60"/>
      <c r="AP113" s="60"/>
      <c r="AQ113" s="60"/>
      <c r="AR113" s="60"/>
      <c r="AS113" s="60"/>
      <c r="AT113" s="60"/>
      <c r="AU113" s="60"/>
      <c r="AV113" s="60"/>
      <c r="AW113" s="60"/>
      <c r="AX113" s="60"/>
      <c r="AY113" s="60"/>
      <c r="AZ113" s="60"/>
      <c r="BA113" s="67">
        <v>101</v>
      </c>
      <c r="BB113" s="68">
        <f t="shared" si="42"/>
        <v>0</v>
      </c>
      <c r="BC113" s="192">
        <f t="shared" si="43"/>
        <v>0</v>
      </c>
      <c r="BD113" s="70">
        <f t="shared" si="44"/>
        <v>0</v>
      </c>
      <c r="BE113" s="70">
        <f t="shared" si="44"/>
        <v>0</v>
      </c>
      <c r="BF113" s="624">
        <v>90</v>
      </c>
      <c r="BG113" s="625"/>
      <c r="BH113" s="625"/>
      <c r="BI113" s="625" t="b">
        <v>0</v>
      </c>
      <c r="BJ113" s="624">
        <v>120</v>
      </c>
      <c r="BK113" s="625"/>
      <c r="BL113" s="625"/>
      <c r="BM113" s="625" t="b">
        <v>0</v>
      </c>
      <c r="BN113" s="625"/>
      <c r="BO113" s="625"/>
      <c r="BP113" s="625"/>
      <c r="BQ113" s="192"/>
      <c r="BR113" s="192"/>
      <c r="BS113" s="192"/>
      <c r="BT113" s="192"/>
      <c r="BU113" s="192"/>
      <c r="BV113" s="192"/>
      <c r="BW113" s="192"/>
      <c r="BX113" s="192"/>
      <c r="BY113" s="192"/>
      <c r="BZ113" s="192"/>
      <c r="CA113" s="192"/>
      <c r="CB113" s="192"/>
      <c r="CC113" s="796" t="str">
        <f t="shared" si="40"/>
        <v>中日帰/身・療・精</v>
      </c>
      <c r="CD113" s="839">
        <f t="shared" si="41"/>
        <v>0</v>
      </c>
      <c r="CE113" s="796">
        <f>IF(OR(BW36="",BW36=0),0,11)</f>
        <v>0</v>
      </c>
      <c r="CF113" s="796">
        <v>110</v>
      </c>
      <c r="CG113" s="837">
        <v>11</v>
      </c>
      <c r="CH113" s="192"/>
      <c r="CI113" s="796"/>
      <c r="CJ113" s="796"/>
      <c r="CK113" s="192"/>
      <c r="CL113" s="192"/>
      <c r="CM113" s="192"/>
      <c r="CN113" s="192"/>
      <c r="CO113" s="192"/>
      <c r="CP113" s="192"/>
      <c r="CQ113" s="192"/>
      <c r="CR113" s="192"/>
      <c r="CS113" s="192"/>
      <c r="CT113" s="192"/>
      <c r="CU113" s="192"/>
      <c r="CV113" s="192"/>
      <c r="CW113" s="192"/>
      <c r="CX113" s="192"/>
      <c r="CY113" s="192"/>
    </row>
    <row r="114" spans="1:103" ht="24.95" customHeight="1">
      <c r="A114" s="326">
        <v>97</v>
      </c>
      <c r="B114" s="2021"/>
      <c r="C114" s="2022"/>
      <c r="D114" s="2022"/>
      <c r="E114" s="2022"/>
      <c r="F114" s="2022"/>
      <c r="G114" s="2023"/>
      <c r="H114" s="327"/>
      <c r="I114" s="328"/>
      <c r="J114" s="329"/>
      <c r="K114" s="2012"/>
      <c r="L114" s="2013"/>
      <c r="M114" s="2014"/>
      <c r="N114" s="331">
        <v>127</v>
      </c>
      <c r="O114" s="2021"/>
      <c r="P114" s="2022"/>
      <c r="Q114" s="2022"/>
      <c r="R114" s="2022"/>
      <c r="S114" s="2022"/>
      <c r="T114" s="2023"/>
      <c r="U114" s="327"/>
      <c r="V114" s="328"/>
      <c r="W114" s="329"/>
      <c r="X114" s="2012"/>
      <c r="Y114" s="2013"/>
      <c r="Z114" s="2014"/>
      <c r="AA114" s="60"/>
      <c r="AB114" s="60"/>
      <c r="AC114" s="60"/>
      <c r="AD114" s="620"/>
      <c r="AE114" s="616"/>
      <c r="AF114" s="60"/>
      <c r="AG114" s="60"/>
      <c r="AH114" s="60"/>
      <c r="AI114" s="60"/>
      <c r="AJ114" s="60"/>
      <c r="AL114" s="60"/>
      <c r="AM114" s="60"/>
      <c r="AN114" s="60"/>
      <c r="AO114" s="60"/>
      <c r="AP114" s="60"/>
      <c r="AQ114" s="60"/>
      <c r="AR114" s="60"/>
      <c r="AS114" s="60"/>
      <c r="AT114" s="60"/>
      <c r="AU114" s="60"/>
      <c r="AV114" s="60"/>
      <c r="AW114" s="60"/>
      <c r="AX114" s="60"/>
      <c r="AY114" s="60"/>
      <c r="AZ114" s="60"/>
      <c r="BA114" s="67">
        <v>102</v>
      </c>
      <c r="BB114" s="68">
        <f t="shared" si="42"/>
        <v>0</v>
      </c>
      <c r="BC114" s="192">
        <f t="shared" si="43"/>
        <v>0</v>
      </c>
      <c r="BD114" s="70">
        <f t="shared" si="44"/>
        <v>0</v>
      </c>
      <c r="BE114" s="70">
        <f t="shared" si="44"/>
        <v>0</v>
      </c>
      <c r="BF114" s="624">
        <v>91</v>
      </c>
      <c r="BG114" s="625"/>
      <c r="BH114" s="625"/>
      <c r="BI114" s="625" t="b">
        <v>0</v>
      </c>
      <c r="BJ114" s="624">
        <v>121</v>
      </c>
      <c r="BK114" s="625"/>
      <c r="BL114" s="625"/>
      <c r="BM114" s="625" t="b">
        <v>0</v>
      </c>
      <c r="BN114" s="625"/>
      <c r="BO114" s="625"/>
      <c r="BP114" s="625"/>
      <c r="BQ114" s="192"/>
      <c r="BR114" s="192"/>
      <c r="BS114" s="192"/>
      <c r="BT114" s="192"/>
      <c r="BU114" s="192"/>
      <c r="BV114" s="192"/>
      <c r="BW114" s="192"/>
      <c r="BX114" s="192"/>
      <c r="BY114" s="192"/>
      <c r="BZ114" s="192"/>
      <c r="CA114" s="192"/>
      <c r="CB114" s="192"/>
      <c r="CC114" s="796" t="str">
        <f t="shared" si="40"/>
        <v>中日帰/特・療・精</v>
      </c>
      <c r="CD114" s="839">
        <f t="shared" si="41"/>
        <v>0</v>
      </c>
      <c r="CE114" s="796">
        <f>IF(OR(BW37="",BW37=0),0,10)</f>
        <v>0</v>
      </c>
      <c r="CF114" s="796">
        <v>110</v>
      </c>
      <c r="CG114" s="837">
        <v>10</v>
      </c>
      <c r="CH114" s="192"/>
      <c r="CI114" s="796"/>
      <c r="CJ114" s="796"/>
      <c r="CK114" s="192"/>
      <c r="CL114" s="192"/>
      <c r="CM114" s="192"/>
      <c r="CN114" s="192"/>
      <c r="CO114" s="192"/>
      <c r="CP114" s="192"/>
      <c r="CQ114" s="192"/>
      <c r="CR114" s="192"/>
      <c r="CS114" s="192"/>
      <c r="CT114" s="192"/>
      <c r="CU114" s="192"/>
      <c r="CV114" s="192"/>
      <c r="CW114" s="192"/>
      <c r="CX114" s="192"/>
      <c r="CY114" s="192"/>
    </row>
    <row r="115" spans="1:103" ht="24.95" customHeight="1">
      <c r="A115" s="326">
        <v>98</v>
      </c>
      <c r="B115" s="2021"/>
      <c r="C115" s="2022"/>
      <c r="D115" s="2022"/>
      <c r="E115" s="2022"/>
      <c r="F115" s="2022"/>
      <c r="G115" s="2023"/>
      <c r="H115" s="327"/>
      <c r="I115" s="328"/>
      <c r="J115" s="329"/>
      <c r="K115" s="2012"/>
      <c r="L115" s="2013"/>
      <c r="M115" s="2014"/>
      <c r="N115" s="331">
        <v>128</v>
      </c>
      <c r="O115" s="2021"/>
      <c r="P115" s="2022"/>
      <c r="Q115" s="2022"/>
      <c r="R115" s="2022"/>
      <c r="S115" s="2022"/>
      <c r="T115" s="2023"/>
      <c r="U115" s="327"/>
      <c r="V115" s="328"/>
      <c r="W115" s="329"/>
      <c r="X115" s="2012"/>
      <c r="Y115" s="2013"/>
      <c r="Z115" s="2014"/>
      <c r="AA115" s="60"/>
      <c r="AB115" s="60"/>
      <c r="AC115" s="60"/>
      <c r="AD115" s="620"/>
      <c r="AE115" s="616"/>
      <c r="AF115" s="60"/>
      <c r="AG115" s="60"/>
      <c r="AH115" s="60"/>
      <c r="AI115" s="60"/>
      <c r="AJ115" s="60"/>
      <c r="AL115" s="60"/>
      <c r="AM115" s="60"/>
      <c r="AN115" s="60"/>
      <c r="AO115" s="60"/>
      <c r="AP115" s="60"/>
      <c r="AQ115" s="60"/>
      <c r="AR115" s="60"/>
      <c r="AS115" s="60"/>
      <c r="AT115" s="60"/>
      <c r="AU115" s="60"/>
      <c r="AV115" s="60"/>
      <c r="AW115" s="60"/>
      <c r="AX115" s="60"/>
      <c r="AY115" s="60"/>
      <c r="AZ115" s="60"/>
      <c r="BA115" s="67">
        <v>103</v>
      </c>
      <c r="BB115" s="68">
        <f t="shared" si="42"/>
        <v>0</v>
      </c>
      <c r="BC115" s="192">
        <f t="shared" si="43"/>
        <v>0</v>
      </c>
      <c r="BD115" s="70">
        <f t="shared" si="44"/>
        <v>0</v>
      </c>
      <c r="BE115" s="70">
        <f t="shared" si="44"/>
        <v>0</v>
      </c>
      <c r="BF115" s="624">
        <v>92</v>
      </c>
      <c r="BG115" s="625"/>
      <c r="BH115" s="625"/>
      <c r="BI115" s="625" t="b">
        <v>0</v>
      </c>
      <c r="BJ115" s="624">
        <v>122</v>
      </c>
      <c r="BK115" s="625"/>
      <c r="BL115" s="625"/>
      <c r="BM115" s="625" t="b">
        <v>0</v>
      </c>
      <c r="BN115" s="625"/>
      <c r="BO115" s="625"/>
      <c r="BP115" s="625"/>
      <c r="BQ115" s="192"/>
      <c r="BR115" s="192"/>
      <c r="BS115" s="192"/>
      <c r="BT115" s="192"/>
      <c r="BU115" s="192"/>
      <c r="BV115" s="192"/>
      <c r="BW115" s="192"/>
      <c r="BX115" s="192"/>
      <c r="BY115" s="192"/>
      <c r="BZ115" s="192"/>
      <c r="CA115" s="192"/>
      <c r="CB115" s="192"/>
      <c r="CC115" s="796" t="str">
        <f>BX11&amp;BF17</f>
        <v>引泊/介添</v>
      </c>
      <c r="CD115" s="839">
        <f>BX17</f>
        <v>0</v>
      </c>
      <c r="CE115" s="624">
        <f>IF(OR(BX17="",BX17=0),0,8)</f>
        <v>0</v>
      </c>
      <c r="CF115" s="624">
        <v>330</v>
      </c>
      <c r="CG115" s="625">
        <v>8</v>
      </c>
      <c r="CH115" s="192"/>
      <c r="CI115" s="796"/>
      <c r="CJ115" s="796"/>
      <c r="CK115" s="192"/>
      <c r="CL115" s="192"/>
      <c r="CM115" s="192"/>
      <c r="CN115" s="192"/>
      <c r="CO115" s="192"/>
      <c r="CP115" s="192"/>
      <c r="CQ115" s="192"/>
      <c r="CR115" s="192"/>
      <c r="CS115" s="192"/>
      <c r="CT115" s="192"/>
      <c r="CU115" s="192"/>
      <c r="CV115" s="192"/>
      <c r="CW115" s="192"/>
      <c r="CX115" s="192"/>
      <c r="CY115" s="192"/>
    </row>
    <row r="116" spans="1:103" ht="24.95" customHeight="1">
      <c r="A116" s="326">
        <v>99</v>
      </c>
      <c r="B116" s="2021"/>
      <c r="C116" s="2022"/>
      <c r="D116" s="2022"/>
      <c r="E116" s="2022"/>
      <c r="F116" s="2022"/>
      <c r="G116" s="2023"/>
      <c r="H116" s="327"/>
      <c r="I116" s="328"/>
      <c r="J116" s="329"/>
      <c r="K116" s="2012"/>
      <c r="L116" s="2013"/>
      <c r="M116" s="2014"/>
      <c r="N116" s="331">
        <v>129</v>
      </c>
      <c r="O116" s="2021"/>
      <c r="P116" s="2022"/>
      <c r="Q116" s="2022"/>
      <c r="R116" s="2022"/>
      <c r="S116" s="2022"/>
      <c r="T116" s="2023"/>
      <c r="U116" s="327"/>
      <c r="V116" s="328"/>
      <c r="W116" s="329"/>
      <c r="X116" s="2012"/>
      <c r="Y116" s="2013"/>
      <c r="Z116" s="2014"/>
      <c r="AA116" s="60"/>
      <c r="AB116" s="60"/>
      <c r="AC116" s="60"/>
      <c r="AD116" s="620"/>
      <c r="AE116" s="616"/>
      <c r="AF116" s="60"/>
      <c r="AG116" s="60"/>
      <c r="AH116" s="60"/>
      <c r="AI116" s="60"/>
      <c r="AJ116" s="60"/>
      <c r="AL116" s="60"/>
      <c r="AM116" s="60"/>
      <c r="AN116" s="60"/>
      <c r="AO116" s="60"/>
      <c r="AP116" s="60"/>
      <c r="AQ116" s="60"/>
      <c r="AR116" s="60"/>
      <c r="AS116" s="60"/>
      <c r="AT116" s="60"/>
      <c r="AU116" s="60"/>
      <c r="AV116" s="60"/>
      <c r="AW116" s="60"/>
      <c r="AX116" s="60"/>
      <c r="AY116" s="60"/>
      <c r="AZ116" s="60"/>
      <c r="BA116" s="67">
        <v>104</v>
      </c>
      <c r="BB116" s="68">
        <f t="shared" si="42"/>
        <v>0</v>
      </c>
      <c r="BC116" s="192">
        <f t="shared" si="43"/>
        <v>0</v>
      </c>
      <c r="BD116" s="70">
        <f t="shared" si="44"/>
        <v>0</v>
      </c>
      <c r="BE116" s="70">
        <f t="shared" si="44"/>
        <v>0</v>
      </c>
      <c r="BF116" s="624">
        <v>93</v>
      </c>
      <c r="BG116" s="625"/>
      <c r="BH116" s="625"/>
      <c r="BI116" s="625" t="b">
        <v>0</v>
      </c>
      <c r="BJ116" s="624">
        <v>123</v>
      </c>
      <c r="BK116" s="625"/>
      <c r="BL116" s="625"/>
      <c r="BM116" s="625" t="b">
        <v>0</v>
      </c>
      <c r="BN116" s="625"/>
      <c r="BO116" s="625"/>
      <c r="BP116" s="625"/>
      <c r="BQ116" s="192"/>
      <c r="BR116" s="192"/>
      <c r="BS116" s="192"/>
      <c r="BT116" s="192"/>
      <c r="BU116" s="192"/>
      <c r="BV116" s="192"/>
      <c r="BW116" s="192"/>
      <c r="BX116" s="192"/>
      <c r="BY116" s="192"/>
      <c r="BZ116" s="192"/>
      <c r="CA116" s="192"/>
      <c r="CB116" s="192"/>
      <c r="CC116" s="796" t="str">
        <f>BY11&amp;BF17</f>
        <v>引日帰/介添</v>
      </c>
      <c r="CD116" s="839">
        <f>BY17</f>
        <v>0</v>
      </c>
      <c r="CE116" s="624">
        <f>IF(OR(BY17="",BY17=0),0,6)</f>
        <v>0</v>
      </c>
      <c r="CF116" s="624">
        <v>110</v>
      </c>
      <c r="CG116" s="625">
        <v>6</v>
      </c>
      <c r="CH116" s="192"/>
      <c r="CI116" s="796"/>
      <c r="CJ116" s="796"/>
      <c r="CK116" s="192"/>
      <c r="CL116" s="192"/>
      <c r="CM116" s="192"/>
      <c r="CN116" s="192"/>
      <c r="CO116" s="192"/>
      <c r="CP116" s="192"/>
      <c r="CQ116" s="192"/>
      <c r="CR116" s="192"/>
      <c r="CS116" s="192"/>
      <c r="CT116" s="192"/>
      <c r="CU116" s="192"/>
      <c r="CV116" s="192"/>
      <c r="CW116" s="192"/>
      <c r="CX116" s="192"/>
      <c r="CY116" s="192"/>
    </row>
    <row r="117" spans="1:103" ht="24.95" customHeight="1">
      <c r="A117" s="326">
        <v>100</v>
      </c>
      <c r="B117" s="2021"/>
      <c r="C117" s="2022"/>
      <c r="D117" s="2022"/>
      <c r="E117" s="2022"/>
      <c r="F117" s="2022"/>
      <c r="G117" s="2023"/>
      <c r="H117" s="327"/>
      <c r="I117" s="328"/>
      <c r="J117" s="329"/>
      <c r="K117" s="2012"/>
      <c r="L117" s="2013"/>
      <c r="M117" s="2014"/>
      <c r="N117" s="331">
        <v>130</v>
      </c>
      <c r="O117" s="2021"/>
      <c r="P117" s="2022"/>
      <c r="Q117" s="2022"/>
      <c r="R117" s="2022"/>
      <c r="S117" s="2022"/>
      <c r="T117" s="2023"/>
      <c r="U117" s="327"/>
      <c r="V117" s="328"/>
      <c r="W117" s="329"/>
      <c r="X117" s="2012"/>
      <c r="Y117" s="2013"/>
      <c r="Z117" s="2014"/>
      <c r="AA117" s="60"/>
      <c r="AB117" s="60"/>
      <c r="AC117" s="60"/>
      <c r="AD117" s="620"/>
      <c r="AE117" s="616"/>
      <c r="AF117" s="60"/>
      <c r="AG117" s="60"/>
      <c r="AH117" s="60"/>
      <c r="AJ117" s="60"/>
      <c r="AL117" s="60"/>
      <c r="AM117" s="60"/>
      <c r="AN117" s="60"/>
      <c r="AO117" s="60"/>
      <c r="AP117" s="60"/>
      <c r="AQ117" s="60"/>
      <c r="AR117" s="60"/>
      <c r="AS117" s="60"/>
      <c r="AT117" s="60"/>
      <c r="AU117" s="60"/>
      <c r="AV117" s="60"/>
      <c r="AW117" s="60"/>
      <c r="AX117" s="60"/>
      <c r="AY117" s="60"/>
      <c r="AZ117" s="60"/>
      <c r="BA117" s="67">
        <v>105</v>
      </c>
      <c r="BB117" s="68">
        <f t="shared" si="42"/>
        <v>0</v>
      </c>
      <c r="BC117" s="192">
        <f t="shared" si="43"/>
        <v>0</v>
      </c>
      <c r="BD117" s="70">
        <f t="shared" si="44"/>
        <v>0</v>
      </c>
      <c r="BE117" s="70">
        <f t="shared" si="44"/>
        <v>0</v>
      </c>
      <c r="BF117" s="624">
        <v>94</v>
      </c>
      <c r="BG117" s="625"/>
      <c r="BH117" s="625"/>
      <c r="BI117" s="625" t="b">
        <v>0</v>
      </c>
      <c r="BJ117" s="624">
        <v>124</v>
      </c>
      <c r="BK117" s="625"/>
      <c r="BL117" s="625"/>
      <c r="BM117" s="625" t="b">
        <v>0</v>
      </c>
      <c r="BN117" s="625"/>
      <c r="BO117" s="625"/>
      <c r="BP117" s="625"/>
      <c r="BQ117" s="192"/>
      <c r="BR117" s="192"/>
      <c r="BS117" s="192"/>
      <c r="BT117" s="192"/>
      <c r="BU117" s="192"/>
      <c r="BV117" s="192"/>
      <c r="BW117" s="192"/>
      <c r="BX117" s="192"/>
      <c r="BY117" s="192"/>
      <c r="BZ117" s="192"/>
      <c r="CA117" s="192"/>
      <c r="CB117" s="192"/>
      <c r="CC117" s="796" t="str">
        <f>BZ11&amp;BF17</f>
        <v>一般泊/介添</v>
      </c>
      <c r="CD117" s="192">
        <f>BZ17</f>
        <v>0</v>
      </c>
      <c r="CE117" s="624">
        <f>IF(OR(BZ17="",BZ17=0),0,4)</f>
        <v>0</v>
      </c>
      <c r="CF117" s="624">
        <v>1100</v>
      </c>
      <c r="CG117" s="625">
        <v>4</v>
      </c>
      <c r="CH117" s="192"/>
      <c r="CI117" s="796"/>
      <c r="CJ117" s="796"/>
      <c r="CK117" s="192"/>
      <c r="CL117" s="192"/>
      <c r="CM117" s="192"/>
      <c r="CN117" s="192"/>
      <c r="CO117" s="192"/>
      <c r="CP117" s="192"/>
      <c r="CQ117" s="192"/>
      <c r="CR117" s="192"/>
      <c r="CS117" s="192"/>
      <c r="CT117" s="192"/>
      <c r="CU117" s="192"/>
      <c r="CV117" s="192"/>
      <c r="CW117" s="192"/>
      <c r="CX117" s="192"/>
      <c r="CY117" s="192"/>
    </row>
    <row r="118" spans="1:103" ht="24.95" customHeight="1">
      <c r="A118" s="326">
        <v>101</v>
      </c>
      <c r="B118" s="2021"/>
      <c r="C118" s="2022"/>
      <c r="D118" s="2022"/>
      <c r="E118" s="2022"/>
      <c r="F118" s="2022"/>
      <c r="G118" s="2023"/>
      <c r="H118" s="327"/>
      <c r="I118" s="328"/>
      <c r="J118" s="329"/>
      <c r="K118" s="2012"/>
      <c r="L118" s="2013"/>
      <c r="M118" s="2014"/>
      <c r="N118" s="331">
        <v>131</v>
      </c>
      <c r="O118" s="2074"/>
      <c r="P118" s="2022"/>
      <c r="Q118" s="2022"/>
      <c r="R118" s="2022"/>
      <c r="S118" s="2022"/>
      <c r="T118" s="2023"/>
      <c r="U118" s="327"/>
      <c r="V118" s="328"/>
      <c r="W118" s="329"/>
      <c r="X118" s="2012"/>
      <c r="Y118" s="2013"/>
      <c r="Z118" s="2014"/>
      <c r="AA118" s="60"/>
      <c r="AB118" s="60"/>
      <c r="AC118" s="60"/>
      <c r="AD118" s="620"/>
      <c r="AE118" s="616"/>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7">
        <v>106</v>
      </c>
      <c r="BB118" s="68">
        <f t="shared" si="42"/>
        <v>0</v>
      </c>
      <c r="BC118" s="192">
        <f t="shared" si="43"/>
        <v>0</v>
      </c>
      <c r="BD118" s="70">
        <f t="shared" si="44"/>
        <v>0</v>
      </c>
      <c r="BE118" s="70">
        <f t="shared" si="44"/>
        <v>0</v>
      </c>
      <c r="BF118" s="624">
        <v>95</v>
      </c>
      <c r="BG118" s="625"/>
      <c r="BH118" s="625"/>
      <c r="BI118" s="625" t="b">
        <v>0</v>
      </c>
      <c r="BJ118" s="624">
        <v>125</v>
      </c>
      <c r="BK118" s="625"/>
      <c r="BL118" s="625"/>
      <c r="BM118" s="625" t="b">
        <v>0</v>
      </c>
      <c r="BN118" s="625"/>
      <c r="BO118" s="625"/>
      <c r="BP118" s="625"/>
      <c r="BQ118" s="192"/>
      <c r="BR118" s="192"/>
      <c r="BS118" s="192"/>
      <c r="BT118" s="192"/>
      <c r="BU118" s="192"/>
      <c r="BV118" s="192"/>
      <c r="BW118" s="192"/>
      <c r="BX118" s="192"/>
      <c r="BY118" s="192"/>
      <c r="BZ118" s="192"/>
      <c r="CA118" s="192"/>
      <c r="CB118" s="192"/>
      <c r="CC118" s="796" t="str">
        <f>CA11&amp;BF17</f>
        <v>一般日帰/介添</v>
      </c>
      <c r="CD118" s="839">
        <f>CA17</f>
        <v>0</v>
      </c>
      <c r="CE118" s="624">
        <f>IF(OR(CA17="",CA17=0),0,2)</f>
        <v>0</v>
      </c>
      <c r="CF118" s="624">
        <v>350</v>
      </c>
      <c r="CG118" s="625">
        <v>2</v>
      </c>
      <c r="CH118" s="192"/>
      <c r="CI118" s="796"/>
      <c r="CJ118" s="796"/>
      <c r="CK118" s="192"/>
      <c r="CL118" s="192"/>
      <c r="CM118" s="192"/>
      <c r="CN118" s="192"/>
      <c r="CO118" s="192"/>
      <c r="CP118" s="192"/>
      <c r="CQ118" s="192"/>
      <c r="CR118" s="192"/>
      <c r="CS118" s="192"/>
      <c r="CT118" s="192"/>
      <c r="CU118" s="192"/>
      <c r="CV118" s="192"/>
      <c r="CW118" s="192"/>
      <c r="CX118" s="192"/>
      <c r="CY118" s="192"/>
    </row>
    <row r="119" spans="1:103" ht="24.95" customHeight="1">
      <c r="A119" s="326">
        <v>102</v>
      </c>
      <c r="B119" s="2021"/>
      <c r="C119" s="2022"/>
      <c r="D119" s="2022"/>
      <c r="E119" s="2022"/>
      <c r="F119" s="2022"/>
      <c r="G119" s="2023"/>
      <c r="H119" s="327"/>
      <c r="I119" s="328"/>
      <c r="J119" s="329"/>
      <c r="K119" s="2012"/>
      <c r="L119" s="2013"/>
      <c r="M119" s="2014"/>
      <c r="N119" s="331">
        <v>132</v>
      </c>
      <c r="O119" s="2074"/>
      <c r="P119" s="2022"/>
      <c r="Q119" s="2022"/>
      <c r="R119" s="2022"/>
      <c r="S119" s="2022"/>
      <c r="T119" s="2023"/>
      <c r="U119" s="327"/>
      <c r="V119" s="328"/>
      <c r="W119" s="329"/>
      <c r="X119" s="2012"/>
      <c r="Y119" s="2013"/>
      <c r="Z119" s="2014"/>
      <c r="AA119" s="60"/>
      <c r="AB119" s="60"/>
      <c r="AC119" s="60"/>
      <c r="AD119" s="620"/>
      <c r="AE119" s="616"/>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7">
        <v>107</v>
      </c>
      <c r="BB119" s="68">
        <f t="shared" si="42"/>
        <v>0</v>
      </c>
      <c r="BC119" s="192">
        <f t="shared" si="43"/>
        <v>0</v>
      </c>
      <c r="BD119" s="70">
        <f t="shared" si="44"/>
        <v>0</v>
      </c>
      <c r="BE119" s="70">
        <f t="shared" si="44"/>
        <v>0</v>
      </c>
      <c r="BF119" s="624">
        <v>96</v>
      </c>
      <c r="BG119" s="625"/>
      <c r="BH119" s="625"/>
      <c r="BI119" s="625" t="b">
        <v>0</v>
      </c>
      <c r="BJ119" s="624">
        <v>126</v>
      </c>
      <c r="BK119" s="625"/>
      <c r="BL119" s="625"/>
      <c r="BM119" s="625" t="b">
        <v>0</v>
      </c>
      <c r="BN119" s="625"/>
      <c r="BO119" s="625"/>
      <c r="BP119" s="625"/>
      <c r="BQ119" s="192"/>
      <c r="BR119" s="192"/>
      <c r="BS119" s="192"/>
      <c r="BT119" s="192"/>
      <c r="BU119" s="192"/>
      <c r="BV119" s="192"/>
      <c r="BW119" s="192"/>
      <c r="BX119" s="192"/>
      <c r="BY119" s="192"/>
      <c r="BZ119" s="192"/>
      <c r="CA119" s="192"/>
      <c r="CB119" s="192"/>
      <c r="CC119" s="192" t="s">
        <v>2985</v>
      </c>
      <c r="CD119" s="192">
        <f>BK70</f>
        <v>0</v>
      </c>
      <c r="CE119" s="624">
        <f>IF(OR(BK70="",BK70=0),0,1)</f>
        <v>0</v>
      </c>
      <c r="CF119" s="625"/>
      <c r="CG119" s="625">
        <v>1</v>
      </c>
      <c r="CH119" s="192"/>
      <c r="CI119" s="796"/>
      <c r="CJ119" s="796"/>
      <c r="CK119" s="192"/>
      <c r="CL119" s="192"/>
      <c r="CM119" s="192"/>
      <c r="CN119" s="192"/>
      <c r="CO119" s="192"/>
      <c r="CP119" s="192"/>
      <c r="CQ119" s="192"/>
      <c r="CR119" s="192"/>
      <c r="CS119" s="192"/>
      <c r="CT119" s="192"/>
      <c r="CU119" s="192"/>
      <c r="CV119" s="192"/>
      <c r="CW119" s="192"/>
      <c r="CX119" s="192"/>
      <c r="CY119" s="192"/>
    </row>
    <row r="120" spans="1:103" ht="24.95" customHeight="1">
      <c r="A120" s="326">
        <v>103</v>
      </c>
      <c r="B120" s="2021"/>
      <c r="C120" s="2022"/>
      <c r="D120" s="2022"/>
      <c r="E120" s="2022"/>
      <c r="F120" s="2022"/>
      <c r="G120" s="2023"/>
      <c r="H120" s="327"/>
      <c r="I120" s="328"/>
      <c r="J120" s="329"/>
      <c r="K120" s="2012"/>
      <c r="L120" s="2013"/>
      <c r="M120" s="2014"/>
      <c r="N120" s="331">
        <v>133</v>
      </c>
      <c r="O120" s="2074"/>
      <c r="P120" s="2022"/>
      <c r="Q120" s="2022"/>
      <c r="R120" s="2022"/>
      <c r="S120" s="2022"/>
      <c r="T120" s="2023"/>
      <c r="U120" s="327"/>
      <c r="V120" s="328"/>
      <c r="W120" s="329"/>
      <c r="X120" s="2012"/>
      <c r="Y120" s="2013"/>
      <c r="Z120" s="2014"/>
      <c r="AD120" s="620"/>
      <c r="AE120" s="616"/>
      <c r="BA120" s="67">
        <v>108</v>
      </c>
      <c r="BB120" s="68">
        <f t="shared" si="42"/>
        <v>0</v>
      </c>
      <c r="BC120" s="192">
        <f t="shared" si="43"/>
        <v>0</v>
      </c>
      <c r="BD120" s="70">
        <f t="shared" si="44"/>
        <v>0</v>
      </c>
      <c r="BE120" s="70">
        <f t="shared" si="44"/>
        <v>0</v>
      </c>
      <c r="BF120" s="624">
        <v>97</v>
      </c>
      <c r="BG120" s="625"/>
      <c r="BH120" s="625"/>
      <c r="BI120" s="625" t="b">
        <v>0</v>
      </c>
      <c r="BJ120" s="624">
        <v>127</v>
      </c>
      <c r="BK120" s="625"/>
      <c r="BL120" s="625"/>
      <c r="BM120" s="625" t="b">
        <v>0</v>
      </c>
      <c r="BN120" s="625"/>
      <c r="BO120" s="625"/>
      <c r="BP120" s="625"/>
      <c r="BQ120" s="192"/>
      <c r="BR120" s="192"/>
      <c r="BS120" s="192"/>
      <c r="BT120" s="192"/>
      <c r="BU120" s="192"/>
      <c r="BV120" s="192"/>
      <c r="BW120" s="192"/>
      <c r="BX120" s="192"/>
      <c r="BY120" s="192"/>
      <c r="BZ120" s="192"/>
      <c r="CA120" s="192"/>
      <c r="CB120" s="192"/>
      <c r="CC120" s="192"/>
      <c r="CD120" s="192"/>
      <c r="CE120" s="192"/>
      <c r="CF120" s="192"/>
      <c r="CG120" s="192"/>
      <c r="CH120" s="192"/>
      <c r="CI120" s="796"/>
      <c r="CJ120" s="796"/>
      <c r="CK120" s="192"/>
      <c r="CL120" s="192"/>
      <c r="CM120" s="192"/>
      <c r="CN120" s="192"/>
      <c r="CO120" s="192"/>
      <c r="CP120" s="192"/>
      <c r="CQ120" s="192"/>
      <c r="CR120" s="192"/>
      <c r="CS120" s="192"/>
      <c r="CT120" s="192"/>
      <c r="CU120" s="192"/>
      <c r="CV120" s="192"/>
      <c r="CW120" s="192"/>
      <c r="CX120" s="192"/>
      <c r="CY120" s="192"/>
    </row>
    <row r="121" spans="1:103" ht="24.95" customHeight="1">
      <c r="A121" s="326">
        <v>104</v>
      </c>
      <c r="B121" s="2021"/>
      <c r="C121" s="2022"/>
      <c r="D121" s="2022"/>
      <c r="E121" s="2022"/>
      <c r="F121" s="2022"/>
      <c r="G121" s="2023"/>
      <c r="H121" s="327"/>
      <c r="I121" s="328"/>
      <c r="J121" s="329"/>
      <c r="K121" s="2012"/>
      <c r="L121" s="2013"/>
      <c r="M121" s="2014"/>
      <c r="N121" s="331">
        <v>134</v>
      </c>
      <c r="O121" s="2074"/>
      <c r="P121" s="2022"/>
      <c r="Q121" s="2022"/>
      <c r="R121" s="2022"/>
      <c r="S121" s="2022"/>
      <c r="T121" s="2023"/>
      <c r="U121" s="327"/>
      <c r="V121" s="328"/>
      <c r="W121" s="329"/>
      <c r="X121" s="2012"/>
      <c r="Y121" s="2013"/>
      <c r="Z121" s="2014"/>
      <c r="AD121" s="620"/>
      <c r="AE121" s="616"/>
      <c r="BA121" s="67">
        <v>109</v>
      </c>
      <c r="BB121" s="68">
        <f t="shared" si="42"/>
        <v>0</v>
      </c>
      <c r="BC121" s="192">
        <f t="shared" si="43"/>
        <v>0</v>
      </c>
      <c r="BD121" s="70">
        <f t="shared" si="44"/>
        <v>0</v>
      </c>
      <c r="BE121" s="70">
        <f t="shared" si="44"/>
        <v>0</v>
      </c>
      <c r="BF121" s="624">
        <v>98</v>
      </c>
      <c r="BG121" s="625"/>
      <c r="BH121" s="625"/>
      <c r="BI121" s="625" t="b">
        <v>0</v>
      </c>
      <c r="BJ121" s="624">
        <v>128</v>
      </c>
      <c r="BK121" s="625"/>
      <c r="BL121" s="625"/>
      <c r="BM121" s="625" t="b">
        <v>0</v>
      </c>
      <c r="BN121" s="625"/>
      <c r="BO121" s="625"/>
      <c r="BP121" s="625"/>
      <c r="BQ121" s="192"/>
      <c r="BR121" s="192"/>
      <c r="BS121" s="192"/>
      <c r="BT121" s="192"/>
      <c r="BU121" s="192"/>
      <c r="BV121" s="192"/>
      <c r="BW121" s="192"/>
      <c r="BX121" s="192"/>
      <c r="BY121" s="192"/>
      <c r="BZ121" s="192"/>
      <c r="CA121" s="192"/>
      <c r="CB121" s="192"/>
      <c r="CC121" s="192"/>
      <c r="CD121" s="192"/>
      <c r="CE121" s="192"/>
      <c r="CF121" s="192"/>
      <c r="CG121" s="192"/>
      <c r="CH121" s="192"/>
      <c r="CI121" s="796"/>
      <c r="CJ121" s="796"/>
      <c r="CK121" s="192"/>
      <c r="CL121" s="192"/>
      <c r="CM121" s="192"/>
      <c r="CN121" s="192"/>
      <c r="CO121" s="192"/>
      <c r="CP121" s="192"/>
      <c r="CQ121" s="192"/>
      <c r="CR121" s="192"/>
      <c r="CS121" s="192"/>
      <c r="CT121" s="192"/>
      <c r="CU121" s="192"/>
      <c r="CV121" s="192"/>
      <c r="CW121" s="192"/>
      <c r="CX121" s="192"/>
      <c r="CY121" s="192"/>
    </row>
    <row r="122" spans="1:103" ht="24.95" customHeight="1">
      <c r="A122" s="326">
        <v>105</v>
      </c>
      <c r="B122" s="2021"/>
      <c r="C122" s="2022"/>
      <c r="D122" s="2022"/>
      <c r="E122" s="2022"/>
      <c r="F122" s="2022"/>
      <c r="G122" s="2023"/>
      <c r="H122" s="327"/>
      <c r="I122" s="328"/>
      <c r="J122" s="329"/>
      <c r="K122" s="2012"/>
      <c r="L122" s="2013"/>
      <c r="M122" s="2014"/>
      <c r="N122" s="331">
        <v>135</v>
      </c>
      <c r="O122" s="2074"/>
      <c r="P122" s="2022"/>
      <c r="Q122" s="2022"/>
      <c r="R122" s="2022"/>
      <c r="S122" s="2022"/>
      <c r="T122" s="2023"/>
      <c r="U122" s="327"/>
      <c r="V122" s="328"/>
      <c r="W122" s="329"/>
      <c r="X122" s="2012"/>
      <c r="Y122" s="2013"/>
      <c r="Z122" s="2014"/>
      <c r="AD122" s="620"/>
      <c r="AE122" s="616"/>
      <c r="BA122" s="67">
        <v>110</v>
      </c>
      <c r="BB122" s="68">
        <f t="shared" si="42"/>
        <v>0</v>
      </c>
      <c r="BC122" s="192">
        <f t="shared" si="43"/>
        <v>0</v>
      </c>
      <c r="BD122" s="70">
        <f t="shared" si="44"/>
        <v>0</v>
      </c>
      <c r="BE122" s="70">
        <f t="shared" si="44"/>
        <v>0</v>
      </c>
      <c r="BF122" s="624">
        <v>99</v>
      </c>
      <c r="BG122" s="625"/>
      <c r="BH122" s="625"/>
      <c r="BI122" s="625" t="b">
        <v>0</v>
      </c>
      <c r="BJ122" s="624">
        <v>129</v>
      </c>
      <c r="BK122" s="625"/>
      <c r="BL122" s="625"/>
      <c r="BM122" s="625" t="b">
        <v>0</v>
      </c>
      <c r="BN122" s="625"/>
      <c r="BO122" s="625"/>
      <c r="BP122" s="625"/>
      <c r="BQ122" s="192"/>
      <c r="BR122" s="192"/>
      <c r="BS122" s="192"/>
      <c r="BT122" s="192"/>
      <c r="BU122" s="192"/>
      <c r="BV122" s="192"/>
      <c r="BW122" s="192"/>
      <c r="BX122" s="192"/>
      <c r="BY122" s="192"/>
      <c r="BZ122" s="192"/>
      <c r="CA122" s="192"/>
      <c r="CB122" s="192"/>
      <c r="CC122" s="192"/>
      <c r="CD122" s="192"/>
      <c r="CE122" s="192"/>
      <c r="CF122" s="192"/>
      <c r="CG122" s="192"/>
      <c r="CH122" s="192"/>
      <c r="CI122" s="796"/>
      <c r="CJ122" s="796"/>
      <c r="CK122" s="192"/>
      <c r="CL122" s="192"/>
      <c r="CM122" s="192"/>
      <c r="CN122" s="192"/>
      <c r="CO122" s="192"/>
      <c r="CP122" s="192"/>
      <c r="CQ122" s="192"/>
      <c r="CR122" s="192"/>
      <c r="CS122" s="192"/>
      <c r="CT122" s="192"/>
      <c r="CU122" s="192"/>
      <c r="CV122" s="192"/>
      <c r="CW122" s="192"/>
      <c r="CX122" s="192"/>
      <c r="CY122" s="192"/>
    </row>
    <row r="123" spans="1:103" ht="24.95" customHeight="1">
      <c r="A123" s="326">
        <v>106</v>
      </c>
      <c r="B123" s="2021"/>
      <c r="C123" s="2022"/>
      <c r="D123" s="2022"/>
      <c r="E123" s="2022"/>
      <c r="F123" s="2022"/>
      <c r="G123" s="2023"/>
      <c r="H123" s="327"/>
      <c r="I123" s="328"/>
      <c r="J123" s="329"/>
      <c r="K123" s="2012"/>
      <c r="L123" s="2013"/>
      <c r="M123" s="2014"/>
      <c r="N123" s="331">
        <v>136</v>
      </c>
      <c r="O123" s="2074"/>
      <c r="P123" s="2022"/>
      <c r="Q123" s="2022"/>
      <c r="R123" s="2022"/>
      <c r="S123" s="2022"/>
      <c r="T123" s="2023"/>
      <c r="U123" s="327"/>
      <c r="V123" s="328"/>
      <c r="W123" s="329"/>
      <c r="X123" s="2012"/>
      <c r="Y123" s="2013"/>
      <c r="Z123" s="2014"/>
      <c r="AD123" s="620"/>
      <c r="AE123" s="616"/>
      <c r="BA123" s="67">
        <v>111</v>
      </c>
      <c r="BB123" s="68">
        <f t="shared" ref="BB123:BB152" si="45">COUNTA(U98:V98)</f>
        <v>0</v>
      </c>
      <c r="BC123" s="192">
        <f>COUNTA(X98)</f>
        <v>0</v>
      </c>
      <c r="BD123" s="70">
        <f t="shared" ref="BD123:BD152" si="46">BB123-COUNTA(U98)</f>
        <v>0</v>
      </c>
      <c r="BE123" s="70">
        <f t="shared" ref="BE123:BE152" si="47">BC123-COUNTA(V98)</f>
        <v>0</v>
      </c>
      <c r="BF123" s="624">
        <v>100</v>
      </c>
      <c r="BG123" s="625"/>
      <c r="BH123" s="625"/>
      <c r="BI123" s="625" t="b">
        <v>0</v>
      </c>
      <c r="BJ123" s="624">
        <v>130</v>
      </c>
      <c r="BK123" s="625"/>
      <c r="BL123" s="625"/>
      <c r="BM123" s="625" t="b">
        <v>0</v>
      </c>
      <c r="BN123" s="625"/>
      <c r="BO123" s="625"/>
      <c r="BP123" s="625"/>
      <c r="BQ123" s="192"/>
      <c r="BR123" s="192"/>
      <c r="BS123" s="192"/>
      <c r="BT123" s="192"/>
      <c r="BU123" s="192"/>
      <c r="BV123" s="192"/>
      <c r="BW123" s="192"/>
      <c r="BX123" s="192"/>
      <c r="BY123" s="192"/>
      <c r="BZ123" s="192"/>
      <c r="CA123" s="192"/>
      <c r="CB123" s="192"/>
      <c r="CC123" s="192"/>
      <c r="CD123" s="192"/>
      <c r="CE123" s="192"/>
      <c r="CF123" s="192"/>
      <c r="CG123" s="192"/>
      <c r="CH123" s="192"/>
      <c r="CI123" s="796"/>
      <c r="CJ123" s="796"/>
      <c r="CK123" s="192"/>
      <c r="CL123" s="192"/>
      <c r="CM123" s="192"/>
      <c r="CN123" s="192"/>
      <c r="CO123" s="192"/>
      <c r="CP123" s="192"/>
      <c r="CQ123" s="192"/>
      <c r="CR123" s="192"/>
      <c r="CS123" s="192"/>
      <c r="CT123" s="192"/>
      <c r="CU123" s="192"/>
      <c r="CV123" s="192"/>
      <c r="CW123" s="192"/>
      <c r="CX123" s="192"/>
      <c r="CY123" s="192"/>
    </row>
    <row r="124" spans="1:103" ht="24.95" customHeight="1">
      <c r="A124" s="326">
        <v>107</v>
      </c>
      <c r="B124" s="2021"/>
      <c r="C124" s="2022"/>
      <c r="D124" s="2022"/>
      <c r="E124" s="2022"/>
      <c r="F124" s="2022"/>
      <c r="G124" s="2023"/>
      <c r="H124" s="327"/>
      <c r="I124" s="328"/>
      <c r="J124" s="329"/>
      <c r="K124" s="2012"/>
      <c r="L124" s="2013"/>
      <c r="M124" s="2014"/>
      <c r="N124" s="331">
        <v>137</v>
      </c>
      <c r="O124" s="2074"/>
      <c r="P124" s="2022"/>
      <c r="Q124" s="2022"/>
      <c r="R124" s="2022"/>
      <c r="S124" s="2022"/>
      <c r="T124" s="2023"/>
      <c r="U124" s="327"/>
      <c r="V124" s="328"/>
      <c r="W124" s="329"/>
      <c r="X124" s="2012"/>
      <c r="Y124" s="2013"/>
      <c r="Z124" s="2014"/>
      <c r="AD124" s="620"/>
      <c r="AE124" s="618"/>
      <c r="BA124" s="67">
        <v>112</v>
      </c>
      <c r="BB124" s="68">
        <f t="shared" si="45"/>
        <v>0</v>
      </c>
      <c r="BC124" s="192">
        <f t="shared" ref="BC124:BC152" si="48">COUNTA(X99)</f>
        <v>0</v>
      </c>
      <c r="BD124" s="70">
        <f t="shared" si="46"/>
        <v>0</v>
      </c>
      <c r="BE124" s="70">
        <f t="shared" si="47"/>
        <v>0</v>
      </c>
      <c r="BF124" s="624">
        <v>101</v>
      </c>
      <c r="BG124" s="625"/>
      <c r="BH124" s="625"/>
      <c r="BI124" s="625" t="b">
        <v>0</v>
      </c>
      <c r="BJ124" s="624">
        <v>131</v>
      </c>
      <c r="BK124" s="625"/>
      <c r="BL124" s="625"/>
      <c r="BM124" s="625" t="b">
        <v>0</v>
      </c>
      <c r="BN124" s="625"/>
      <c r="BO124" s="625"/>
      <c r="BP124" s="625"/>
      <c r="BQ124" s="192"/>
      <c r="BR124" s="192"/>
      <c r="BS124" s="192"/>
      <c r="BT124" s="192"/>
      <c r="BU124" s="192"/>
      <c r="BV124" s="192"/>
      <c r="BW124" s="192"/>
      <c r="BX124" s="192"/>
      <c r="BY124" s="192"/>
      <c r="BZ124" s="192"/>
      <c r="CA124" s="192"/>
      <c r="CB124" s="192"/>
      <c r="CC124" s="192"/>
      <c r="CD124" s="192"/>
      <c r="CE124" s="192"/>
      <c r="CF124" s="192"/>
      <c r="CG124" s="192"/>
      <c r="CH124" s="192"/>
      <c r="CI124" s="796"/>
      <c r="CJ124" s="796"/>
      <c r="CK124" s="192"/>
      <c r="CL124" s="192"/>
      <c r="CM124" s="192"/>
      <c r="CN124" s="192"/>
      <c r="CO124" s="192"/>
      <c r="CP124" s="192"/>
      <c r="CQ124" s="192"/>
      <c r="CR124" s="192"/>
      <c r="CS124" s="192"/>
      <c r="CT124" s="192"/>
      <c r="CU124" s="192"/>
      <c r="CV124" s="192"/>
      <c r="CW124" s="192"/>
      <c r="CX124" s="192"/>
      <c r="CY124" s="192"/>
    </row>
    <row r="125" spans="1:103" ht="24.95" customHeight="1">
      <c r="A125" s="326">
        <v>108</v>
      </c>
      <c r="B125" s="2021"/>
      <c r="C125" s="2022"/>
      <c r="D125" s="2022"/>
      <c r="E125" s="2022"/>
      <c r="F125" s="2022"/>
      <c r="G125" s="2023"/>
      <c r="H125" s="327"/>
      <c r="I125" s="328"/>
      <c r="J125" s="329"/>
      <c r="K125" s="2012"/>
      <c r="L125" s="2013"/>
      <c r="M125" s="2014"/>
      <c r="N125" s="331">
        <v>138</v>
      </c>
      <c r="O125" s="2074"/>
      <c r="P125" s="2022"/>
      <c r="Q125" s="2022"/>
      <c r="R125" s="2022"/>
      <c r="S125" s="2022"/>
      <c r="T125" s="2023"/>
      <c r="U125" s="327"/>
      <c r="V125" s="328"/>
      <c r="W125" s="329"/>
      <c r="X125" s="2012"/>
      <c r="Y125" s="2013"/>
      <c r="Z125" s="2014"/>
      <c r="AD125" s="620"/>
      <c r="AE125" s="618"/>
      <c r="BA125" s="67">
        <v>113</v>
      </c>
      <c r="BB125" s="68">
        <f t="shared" si="45"/>
        <v>0</v>
      </c>
      <c r="BC125" s="192">
        <f t="shared" si="48"/>
        <v>0</v>
      </c>
      <c r="BD125" s="70">
        <f t="shared" si="46"/>
        <v>0</v>
      </c>
      <c r="BE125" s="70">
        <f t="shared" si="47"/>
        <v>0</v>
      </c>
      <c r="BF125" s="624">
        <v>102</v>
      </c>
      <c r="BG125" s="625"/>
      <c r="BH125" s="625"/>
      <c r="BI125" s="625" t="b">
        <v>0</v>
      </c>
      <c r="BJ125" s="624">
        <v>132</v>
      </c>
      <c r="BK125" s="625"/>
      <c r="BL125" s="625"/>
      <c r="BM125" s="625" t="b">
        <v>0</v>
      </c>
      <c r="BN125" s="625"/>
      <c r="BO125" s="625"/>
      <c r="BP125" s="625"/>
      <c r="BQ125" s="192"/>
      <c r="BR125" s="192"/>
      <c r="BS125" s="192"/>
      <c r="BT125" s="192"/>
      <c r="BU125" s="192"/>
      <c r="BV125" s="192"/>
      <c r="BW125" s="192"/>
      <c r="BX125" s="192"/>
      <c r="BY125" s="192"/>
      <c r="BZ125" s="192"/>
      <c r="CA125" s="192"/>
      <c r="CB125" s="192"/>
      <c r="CC125" s="192"/>
      <c r="CD125" s="192"/>
      <c r="CE125" s="192"/>
      <c r="CF125" s="192"/>
      <c r="CG125" s="192"/>
      <c r="CH125" s="192"/>
      <c r="CI125" s="796"/>
      <c r="CJ125" s="796"/>
      <c r="CK125" s="192"/>
      <c r="CL125" s="192"/>
      <c r="CM125" s="192"/>
      <c r="CN125" s="192"/>
      <c r="CO125" s="192"/>
      <c r="CP125" s="192"/>
      <c r="CQ125" s="192"/>
      <c r="CR125" s="192"/>
      <c r="CS125" s="192"/>
      <c r="CT125" s="192"/>
      <c r="CU125" s="192"/>
      <c r="CV125" s="192"/>
      <c r="CW125" s="192"/>
      <c r="CX125" s="192"/>
      <c r="CY125" s="192"/>
    </row>
    <row r="126" spans="1:103" ht="24.95" customHeight="1">
      <c r="A126" s="326">
        <v>109</v>
      </c>
      <c r="B126" s="2021"/>
      <c r="C126" s="2022"/>
      <c r="D126" s="2022"/>
      <c r="E126" s="2022"/>
      <c r="F126" s="2022"/>
      <c r="G126" s="2023"/>
      <c r="H126" s="327"/>
      <c r="I126" s="328"/>
      <c r="J126" s="329"/>
      <c r="K126" s="2012"/>
      <c r="L126" s="2013"/>
      <c r="M126" s="2014"/>
      <c r="N126" s="331">
        <v>139</v>
      </c>
      <c r="O126" s="2074"/>
      <c r="P126" s="2022"/>
      <c r="Q126" s="2022"/>
      <c r="R126" s="2022"/>
      <c r="S126" s="2022"/>
      <c r="T126" s="2023"/>
      <c r="U126" s="327"/>
      <c r="V126" s="328"/>
      <c r="W126" s="329"/>
      <c r="X126" s="2012"/>
      <c r="Y126" s="2013"/>
      <c r="Z126" s="2014"/>
      <c r="AD126" s="620"/>
      <c r="AE126" s="618"/>
      <c r="BA126" s="67">
        <v>114</v>
      </c>
      <c r="BB126" s="68">
        <f t="shared" si="45"/>
        <v>0</v>
      </c>
      <c r="BC126" s="192">
        <f t="shared" si="48"/>
        <v>0</v>
      </c>
      <c r="BD126" s="70">
        <f t="shared" si="46"/>
        <v>0</v>
      </c>
      <c r="BE126" s="70">
        <f t="shared" si="47"/>
        <v>0</v>
      </c>
      <c r="BF126" s="624">
        <v>103</v>
      </c>
      <c r="BG126" s="625"/>
      <c r="BH126" s="625"/>
      <c r="BI126" s="625" t="b">
        <v>0</v>
      </c>
      <c r="BJ126" s="624">
        <v>133</v>
      </c>
      <c r="BK126" s="625"/>
      <c r="BL126" s="625"/>
      <c r="BM126" s="625" t="b">
        <v>0</v>
      </c>
      <c r="BN126" s="625"/>
      <c r="BO126" s="625"/>
      <c r="BP126" s="625"/>
      <c r="BQ126" s="192"/>
      <c r="BR126" s="192"/>
      <c r="BS126" s="192"/>
      <c r="BT126" s="192"/>
      <c r="BU126" s="192"/>
      <c r="BV126" s="192"/>
      <c r="BW126" s="192"/>
      <c r="BX126" s="192"/>
      <c r="BY126" s="192"/>
      <c r="BZ126" s="192"/>
      <c r="CA126" s="192"/>
      <c r="CB126" s="192"/>
      <c r="CC126" s="192"/>
      <c r="CD126" s="192"/>
      <c r="CE126" s="192"/>
      <c r="CF126" s="192"/>
      <c r="CG126" s="192"/>
      <c r="CH126" s="192"/>
      <c r="CI126" s="796"/>
      <c r="CJ126" s="796"/>
      <c r="CK126" s="192"/>
      <c r="CL126" s="192"/>
      <c r="CM126" s="192"/>
      <c r="CN126" s="192"/>
      <c r="CO126" s="192"/>
      <c r="CP126" s="192"/>
      <c r="CQ126" s="192"/>
      <c r="CR126" s="192"/>
      <c r="CS126" s="192"/>
      <c r="CT126" s="192"/>
      <c r="CU126" s="192"/>
      <c r="CV126" s="192"/>
      <c r="CW126" s="192"/>
      <c r="CX126" s="192"/>
      <c r="CY126" s="192"/>
    </row>
    <row r="127" spans="1:103" ht="24.95" customHeight="1">
      <c r="A127" s="326">
        <v>110</v>
      </c>
      <c r="B127" s="2021"/>
      <c r="C127" s="2022"/>
      <c r="D127" s="2022"/>
      <c r="E127" s="2022"/>
      <c r="F127" s="2022"/>
      <c r="G127" s="2023"/>
      <c r="H127" s="327"/>
      <c r="I127" s="328"/>
      <c r="J127" s="329"/>
      <c r="K127" s="2012"/>
      <c r="L127" s="2013"/>
      <c r="M127" s="2014"/>
      <c r="N127" s="331">
        <v>140</v>
      </c>
      <c r="O127" s="2074"/>
      <c r="P127" s="2022"/>
      <c r="Q127" s="2022"/>
      <c r="R127" s="2022"/>
      <c r="S127" s="2022"/>
      <c r="T127" s="2023"/>
      <c r="U127" s="327"/>
      <c r="V127" s="328"/>
      <c r="W127" s="329"/>
      <c r="X127" s="2012"/>
      <c r="Y127" s="2013"/>
      <c r="Z127" s="2014"/>
      <c r="AD127" s="620"/>
      <c r="AE127" s="618"/>
      <c r="BA127" s="67">
        <v>115</v>
      </c>
      <c r="BB127" s="68">
        <f t="shared" si="45"/>
        <v>0</v>
      </c>
      <c r="BC127" s="192">
        <f t="shared" si="48"/>
        <v>0</v>
      </c>
      <c r="BD127" s="70">
        <f t="shared" si="46"/>
        <v>0</v>
      </c>
      <c r="BE127" s="70">
        <f t="shared" si="47"/>
        <v>0</v>
      </c>
      <c r="BF127" s="624">
        <v>104</v>
      </c>
      <c r="BG127" s="625"/>
      <c r="BH127" s="625"/>
      <c r="BI127" s="625" t="b">
        <v>0</v>
      </c>
      <c r="BJ127" s="624">
        <v>134</v>
      </c>
      <c r="BK127" s="625"/>
      <c r="BL127" s="625"/>
      <c r="BM127" s="625" t="b">
        <v>0</v>
      </c>
      <c r="BN127" s="625"/>
      <c r="BO127" s="625"/>
      <c r="BP127" s="625"/>
      <c r="BQ127" s="192"/>
      <c r="BR127" s="192"/>
      <c r="BS127" s="192"/>
      <c r="BT127" s="192"/>
      <c r="BU127" s="192"/>
      <c r="BV127" s="192"/>
      <c r="BW127" s="192"/>
      <c r="BX127" s="192"/>
      <c r="BY127" s="192"/>
      <c r="BZ127" s="192"/>
      <c r="CA127" s="192"/>
      <c r="CB127" s="192"/>
      <c r="CC127" s="192"/>
      <c r="CD127" s="192"/>
      <c r="CE127" s="192"/>
      <c r="CF127" s="192"/>
      <c r="CG127" s="192"/>
      <c r="CH127" s="192"/>
      <c r="CI127" s="796"/>
      <c r="CJ127" s="796"/>
      <c r="CK127" s="192"/>
      <c r="CL127" s="192"/>
      <c r="CM127" s="192"/>
      <c r="CN127" s="192"/>
      <c r="CO127" s="192"/>
      <c r="CP127" s="192"/>
      <c r="CQ127" s="192"/>
      <c r="CR127" s="192"/>
      <c r="CS127" s="192"/>
      <c r="CT127" s="192"/>
      <c r="CU127" s="192"/>
      <c r="CV127" s="192"/>
      <c r="CW127" s="192"/>
      <c r="CX127" s="192"/>
      <c r="CY127" s="192"/>
    </row>
    <row r="128" spans="1:103" ht="24.95" customHeight="1">
      <c r="A128" s="359"/>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D128" s="620"/>
      <c r="AE128" s="618"/>
      <c r="BA128" s="67">
        <v>116</v>
      </c>
      <c r="BB128" s="68">
        <f t="shared" si="45"/>
        <v>0</v>
      </c>
      <c r="BC128" s="192">
        <f t="shared" si="48"/>
        <v>0</v>
      </c>
      <c r="BD128" s="70">
        <f t="shared" si="46"/>
        <v>0</v>
      </c>
      <c r="BE128" s="70">
        <f t="shared" si="47"/>
        <v>0</v>
      </c>
      <c r="BF128" s="624">
        <v>105</v>
      </c>
      <c r="BG128" s="625"/>
      <c r="BH128" s="625"/>
      <c r="BI128" s="625" t="b">
        <v>0</v>
      </c>
      <c r="BJ128" s="624">
        <v>135</v>
      </c>
      <c r="BK128" s="625"/>
      <c r="BL128" s="625"/>
      <c r="BM128" s="625" t="b">
        <v>0</v>
      </c>
      <c r="BN128" s="625"/>
      <c r="BO128" s="625"/>
      <c r="BP128" s="625"/>
      <c r="BQ128" s="192"/>
      <c r="BR128" s="192"/>
      <c r="BS128" s="192"/>
      <c r="BT128" s="192"/>
      <c r="BU128" s="192"/>
      <c r="BV128" s="192"/>
      <c r="BW128" s="192"/>
      <c r="BX128" s="192"/>
      <c r="BY128" s="192"/>
      <c r="BZ128" s="192"/>
      <c r="CA128" s="192"/>
      <c r="CB128" s="192"/>
      <c r="CC128" s="192"/>
      <c r="CD128" s="192"/>
      <c r="CE128" s="192"/>
      <c r="CF128" s="192"/>
      <c r="CG128" s="192"/>
      <c r="CH128" s="192"/>
      <c r="CI128" s="796"/>
      <c r="CJ128" s="796"/>
      <c r="CK128" s="192"/>
      <c r="CL128" s="192"/>
      <c r="CM128" s="192"/>
      <c r="CN128" s="192"/>
      <c r="CO128" s="192"/>
      <c r="CP128" s="192"/>
      <c r="CQ128" s="192"/>
      <c r="CR128" s="192"/>
      <c r="CS128" s="192"/>
      <c r="CT128" s="192"/>
      <c r="CU128" s="192"/>
      <c r="CV128" s="192"/>
      <c r="CW128" s="192"/>
      <c r="CX128" s="192"/>
      <c r="CY128" s="192"/>
    </row>
    <row r="129" spans="1:103" ht="23.25">
      <c r="A129" s="1276" t="s">
        <v>162</v>
      </c>
      <c r="B129" s="1276"/>
      <c r="C129" s="1276"/>
      <c r="D129" s="1276"/>
      <c r="E129" s="1276"/>
      <c r="F129" s="1276"/>
      <c r="G129" s="1276"/>
      <c r="H129" s="1276"/>
      <c r="I129" s="1276"/>
      <c r="J129" s="1276"/>
      <c r="K129" s="1276"/>
      <c r="L129" s="1276"/>
      <c r="M129" s="1276"/>
      <c r="N129" s="1276"/>
      <c r="O129" s="1276"/>
      <c r="P129" s="1276"/>
      <c r="Q129" s="1276"/>
      <c r="R129" s="1276"/>
      <c r="S129" s="1276"/>
      <c r="T129" s="1276"/>
      <c r="U129" s="1276"/>
      <c r="V129" s="1276"/>
      <c r="W129" s="1276"/>
      <c r="X129" s="1276"/>
      <c r="Y129" s="1276"/>
      <c r="Z129" s="1276"/>
      <c r="AA129" s="14"/>
      <c r="AB129" s="14"/>
      <c r="AC129" s="14"/>
      <c r="AD129" s="620"/>
      <c r="AE129" s="618"/>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67">
        <v>117</v>
      </c>
      <c r="BB129" s="68">
        <f t="shared" si="45"/>
        <v>0</v>
      </c>
      <c r="BC129" s="192">
        <f t="shared" si="48"/>
        <v>0</v>
      </c>
      <c r="BD129" s="70">
        <f t="shared" si="46"/>
        <v>0</v>
      </c>
      <c r="BE129" s="70">
        <f t="shared" si="47"/>
        <v>0</v>
      </c>
      <c r="BF129" s="624">
        <v>106</v>
      </c>
      <c r="BG129" s="625"/>
      <c r="BH129" s="625"/>
      <c r="BI129" s="625" t="b">
        <v>0</v>
      </c>
      <c r="BJ129" s="624">
        <v>136</v>
      </c>
      <c r="BK129" s="625"/>
      <c r="BL129" s="625"/>
      <c r="BM129" s="625" t="b">
        <v>0</v>
      </c>
      <c r="BN129" s="625"/>
      <c r="BO129" s="625"/>
      <c r="BP129" s="625"/>
      <c r="BQ129" s="192"/>
      <c r="BR129" s="192"/>
      <c r="BS129" s="192"/>
      <c r="BT129" s="192"/>
      <c r="BU129" s="192"/>
      <c r="BV129" s="192"/>
      <c r="BW129" s="192"/>
      <c r="BX129" s="192"/>
      <c r="BY129" s="192"/>
      <c r="BZ129" s="192"/>
      <c r="CA129" s="192"/>
      <c r="CB129" s="192"/>
      <c r="CC129" s="192"/>
      <c r="CD129" s="192"/>
      <c r="CE129" s="192"/>
      <c r="CF129" s="192"/>
      <c r="CG129" s="192"/>
      <c r="CH129" s="192"/>
      <c r="CI129" s="796"/>
      <c r="CJ129" s="796"/>
      <c r="CK129" s="192"/>
      <c r="CL129" s="192"/>
      <c r="CM129" s="192"/>
      <c r="CN129" s="192"/>
      <c r="CO129" s="192"/>
      <c r="CP129" s="192"/>
      <c r="CQ129" s="192"/>
      <c r="CR129" s="192"/>
      <c r="CS129" s="192"/>
      <c r="CT129" s="192"/>
      <c r="CU129" s="192"/>
      <c r="CV129" s="192"/>
      <c r="CW129" s="192"/>
      <c r="CX129" s="192"/>
      <c r="CY129" s="192"/>
    </row>
    <row r="130" spans="1:103" ht="24" thickBot="1">
      <c r="A130" s="317">
        <f>COUNTIFS(K141:K170,"a",H141:H170,"&gt;0")</f>
        <v>0</v>
      </c>
      <c r="B130" s="317">
        <f>COUNTIFS(X141:X170,"a",U141:U170,"&gt;0")</f>
        <v>0</v>
      </c>
      <c r="C130" s="317">
        <f>COUNTIFS(K141:K170,"b",H141:H170,"&gt;0")</f>
        <v>0</v>
      </c>
      <c r="D130" s="317">
        <f>COUNTIFS(X141:X170,"b",U141:U170,"&gt;0")</f>
        <v>0</v>
      </c>
      <c r="E130" s="317">
        <f>COUNTIFS(K141:K170,"c",H141:H170,"&gt;0")</f>
        <v>0</v>
      </c>
      <c r="F130" s="317">
        <f>COUNTIFS(X141:X170,"c",U141:U170,"&gt;0")</f>
        <v>0</v>
      </c>
      <c r="G130" s="317">
        <f>COUNTIFS(K141:K170,"d",H141:H170,"&gt;0")</f>
        <v>0</v>
      </c>
      <c r="H130" s="317">
        <f>COUNTIFS(X141:X170,"d",U141:U170,"&gt;0")</f>
        <v>0</v>
      </c>
      <c r="I130" s="317">
        <f>COUNTIFS(K141:K170,"e",H141:H170,"&gt;0")</f>
        <v>0</v>
      </c>
      <c r="J130" s="317">
        <f>COUNTIFS(X141:X170,"e",U141:U170,"&gt;0")</f>
        <v>0</v>
      </c>
      <c r="K130" s="317">
        <f>COUNTIFS(K141:K170,"f",H141:H170,"&gt;0")</f>
        <v>0</v>
      </c>
      <c r="L130" s="317">
        <f>COUNTIFS(X141:X170,"f",U141:U170,"&gt;0")</f>
        <v>0</v>
      </c>
      <c r="M130" s="317">
        <f>COUNTIFS(K141:K170,"g",H141:H170,"&gt;0")</f>
        <v>0</v>
      </c>
      <c r="N130" s="317">
        <f>COUNTIFS(X141:X170,"g",U141:U170,"&gt;0")</f>
        <v>0</v>
      </c>
      <c r="O130" s="317">
        <f>COUNTIFS(K141:K170,"h",H141:H170,"&gt;0")</f>
        <v>0</v>
      </c>
      <c r="P130" s="317">
        <f>COUNTIFS(X141:X170,"h",U141:U170,"&gt;0")</f>
        <v>0</v>
      </c>
      <c r="Q130" s="317">
        <f>COUNTIFS(K141:K170,"i",H141:H170,"&gt;0")</f>
        <v>0</v>
      </c>
      <c r="R130" s="317">
        <f>COUNTIFS(X141:X170,"i",U141:U170,"&gt;0")</f>
        <v>0</v>
      </c>
      <c r="S130" s="318">
        <f>SUM(A130:R130)</f>
        <v>0</v>
      </c>
      <c r="T130" s="318"/>
      <c r="U130" s="318"/>
      <c r="V130" s="318"/>
      <c r="W130" s="2024" t="s">
        <v>468</v>
      </c>
      <c r="X130" s="2024"/>
      <c r="Y130" s="2024">
        <v>4</v>
      </c>
      <c r="Z130" s="2024"/>
      <c r="AA130" s="14"/>
      <c r="AB130" s="14"/>
      <c r="AC130" s="14"/>
      <c r="AD130" s="620"/>
      <c r="AE130" s="618"/>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67">
        <v>118</v>
      </c>
      <c r="BB130" s="68">
        <f t="shared" si="45"/>
        <v>0</v>
      </c>
      <c r="BC130" s="192">
        <f t="shared" si="48"/>
        <v>0</v>
      </c>
      <c r="BD130" s="70">
        <f t="shared" si="46"/>
        <v>0</v>
      </c>
      <c r="BE130" s="70">
        <f t="shared" si="47"/>
        <v>0</v>
      </c>
      <c r="BF130" s="624">
        <v>107</v>
      </c>
      <c r="BG130" s="625"/>
      <c r="BH130" s="625"/>
      <c r="BI130" s="625" t="b">
        <v>0</v>
      </c>
      <c r="BJ130" s="624">
        <v>137</v>
      </c>
      <c r="BK130" s="625"/>
      <c r="BL130" s="625"/>
      <c r="BM130" s="625" t="b">
        <v>0</v>
      </c>
      <c r="BN130" s="625"/>
      <c r="BO130" s="625"/>
      <c r="BP130" s="625"/>
      <c r="BQ130" s="192"/>
      <c r="BR130" s="192"/>
      <c r="BS130" s="192"/>
      <c r="BT130" s="192"/>
      <c r="BU130" s="192"/>
      <c r="BV130" s="192"/>
      <c r="BW130" s="192"/>
      <c r="BX130" s="192"/>
      <c r="BY130" s="192"/>
      <c r="BZ130" s="192"/>
      <c r="CA130" s="192"/>
      <c r="CB130" s="192"/>
      <c r="CC130" s="192"/>
      <c r="CD130" s="192"/>
      <c r="CE130" s="192"/>
      <c r="CF130" s="192"/>
      <c r="CG130" s="192"/>
      <c r="CH130" s="192"/>
      <c r="CI130" s="796"/>
      <c r="CJ130" s="796"/>
      <c r="CK130" s="192"/>
      <c r="CL130" s="192"/>
      <c r="CM130" s="192"/>
      <c r="CN130" s="192"/>
      <c r="CO130" s="192"/>
      <c r="CP130" s="192"/>
      <c r="CQ130" s="192"/>
      <c r="CR130" s="192"/>
      <c r="CS130" s="192"/>
      <c r="CT130" s="192"/>
      <c r="CU130" s="192"/>
      <c r="CV130" s="192"/>
      <c r="CW130" s="192"/>
      <c r="CX130" s="192"/>
      <c r="CY130" s="192"/>
    </row>
    <row r="131" spans="1:103" s="43" customFormat="1" ht="23.25">
      <c r="A131" s="317">
        <f>COUNTIFS(K141:K170,"a",I141:I170,"&gt;0")</f>
        <v>0</v>
      </c>
      <c r="B131" s="317">
        <f>COUNTIFS(X141:X170,"a",V141:V170,"&gt;0")</f>
        <v>0</v>
      </c>
      <c r="C131" s="317">
        <f>COUNTIFS(K141:K170,"b",I141:I170,"&gt;0")</f>
        <v>0</v>
      </c>
      <c r="D131" s="317">
        <f>COUNTIFS(X141:X170,"b",V141:V170,"&gt;0")</f>
        <v>0</v>
      </c>
      <c r="E131" s="317">
        <f>COUNTIFS(K141:K170,"c",I141:I170,"&gt;0")</f>
        <v>0</v>
      </c>
      <c r="F131" s="317">
        <f>COUNTIFS(X141:X170,"c",V141:V170,"&gt;0")</f>
        <v>0</v>
      </c>
      <c r="G131" s="317">
        <f>COUNTIFS(K141:K170,"d",I141:I170,"&gt;0")</f>
        <v>0</v>
      </c>
      <c r="H131" s="317">
        <f>COUNTIFS(X141:X170,"d",V141:V170,"&gt;0")</f>
        <v>0</v>
      </c>
      <c r="I131" s="317">
        <f>COUNTIFS(K141:K170,"e",I141:I170,"&gt;0")</f>
        <v>0</v>
      </c>
      <c r="J131" s="317">
        <f>COUNTIFS(X141:X170,"e",V141:V170,"&gt;0")</f>
        <v>0</v>
      </c>
      <c r="K131" s="317">
        <f>COUNTIFS(K141:K170,"f",I141:I170,"&gt;0")</f>
        <v>0</v>
      </c>
      <c r="L131" s="317">
        <f>COUNTIFS(X141:X170,"f",V141:V170,"&gt;0")</f>
        <v>0</v>
      </c>
      <c r="M131" s="317">
        <f>COUNTIFS(K141:K170,"g",I141:I170,"&gt;0")</f>
        <v>0</v>
      </c>
      <c r="N131" s="317">
        <f>COUNTIFS(X141:X170,"g",V141:V170,"&gt;0")</f>
        <v>0</v>
      </c>
      <c r="O131" s="317">
        <f>COUNTIFS(K141:K170,"h",I141:I170,"&gt;0")</f>
        <v>0</v>
      </c>
      <c r="P131" s="317">
        <f>COUNTIFS(X141:X170,"h",V141:V170,"&gt;0")</f>
        <v>0</v>
      </c>
      <c r="Q131" s="317">
        <f>COUNTIFS(K141:K170,"i",I141:I170,"&gt;0")</f>
        <v>0</v>
      </c>
      <c r="R131" s="317">
        <f>COUNTIFS(X141:X170,"i",V141:V170,"&gt;0")</f>
        <v>0</v>
      </c>
      <c r="S131" s="318">
        <f>SUM(A131:R131)</f>
        <v>0</v>
      </c>
      <c r="T131" s="318"/>
      <c r="U131" s="318"/>
      <c r="V131" s="318"/>
      <c r="W131" s="319"/>
      <c r="X131" s="319"/>
      <c r="Y131" s="319"/>
      <c r="Z131" s="319"/>
      <c r="AA131" s="14"/>
      <c r="AB131" s="14"/>
      <c r="AC131" s="14"/>
      <c r="AD131" s="620"/>
      <c r="AE131" s="618"/>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67">
        <v>119</v>
      </c>
      <c r="BB131" s="68">
        <f t="shared" si="45"/>
        <v>0</v>
      </c>
      <c r="BC131" s="192">
        <f t="shared" si="48"/>
        <v>0</v>
      </c>
      <c r="BD131" s="70">
        <f t="shared" si="46"/>
        <v>0</v>
      </c>
      <c r="BE131" s="70">
        <f t="shared" si="47"/>
        <v>0</v>
      </c>
      <c r="BF131" s="624">
        <v>108</v>
      </c>
      <c r="BG131" s="625"/>
      <c r="BH131" s="625"/>
      <c r="BI131" s="625" t="b">
        <v>0</v>
      </c>
      <c r="BJ131" s="624">
        <v>138</v>
      </c>
      <c r="BK131" s="625"/>
      <c r="BL131" s="625"/>
      <c r="BM131" s="625" t="b">
        <v>0</v>
      </c>
      <c r="BN131" s="625"/>
      <c r="BO131" s="625"/>
      <c r="BP131" s="625"/>
      <c r="BQ131" s="192"/>
      <c r="BR131" s="192"/>
      <c r="BS131" s="192"/>
      <c r="BT131" s="192"/>
      <c r="BU131" s="192"/>
      <c r="BV131" s="192"/>
      <c r="BW131" s="192"/>
      <c r="BX131" s="192"/>
      <c r="BY131" s="192"/>
      <c r="BZ131" s="192"/>
      <c r="CA131" s="192"/>
      <c r="CB131" s="192"/>
      <c r="CC131" s="192"/>
      <c r="CD131" s="192"/>
      <c r="CE131" s="192"/>
      <c r="CF131" s="192"/>
      <c r="CG131" s="192"/>
      <c r="CH131" s="192"/>
      <c r="CI131" s="796"/>
      <c r="CJ131" s="796"/>
      <c r="CK131" s="192"/>
      <c r="CL131" s="192"/>
      <c r="CM131" s="192"/>
      <c r="CN131" s="192"/>
      <c r="CO131" s="192"/>
      <c r="CP131" s="192"/>
      <c r="CQ131" s="192"/>
      <c r="CR131" s="192"/>
      <c r="CS131" s="192"/>
      <c r="CT131" s="192"/>
      <c r="CU131" s="192"/>
      <c r="CV131" s="192"/>
      <c r="CW131" s="192"/>
      <c r="CX131" s="192"/>
      <c r="CY131" s="192"/>
    </row>
    <row r="132" spans="1:103" ht="36" customHeight="1">
      <c r="A132" s="2122" t="s">
        <v>84</v>
      </c>
      <c r="B132" s="2122"/>
      <c r="C132" s="2118">
        <f>C4</f>
        <v>0</v>
      </c>
      <c r="D132" s="2118"/>
      <c r="E132" s="2118"/>
      <c r="F132" s="2118"/>
      <c r="G132" s="2118"/>
      <c r="H132" s="2118"/>
      <c r="I132" s="2118"/>
      <c r="J132" s="2118"/>
      <c r="K132" s="2118"/>
      <c r="L132" s="2118"/>
      <c r="M132" s="2118"/>
      <c r="N132" s="2118"/>
      <c r="O132" s="2118"/>
      <c r="P132" s="2118"/>
      <c r="Q132" s="2118"/>
      <c r="R132" s="2118"/>
      <c r="S132" s="2118"/>
      <c r="T132" s="2118"/>
      <c r="U132" s="307"/>
      <c r="V132" s="307"/>
      <c r="W132" s="307"/>
      <c r="X132" s="307"/>
      <c r="Y132" s="307"/>
      <c r="Z132" s="307"/>
      <c r="AA132" s="14"/>
      <c r="AB132" s="14"/>
      <c r="AC132" s="14"/>
      <c r="AD132" s="620"/>
      <c r="AE132" s="618"/>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67">
        <v>120</v>
      </c>
      <c r="BB132" s="68">
        <f t="shared" si="45"/>
        <v>0</v>
      </c>
      <c r="BC132" s="192">
        <f t="shared" si="48"/>
        <v>0</v>
      </c>
      <c r="BD132" s="70">
        <f t="shared" si="46"/>
        <v>0</v>
      </c>
      <c r="BE132" s="70">
        <f t="shared" si="47"/>
        <v>0</v>
      </c>
      <c r="BF132" s="624">
        <v>109</v>
      </c>
      <c r="BG132" s="625"/>
      <c r="BH132" s="625"/>
      <c r="BI132" s="625" t="b">
        <v>0</v>
      </c>
      <c r="BJ132" s="624">
        <v>139</v>
      </c>
      <c r="BK132" s="625"/>
      <c r="BL132" s="625"/>
      <c r="BM132" s="625" t="b">
        <v>0</v>
      </c>
      <c r="BN132" s="625"/>
      <c r="BO132" s="625"/>
      <c r="BP132" s="625"/>
      <c r="BQ132" s="192"/>
      <c r="BR132" s="192"/>
      <c r="BS132" s="192"/>
      <c r="BT132" s="192"/>
      <c r="BU132" s="192"/>
      <c r="BV132" s="192"/>
      <c r="BW132" s="192"/>
      <c r="BX132" s="192"/>
      <c r="BY132" s="192"/>
      <c r="BZ132" s="192"/>
      <c r="CA132" s="192"/>
      <c r="CB132" s="192"/>
      <c r="CC132" s="192"/>
      <c r="CD132" s="192"/>
      <c r="CE132" s="192"/>
      <c r="CF132" s="192"/>
      <c r="CG132" s="192"/>
      <c r="CH132" s="192"/>
      <c r="CI132" s="796"/>
      <c r="CJ132" s="796"/>
      <c r="CK132" s="192"/>
      <c r="CL132" s="192"/>
      <c r="CM132" s="192"/>
      <c r="CN132" s="192"/>
      <c r="CO132" s="192"/>
      <c r="CP132" s="192"/>
      <c r="CQ132" s="192"/>
      <c r="CR132" s="192"/>
      <c r="CS132" s="192"/>
      <c r="CT132" s="192"/>
      <c r="CU132" s="192"/>
      <c r="CV132" s="192"/>
      <c r="CW132" s="192"/>
      <c r="CX132" s="192"/>
      <c r="CY132" s="192"/>
    </row>
    <row r="133" spans="1:103" ht="15.95" customHeight="1">
      <c r="A133" s="2121" t="s">
        <v>82</v>
      </c>
      <c r="B133" s="2121"/>
      <c r="C133" s="2073">
        <f>C5</f>
        <v>0</v>
      </c>
      <c r="D133" s="2073"/>
      <c r="E133" s="1796" t="s">
        <v>16</v>
      </c>
      <c r="F133" s="2073">
        <f>F5</f>
        <v>0</v>
      </c>
      <c r="G133" s="1796" t="s">
        <v>15</v>
      </c>
      <c r="H133" s="2025">
        <f>H5</f>
        <v>0</v>
      </c>
      <c r="I133" s="1796" t="s">
        <v>14</v>
      </c>
      <c r="J133" s="1796" t="s">
        <v>469</v>
      </c>
      <c r="K133" s="2025">
        <f>K5</f>
        <v>0</v>
      </c>
      <c r="L133" s="1796" t="s">
        <v>470</v>
      </c>
      <c r="M133" s="1796" t="s">
        <v>443</v>
      </c>
      <c r="N133" s="2025">
        <f>N5</f>
        <v>0</v>
      </c>
      <c r="O133" s="1796" t="s">
        <v>15</v>
      </c>
      <c r="P133" s="2025">
        <f>P5</f>
        <v>0</v>
      </c>
      <c r="Q133" s="1796" t="s">
        <v>14</v>
      </c>
      <c r="R133" s="1796" t="s">
        <v>471</v>
      </c>
      <c r="S133" s="2025">
        <f>S5</f>
        <v>0</v>
      </c>
      <c r="T133" s="1796" t="s">
        <v>442</v>
      </c>
      <c r="U133" s="1796"/>
      <c r="V133" s="1796"/>
      <c r="W133" s="321">
        <f>W90</f>
        <v>0</v>
      </c>
      <c r="X133" s="296" t="s">
        <v>46</v>
      </c>
      <c r="Y133" s="321" t="str">
        <f>Y90</f>
        <v/>
      </c>
      <c r="Z133" s="296" t="s">
        <v>14</v>
      </c>
      <c r="AA133" s="13"/>
      <c r="AB133" s="13"/>
      <c r="AC133" s="13"/>
      <c r="AD133" s="620"/>
      <c r="AE133" s="618"/>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67">
        <v>121</v>
      </c>
      <c r="BB133" s="68">
        <f t="shared" si="45"/>
        <v>0</v>
      </c>
      <c r="BC133" s="192">
        <f t="shared" si="48"/>
        <v>0</v>
      </c>
      <c r="BD133" s="70">
        <f t="shared" si="46"/>
        <v>0</v>
      </c>
      <c r="BE133" s="70">
        <f t="shared" si="47"/>
        <v>0</v>
      </c>
      <c r="BF133" s="624">
        <v>110</v>
      </c>
      <c r="BG133" s="625"/>
      <c r="BH133" s="625"/>
      <c r="BI133" s="625" t="b">
        <v>0</v>
      </c>
      <c r="BJ133" s="624">
        <v>140</v>
      </c>
      <c r="BK133" s="625"/>
      <c r="BL133" s="625"/>
      <c r="BM133" s="625" t="b">
        <v>0</v>
      </c>
      <c r="BN133" s="625"/>
      <c r="BO133" s="625"/>
      <c r="BP133" s="625"/>
      <c r="BQ133" s="192"/>
      <c r="BR133" s="192"/>
      <c r="BS133" s="192"/>
      <c r="BT133" s="192"/>
      <c r="BU133" s="192"/>
      <c r="BV133" s="192"/>
      <c r="BW133" s="192"/>
      <c r="BX133" s="192"/>
      <c r="BY133" s="192"/>
      <c r="BZ133" s="192"/>
      <c r="CA133" s="192"/>
      <c r="CB133" s="192"/>
      <c r="CC133" s="192"/>
      <c r="CD133" s="192"/>
      <c r="CE133" s="192"/>
      <c r="CF133" s="192"/>
      <c r="CG133" s="192"/>
      <c r="CH133" s="192"/>
      <c r="CI133" s="796"/>
      <c r="CJ133" s="796"/>
      <c r="CK133" s="192"/>
      <c r="CL133" s="192"/>
      <c r="CM133" s="192"/>
      <c r="CN133" s="192"/>
      <c r="CO133" s="192"/>
      <c r="CP133" s="192"/>
      <c r="CQ133" s="192"/>
      <c r="CR133" s="192"/>
      <c r="CS133" s="192"/>
      <c r="CT133" s="192"/>
      <c r="CU133" s="192"/>
      <c r="CV133" s="192"/>
      <c r="CW133" s="192"/>
      <c r="CX133" s="192"/>
      <c r="CY133" s="192"/>
    </row>
    <row r="134" spans="1:103" ht="15.95" customHeight="1">
      <c r="A134" s="2122"/>
      <c r="B134" s="2122"/>
      <c r="C134" s="2026"/>
      <c r="D134" s="2026"/>
      <c r="E134" s="1454"/>
      <c r="F134" s="2026"/>
      <c r="G134" s="1454"/>
      <c r="H134" s="2026"/>
      <c r="I134" s="1454"/>
      <c r="J134" s="1454"/>
      <c r="K134" s="2026"/>
      <c r="L134" s="1454"/>
      <c r="M134" s="1454"/>
      <c r="N134" s="2026"/>
      <c r="O134" s="1454"/>
      <c r="P134" s="2026"/>
      <c r="Q134" s="1454"/>
      <c r="R134" s="1454"/>
      <c r="S134" s="2026"/>
      <c r="T134" s="1454"/>
      <c r="U134" s="1796"/>
      <c r="V134" s="1796"/>
      <c r="W134" s="1796" t="s">
        <v>47</v>
      </c>
      <c r="X134" s="1796"/>
      <c r="Y134" s="323" t="str">
        <f>Y91</f>
        <v/>
      </c>
      <c r="Z134" s="296" t="s">
        <v>14</v>
      </c>
      <c r="AA134" s="13"/>
      <c r="AB134" s="13"/>
      <c r="AC134" s="13"/>
      <c r="AD134" s="620"/>
      <c r="AE134" s="618"/>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67">
        <v>122</v>
      </c>
      <c r="BB134" s="68">
        <f t="shared" si="45"/>
        <v>0</v>
      </c>
      <c r="BC134" s="192">
        <f t="shared" si="48"/>
        <v>0</v>
      </c>
      <c r="BD134" s="70">
        <f t="shared" si="46"/>
        <v>0</v>
      </c>
      <c r="BE134" s="70">
        <f t="shared" si="47"/>
        <v>0</v>
      </c>
      <c r="BF134" s="625"/>
      <c r="BG134" s="625"/>
      <c r="BH134" s="625"/>
      <c r="BI134" s="625"/>
      <c r="BJ134" s="625"/>
      <c r="BK134" s="625"/>
      <c r="BL134" s="625"/>
      <c r="BM134" s="625"/>
      <c r="BN134" s="192"/>
      <c r="BO134" s="192"/>
      <c r="BP134" s="192"/>
      <c r="BQ134" s="192"/>
      <c r="BR134" s="192"/>
      <c r="BS134" s="192"/>
      <c r="BT134" s="192"/>
      <c r="BU134" s="192"/>
      <c r="BV134" s="192"/>
      <c r="BW134" s="192"/>
      <c r="BX134" s="192"/>
      <c r="BY134" s="192"/>
      <c r="BZ134" s="192"/>
      <c r="CA134" s="192"/>
      <c r="CB134" s="192"/>
      <c r="CC134" s="192"/>
      <c r="CD134" s="192"/>
      <c r="CE134" s="192"/>
      <c r="CF134" s="192"/>
      <c r="CG134" s="192"/>
      <c r="CH134" s="192"/>
      <c r="CI134" s="796"/>
      <c r="CJ134" s="796"/>
      <c r="CK134" s="192"/>
      <c r="CL134" s="192"/>
      <c r="CM134" s="192"/>
      <c r="CN134" s="192"/>
      <c r="CO134" s="192"/>
      <c r="CP134" s="192"/>
      <c r="CQ134" s="192"/>
      <c r="CR134" s="192"/>
      <c r="CS134" s="192"/>
      <c r="CT134" s="192"/>
      <c r="CU134" s="192"/>
      <c r="CV134" s="192"/>
      <c r="CW134" s="192"/>
      <c r="CX134" s="192"/>
      <c r="CY134" s="192"/>
    </row>
    <row r="135" spans="1:103" ht="24.95" customHeight="1">
      <c r="A135" s="324"/>
      <c r="B135" s="324"/>
      <c r="C135" s="324"/>
      <c r="D135" s="324"/>
      <c r="E135" s="324"/>
      <c r="F135" s="324"/>
      <c r="G135" s="324"/>
      <c r="H135" s="324"/>
      <c r="I135" s="324"/>
      <c r="J135" s="324"/>
      <c r="K135" s="324"/>
      <c r="L135" s="324"/>
      <c r="M135" s="324"/>
      <c r="N135" s="324"/>
      <c r="O135" s="324"/>
      <c r="P135" s="324"/>
      <c r="Q135" s="324"/>
      <c r="R135" s="324"/>
      <c r="S135" s="324"/>
      <c r="T135" s="324"/>
      <c r="U135" s="325"/>
      <c r="V135" s="325"/>
      <c r="W135" s="325"/>
      <c r="X135" s="325"/>
      <c r="Y135" s="325"/>
      <c r="Z135" s="325"/>
      <c r="AA135" s="13"/>
      <c r="AB135" s="13"/>
      <c r="AC135" s="13"/>
      <c r="AD135" s="620"/>
      <c r="AE135" s="618"/>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67">
        <v>123</v>
      </c>
      <c r="BB135" s="68">
        <f t="shared" si="45"/>
        <v>0</v>
      </c>
      <c r="BC135" s="192">
        <f t="shared" si="48"/>
        <v>0</v>
      </c>
      <c r="BD135" s="70">
        <f t="shared" si="46"/>
        <v>0</v>
      </c>
      <c r="BE135" s="70">
        <f t="shared" si="47"/>
        <v>0</v>
      </c>
      <c r="BF135" s="625"/>
      <c r="BG135" s="625"/>
      <c r="BH135" s="625"/>
      <c r="BI135" s="625"/>
      <c r="BJ135" s="625"/>
      <c r="BK135" s="625"/>
      <c r="BL135" s="625"/>
      <c r="BM135" s="625"/>
      <c r="BN135" s="192"/>
      <c r="BO135" s="192"/>
      <c r="BP135" s="192"/>
      <c r="BQ135" s="192"/>
      <c r="BR135" s="192"/>
      <c r="BS135" s="192"/>
      <c r="BT135" s="192"/>
      <c r="BU135" s="192"/>
      <c r="BV135" s="192"/>
      <c r="BW135" s="192"/>
      <c r="BX135" s="192"/>
      <c r="BY135" s="192"/>
      <c r="BZ135" s="192"/>
      <c r="CA135" s="192"/>
      <c r="CB135" s="192"/>
      <c r="CC135" s="192"/>
      <c r="CD135" s="192"/>
      <c r="CE135" s="192"/>
      <c r="CF135" s="192"/>
      <c r="CG135" s="192"/>
      <c r="CH135" s="192"/>
      <c r="CI135" s="796"/>
      <c r="CJ135" s="796"/>
      <c r="CK135" s="192"/>
      <c r="CL135" s="192"/>
      <c r="CM135" s="192"/>
      <c r="CN135" s="192"/>
      <c r="CO135" s="192"/>
      <c r="CP135" s="192"/>
      <c r="CQ135" s="192"/>
      <c r="CR135" s="192"/>
      <c r="CS135" s="192"/>
      <c r="CT135" s="192"/>
      <c r="CU135" s="192"/>
      <c r="CV135" s="192"/>
      <c r="CW135" s="192"/>
      <c r="CX135" s="192"/>
      <c r="CY135" s="192"/>
    </row>
    <row r="136" spans="1:103" ht="13.5" customHeight="1">
      <c r="A136" s="1773" t="s">
        <v>465</v>
      </c>
      <c r="B136" s="2032" t="s">
        <v>163</v>
      </c>
      <c r="C136" s="2033"/>
      <c r="D136" s="2033"/>
      <c r="E136" s="2033"/>
      <c r="F136" s="2033"/>
      <c r="G136" s="2034"/>
      <c r="H136" s="2043" t="s">
        <v>164</v>
      </c>
      <c r="I136" s="2034"/>
      <c r="J136" s="2032" t="s">
        <v>165</v>
      </c>
      <c r="K136" s="2033"/>
      <c r="L136" s="2033"/>
      <c r="M136" s="2045"/>
      <c r="N136" s="2029" t="s">
        <v>465</v>
      </c>
      <c r="O136" s="2032" t="s">
        <v>163</v>
      </c>
      <c r="P136" s="2033"/>
      <c r="Q136" s="2033"/>
      <c r="R136" s="2033"/>
      <c r="S136" s="2033"/>
      <c r="T136" s="2034"/>
      <c r="U136" s="2043" t="s">
        <v>164</v>
      </c>
      <c r="V136" s="2034"/>
      <c r="W136" s="2032" t="s">
        <v>165</v>
      </c>
      <c r="X136" s="2033"/>
      <c r="Y136" s="2033"/>
      <c r="Z136" s="2045"/>
      <c r="AA136" s="13"/>
      <c r="AB136" s="13"/>
      <c r="AC136" s="13"/>
      <c r="AD136" s="620"/>
      <c r="AE136" s="618"/>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67">
        <v>124</v>
      </c>
      <c r="BB136" s="68">
        <f t="shared" si="45"/>
        <v>0</v>
      </c>
      <c r="BC136" s="192">
        <f t="shared" si="48"/>
        <v>0</v>
      </c>
      <c r="BD136" s="70">
        <f t="shared" si="46"/>
        <v>0</v>
      </c>
      <c r="BE136" s="70">
        <f t="shared" si="47"/>
        <v>0</v>
      </c>
      <c r="BF136" s="625"/>
      <c r="BG136" s="625"/>
      <c r="BH136" s="625"/>
      <c r="BI136" s="625"/>
      <c r="BJ136" s="625"/>
      <c r="BK136" s="625"/>
      <c r="BL136" s="625"/>
      <c r="BM136" s="625"/>
      <c r="BN136" s="192"/>
      <c r="BO136" s="192"/>
      <c r="BP136" s="192"/>
      <c r="BQ136" s="192"/>
      <c r="BR136" s="192"/>
      <c r="BS136" s="192"/>
      <c r="BT136" s="192"/>
      <c r="BU136" s="192"/>
      <c r="BV136" s="192"/>
      <c r="BW136" s="192"/>
      <c r="BX136" s="192"/>
      <c r="BY136" s="192"/>
      <c r="BZ136" s="192"/>
      <c r="CA136" s="192"/>
      <c r="CB136" s="192"/>
      <c r="CC136" s="192"/>
      <c r="CD136" s="192"/>
      <c r="CE136" s="192"/>
      <c r="CF136" s="192"/>
      <c r="CG136" s="192"/>
      <c r="CH136" s="192"/>
      <c r="CI136" s="796"/>
      <c r="CJ136" s="796"/>
      <c r="CK136" s="192"/>
      <c r="CL136" s="192"/>
      <c r="CM136" s="192"/>
      <c r="CN136" s="192"/>
      <c r="CO136" s="192"/>
      <c r="CP136" s="192"/>
      <c r="CQ136" s="192"/>
      <c r="CR136" s="192"/>
      <c r="CS136" s="192"/>
      <c r="CT136" s="192"/>
      <c r="CU136" s="192"/>
      <c r="CV136" s="192"/>
      <c r="CW136" s="192"/>
      <c r="CX136" s="192"/>
      <c r="CY136" s="192"/>
    </row>
    <row r="137" spans="1:103">
      <c r="A137" s="1773"/>
      <c r="B137" s="2035"/>
      <c r="C137" s="2036"/>
      <c r="D137" s="2036"/>
      <c r="E137" s="2036"/>
      <c r="F137" s="2036"/>
      <c r="G137" s="2037"/>
      <c r="H137" s="2038"/>
      <c r="I137" s="2040"/>
      <c r="J137" s="2038"/>
      <c r="K137" s="2039"/>
      <c r="L137" s="2039"/>
      <c r="M137" s="2046"/>
      <c r="N137" s="2030"/>
      <c r="O137" s="2035"/>
      <c r="P137" s="2036"/>
      <c r="Q137" s="2036"/>
      <c r="R137" s="2036"/>
      <c r="S137" s="2036"/>
      <c r="T137" s="2037"/>
      <c r="U137" s="2038"/>
      <c r="V137" s="2040"/>
      <c r="W137" s="2038"/>
      <c r="X137" s="2039"/>
      <c r="Y137" s="2039"/>
      <c r="Z137" s="2046"/>
      <c r="AA137" s="13"/>
      <c r="AB137" s="13"/>
      <c r="AC137" s="13"/>
      <c r="AD137" s="620"/>
      <c r="AE137" s="618"/>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67">
        <v>125</v>
      </c>
      <c r="BB137" s="68">
        <f t="shared" si="45"/>
        <v>0</v>
      </c>
      <c r="BC137" s="192">
        <f t="shared" si="48"/>
        <v>0</v>
      </c>
      <c r="BD137" s="70">
        <f t="shared" si="46"/>
        <v>0</v>
      </c>
      <c r="BE137" s="70">
        <f t="shared" si="47"/>
        <v>0</v>
      </c>
      <c r="BF137" s="625"/>
      <c r="BG137" s="625"/>
      <c r="BH137" s="625"/>
      <c r="BI137" s="625"/>
      <c r="BJ137" s="625"/>
      <c r="BK137" s="625"/>
      <c r="BL137" s="625"/>
      <c r="BM137" s="625"/>
      <c r="BN137" s="192"/>
      <c r="BO137" s="192"/>
      <c r="BP137" s="192"/>
      <c r="BQ137" s="192"/>
      <c r="BR137" s="192"/>
      <c r="BS137" s="192"/>
      <c r="BT137" s="192"/>
      <c r="BU137" s="192"/>
      <c r="BV137" s="192"/>
      <c r="BW137" s="192"/>
      <c r="BX137" s="192"/>
      <c r="BY137" s="192"/>
      <c r="BZ137" s="192"/>
      <c r="CA137" s="192"/>
      <c r="CB137" s="192"/>
      <c r="CC137" s="192"/>
      <c r="CD137" s="192"/>
      <c r="CE137" s="192"/>
      <c r="CF137" s="192"/>
      <c r="CG137" s="192"/>
      <c r="CH137" s="192"/>
      <c r="CI137" s="796"/>
      <c r="CJ137" s="796"/>
      <c r="CK137" s="192"/>
      <c r="CL137" s="192"/>
      <c r="CM137" s="192"/>
      <c r="CN137" s="192"/>
      <c r="CO137" s="192"/>
      <c r="CP137" s="192"/>
      <c r="CQ137" s="192"/>
      <c r="CR137" s="192"/>
      <c r="CS137" s="192"/>
      <c r="CT137" s="192"/>
      <c r="CU137" s="192"/>
      <c r="CV137" s="192"/>
      <c r="CW137" s="192"/>
      <c r="CX137" s="192"/>
      <c r="CY137" s="192"/>
    </row>
    <row r="138" spans="1:103" ht="26.1" customHeight="1">
      <c r="A138" s="1773"/>
      <c r="B138" s="2035"/>
      <c r="C138" s="2036"/>
      <c r="D138" s="2036"/>
      <c r="E138" s="2036"/>
      <c r="F138" s="2036"/>
      <c r="G138" s="2037"/>
      <c r="H138" s="2059" t="s">
        <v>48</v>
      </c>
      <c r="I138" s="2060" t="s">
        <v>47</v>
      </c>
      <c r="J138" s="2041" t="s">
        <v>529</v>
      </c>
      <c r="K138" s="2047" t="s">
        <v>528</v>
      </c>
      <c r="L138" s="2048"/>
      <c r="M138" s="2049"/>
      <c r="N138" s="2030"/>
      <c r="O138" s="2035"/>
      <c r="P138" s="2036"/>
      <c r="Q138" s="2036"/>
      <c r="R138" s="2036"/>
      <c r="S138" s="2036"/>
      <c r="T138" s="2037"/>
      <c r="U138" s="2059" t="s">
        <v>48</v>
      </c>
      <c r="V138" s="2060" t="s">
        <v>47</v>
      </c>
      <c r="W138" s="2041" t="s">
        <v>529</v>
      </c>
      <c r="X138" s="2047" t="s">
        <v>528</v>
      </c>
      <c r="Y138" s="2048"/>
      <c r="Z138" s="2049"/>
      <c r="AA138" s="9"/>
      <c r="AB138" s="9"/>
      <c r="AC138" s="9"/>
      <c r="AD138" s="619"/>
      <c r="AE138" s="619"/>
      <c r="AF138" s="9"/>
      <c r="AG138" s="9"/>
      <c r="AH138" s="9"/>
      <c r="AI138" s="9"/>
      <c r="AJ138" s="9"/>
      <c r="AK138" s="9"/>
      <c r="AL138" s="9"/>
      <c r="AM138" s="9"/>
      <c r="AN138" s="9"/>
      <c r="AO138" s="9"/>
      <c r="AP138" s="9"/>
      <c r="AQ138" s="9"/>
      <c r="AR138" s="9"/>
      <c r="AS138" s="9"/>
      <c r="AT138" s="9"/>
      <c r="AU138" s="9"/>
      <c r="AV138" s="9"/>
      <c r="AW138" s="9"/>
      <c r="AX138" s="9"/>
      <c r="AY138" s="9"/>
      <c r="AZ138" s="9"/>
      <c r="BA138" s="67">
        <v>126</v>
      </c>
      <c r="BB138" s="68">
        <f t="shared" si="45"/>
        <v>0</v>
      </c>
      <c r="BC138" s="192">
        <f t="shared" si="48"/>
        <v>0</v>
      </c>
      <c r="BD138" s="70">
        <f t="shared" si="46"/>
        <v>0</v>
      </c>
      <c r="BE138" s="70">
        <f t="shared" si="47"/>
        <v>0</v>
      </c>
      <c r="BF138" s="625"/>
      <c r="BG138" s="625"/>
      <c r="BH138" s="625"/>
      <c r="BI138" s="625"/>
      <c r="BJ138" s="625"/>
      <c r="BK138" s="625"/>
      <c r="BL138" s="625"/>
      <c r="BM138" s="625"/>
      <c r="BN138" s="192"/>
      <c r="BO138" s="192"/>
      <c r="BP138" s="192"/>
      <c r="BQ138" s="192"/>
      <c r="BR138" s="192"/>
      <c r="BS138" s="192"/>
      <c r="BT138" s="192"/>
      <c r="BU138" s="192"/>
      <c r="BV138" s="192"/>
      <c r="BW138" s="192"/>
      <c r="BX138" s="192"/>
      <c r="BY138" s="192"/>
      <c r="BZ138" s="192"/>
      <c r="CA138" s="192"/>
      <c r="CB138" s="192"/>
      <c r="CC138" s="192"/>
      <c r="CD138" s="192"/>
      <c r="CE138" s="192"/>
      <c r="CF138" s="192"/>
      <c r="CG138" s="192"/>
      <c r="CH138" s="192"/>
      <c r="CI138" s="796"/>
      <c r="CJ138" s="796"/>
      <c r="CK138" s="192"/>
      <c r="CL138" s="192"/>
      <c r="CM138" s="192"/>
      <c r="CN138" s="192"/>
      <c r="CO138" s="192"/>
      <c r="CP138" s="192"/>
      <c r="CQ138" s="192"/>
      <c r="CR138" s="192"/>
      <c r="CS138" s="192"/>
      <c r="CT138" s="192"/>
      <c r="CU138" s="192"/>
      <c r="CV138" s="192"/>
      <c r="CW138" s="192"/>
      <c r="CX138" s="192"/>
      <c r="CY138" s="192"/>
    </row>
    <row r="139" spans="1:103" ht="26.1" customHeight="1">
      <c r="A139" s="1773"/>
      <c r="B139" s="2035"/>
      <c r="C139" s="2036"/>
      <c r="D139" s="2036"/>
      <c r="E139" s="2036"/>
      <c r="F139" s="2036"/>
      <c r="G139" s="2037"/>
      <c r="H139" s="2059"/>
      <c r="I139" s="2060"/>
      <c r="J139" s="2042"/>
      <c r="K139" s="2047"/>
      <c r="L139" s="2048"/>
      <c r="M139" s="2049"/>
      <c r="N139" s="2030"/>
      <c r="O139" s="2035"/>
      <c r="P139" s="2036"/>
      <c r="Q139" s="2036"/>
      <c r="R139" s="2036"/>
      <c r="S139" s="2036"/>
      <c r="T139" s="2037"/>
      <c r="U139" s="2059"/>
      <c r="V139" s="2060"/>
      <c r="W139" s="2042"/>
      <c r="X139" s="2047"/>
      <c r="Y139" s="2048"/>
      <c r="Z139" s="204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67">
        <v>127</v>
      </c>
      <c r="BB139" s="68">
        <f t="shared" si="45"/>
        <v>0</v>
      </c>
      <c r="BC139" s="192">
        <f t="shared" si="48"/>
        <v>0</v>
      </c>
      <c r="BD139" s="70">
        <f t="shared" si="46"/>
        <v>0</v>
      </c>
      <c r="BE139" s="70">
        <f t="shared" si="47"/>
        <v>0</v>
      </c>
      <c r="BF139" s="625"/>
      <c r="BG139" s="625"/>
      <c r="BH139" s="625"/>
      <c r="BI139" s="625"/>
      <c r="BJ139" s="625"/>
      <c r="BK139" s="625"/>
      <c r="BL139" s="625"/>
      <c r="BM139" s="625"/>
      <c r="BN139" s="192"/>
      <c r="BO139" s="192"/>
      <c r="BP139" s="192"/>
      <c r="BQ139" s="192"/>
      <c r="BR139" s="192"/>
      <c r="BS139" s="192"/>
      <c r="BT139" s="192"/>
      <c r="BU139" s="192"/>
      <c r="BV139" s="192"/>
      <c r="BW139" s="192"/>
      <c r="BX139" s="192"/>
      <c r="BY139" s="192"/>
      <c r="BZ139" s="192"/>
      <c r="CA139" s="192"/>
      <c r="CB139" s="192"/>
      <c r="CC139" s="192"/>
      <c r="CD139" s="192"/>
      <c r="CE139" s="192"/>
      <c r="CF139" s="192"/>
      <c r="CG139" s="192"/>
      <c r="CH139" s="192"/>
      <c r="CI139" s="796"/>
      <c r="CJ139" s="796"/>
      <c r="CK139" s="192"/>
      <c r="CL139" s="192"/>
      <c r="CM139" s="192"/>
      <c r="CN139" s="192"/>
      <c r="CO139" s="192"/>
      <c r="CP139" s="192"/>
      <c r="CQ139" s="192"/>
      <c r="CR139" s="192"/>
      <c r="CS139" s="192"/>
      <c r="CT139" s="192"/>
      <c r="CU139" s="192"/>
      <c r="CV139" s="192"/>
      <c r="CW139" s="192"/>
      <c r="CX139" s="192"/>
      <c r="CY139" s="192"/>
    </row>
    <row r="140" spans="1:103" ht="26.1" customHeight="1">
      <c r="A140" s="1773"/>
      <c r="B140" s="2038"/>
      <c r="C140" s="2039"/>
      <c r="D140" s="2039"/>
      <c r="E140" s="2039"/>
      <c r="F140" s="2039"/>
      <c r="G140" s="2040"/>
      <c r="H140" s="2059"/>
      <c r="I140" s="2060"/>
      <c r="J140" s="2042"/>
      <c r="K140" s="2050"/>
      <c r="L140" s="2051"/>
      <c r="M140" s="2052"/>
      <c r="N140" s="2031"/>
      <c r="O140" s="2038"/>
      <c r="P140" s="2039"/>
      <c r="Q140" s="2039"/>
      <c r="R140" s="2039"/>
      <c r="S140" s="2039"/>
      <c r="T140" s="2040"/>
      <c r="U140" s="2059"/>
      <c r="V140" s="2060"/>
      <c r="W140" s="2042"/>
      <c r="X140" s="2050"/>
      <c r="Y140" s="2051"/>
      <c r="Z140" s="2052"/>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67">
        <v>128</v>
      </c>
      <c r="BB140" s="68">
        <f t="shared" si="45"/>
        <v>0</v>
      </c>
      <c r="BC140" s="192">
        <f t="shared" si="48"/>
        <v>0</v>
      </c>
      <c r="BD140" s="70">
        <f t="shared" si="46"/>
        <v>0</v>
      </c>
      <c r="BE140" s="70">
        <f t="shared" si="47"/>
        <v>0</v>
      </c>
      <c r="BF140" s="624" t="s">
        <v>1363</v>
      </c>
      <c r="BG140" s="624" t="s">
        <v>1364</v>
      </c>
      <c r="BH140" s="624" t="s">
        <v>1365</v>
      </c>
      <c r="BI140" s="624" t="s">
        <v>1362</v>
      </c>
      <c r="BJ140" s="624" t="s">
        <v>1363</v>
      </c>
      <c r="BK140" s="624" t="s">
        <v>1364</v>
      </c>
      <c r="BL140" s="624" t="s">
        <v>1365</v>
      </c>
      <c r="BM140" s="624" t="s">
        <v>1362</v>
      </c>
      <c r="BN140" s="192"/>
      <c r="BO140" s="192"/>
      <c r="BP140" s="192"/>
      <c r="BQ140" s="192"/>
      <c r="BR140" s="192"/>
      <c r="BS140" s="192"/>
      <c r="BT140" s="192"/>
      <c r="BU140" s="192"/>
      <c r="BV140" s="192"/>
      <c r="BW140" s="192"/>
      <c r="BX140" s="192"/>
      <c r="BY140" s="192"/>
      <c r="BZ140" s="192"/>
      <c r="CA140" s="192"/>
      <c r="CB140" s="192"/>
      <c r="CC140" s="192"/>
      <c r="CD140" s="192"/>
      <c r="CE140" s="192"/>
      <c r="CF140" s="192"/>
      <c r="CG140" s="192"/>
      <c r="CH140" s="192"/>
      <c r="CI140" s="796"/>
      <c r="CJ140" s="796"/>
      <c r="CK140" s="192"/>
      <c r="CL140" s="192"/>
      <c r="CM140" s="192"/>
      <c r="CN140" s="192"/>
      <c r="CO140" s="192"/>
      <c r="CP140" s="192"/>
      <c r="CQ140" s="192"/>
      <c r="CR140" s="192"/>
      <c r="CS140" s="192"/>
      <c r="CT140" s="192"/>
      <c r="CU140" s="192"/>
      <c r="CV140" s="192"/>
      <c r="CW140" s="192"/>
      <c r="CX140" s="192"/>
      <c r="CY140" s="192"/>
    </row>
    <row r="141" spans="1:103" ht="24.95" customHeight="1">
      <c r="A141" s="326">
        <v>141</v>
      </c>
      <c r="B141" s="2074"/>
      <c r="C141" s="2022"/>
      <c r="D141" s="2022"/>
      <c r="E141" s="2022"/>
      <c r="F141" s="2022"/>
      <c r="G141" s="2023"/>
      <c r="H141" s="327"/>
      <c r="I141" s="328"/>
      <c r="J141" s="329"/>
      <c r="K141" s="2012"/>
      <c r="L141" s="2013"/>
      <c r="M141" s="2014"/>
      <c r="N141" s="331">
        <v>171</v>
      </c>
      <c r="O141" s="2074"/>
      <c r="P141" s="2022"/>
      <c r="Q141" s="2022"/>
      <c r="R141" s="2022"/>
      <c r="S141" s="2022"/>
      <c r="T141" s="2023"/>
      <c r="U141" s="327"/>
      <c r="V141" s="328"/>
      <c r="W141" s="329"/>
      <c r="X141" s="2012"/>
      <c r="Y141" s="2013"/>
      <c r="Z141" s="2014"/>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67">
        <v>129</v>
      </c>
      <c r="BB141" s="68">
        <f t="shared" si="45"/>
        <v>0</v>
      </c>
      <c r="BC141" s="192">
        <f t="shared" si="48"/>
        <v>0</v>
      </c>
      <c r="BD141" s="70">
        <f t="shared" si="46"/>
        <v>0</v>
      </c>
      <c r="BE141" s="70">
        <f t="shared" si="47"/>
        <v>0</v>
      </c>
      <c r="BF141" s="624">
        <v>141</v>
      </c>
      <c r="BG141" s="625">
        <f>H141</f>
        <v>0</v>
      </c>
      <c r="BH141" s="625">
        <f>I141</f>
        <v>0</v>
      </c>
      <c r="BI141" s="625" t="b">
        <v>0</v>
      </c>
      <c r="BJ141" s="624">
        <v>171</v>
      </c>
      <c r="BK141" s="625"/>
      <c r="BL141" s="625"/>
      <c r="BM141" s="625" t="b">
        <v>0</v>
      </c>
      <c r="BN141" s="192"/>
      <c r="BO141" s="192"/>
      <c r="BP141" s="192"/>
      <c r="BQ141" s="192"/>
      <c r="BR141" s="192"/>
      <c r="BS141" s="192"/>
      <c r="BT141" s="192"/>
      <c r="BU141" s="192"/>
      <c r="BV141" s="192"/>
      <c r="BW141" s="192"/>
      <c r="BX141" s="192"/>
      <c r="BY141" s="192"/>
      <c r="BZ141" s="192"/>
      <c r="CA141" s="192"/>
      <c r="CB141" s="192"/>
      <c r="CC141" s="192"/>
      <c r="CD141" s="192"/>
      <c r="CE141" s="192"/>
      <c r="CF141" s="192"/>
      <c r="CG141" s="192"/>
      <c r="CH141" s="192"/>
      <c r="CI141" s="796"/>
      <c r="CJ141" s="796"/>
      <c r="CK141" s="192"/>
      <c r="CL141" s="192"/>
      <c r="CM141" s="192"/>
      <c r="CN141" s="192"/>
      <c r="CO141" s="192"/>
      <c r="CP141" s="192"/>
      <c r="CQ141" s="192"/>
      <c r="CR141" s="192"/>
      <c r="CS141" s="192"/>
      <c r="CT141" s="192"/>
      <c r="CU141" s="192"/>
      <c r="CV141" s="192"/>
      <c r="CW141" s="192"/>
      <c r="CX141" s="192"/>
      <c r="CY141" s="192"/>
    </row>
    <row r="142" spans="1:103" ht="24.95" customHeight="1">
      <c r="A142" s="326">
        <v>142</v>
      </c>
      <c r="B142" s="2074"/>
      <c r="C142" s="2022"/>
      <c r="D142" s="2022"/>
      <c r="E142" s="2022"/>
      <c r="F142" s="2022"/>
      <c r="G142" s="2023"/>
      <c r="H142" s="327"/>
      <c r="I142" s="328"/>
      <c r="J142" s="329"/>
      <c r="K142" s="2012"/>
      <c r="L142" s="2013"/>
      <c r="M142" s="2014"/>
      <c r="N142" s="331">
        <v>172</v>
      </c>
      <c r="O142" s="2074"/>
      <c r="P142" s="2022"/>
      <c r="Q142" s="2022"/>
      <c r="R142" s="2022"/>
      <c r="S142" s="2022"/>
      <c r="T142" s="2023"/>
      <c r="U142" s="327"/>
      <c r="V142" s="328"/>
      <c r="W142" s="329"/>
      <c r="X142" s="2012"/>
      <c r="Y142" s="2013"/>
      <c r="Z142" s="2014"/>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67">
        <v>130</v>
      </c>
      <c r="BB142" s="68">
        <f t="shared" si="45"/>
        <v>0</v>
      </c>
      <c r="BC142" s="192">
        <f t="shared" si="48"/>
        <v>0</v>
      </c>
      <c r="BD142" s="70">
        <f t="shared" si="46"/>
        <v>0</v>
      </c>
      <c r="BE142" s="70">
        <f t="shared" si="47"/>
        <v>0</v>
      </c>
      <c r="BF142" s="624">
        <v>142</v>
      </c>
      <c r="BG142" s="625">
        <f t="shared" ref="BG142:BG170" si="49">H142</f>
        <v>0</v>
      </c>
      <c r="BH142" s="625">
        <f t="shared" ref="BH142:BH170" si="50">I142</f>
        <v>0</v>
      </c>
      <c r="BI142" s="625" t="b">
        <v>0</v>
      </c>
      <c r="BJ142" s="624">
        <v>172</v>
      </c>
      <c r="BK142" s="625"/>
      <c r="BL142" s="625"/>
      <c r="BM142" s="625" t="b">
        <v>0</v>
      </c>
      <c r="BN142" s="192"/>
      <c r="BO142" s="192"/>
      <c r="BP142" s="192"/>
      <c r="BQ142" s="192"/>
      <c r="BR142" s="192"/>
      <c r="BS142" s="192"/>
      <c r="BT142" s="192"/>
      <c r="BU142" s="192"/>
      <c r="BV142" s="192"/>
      <c r="BW142" s="192"/>
      <c r="BX142" s="192"/>
      <c r="BY142" s="192"/>
      <c r="BZ142" s="192"/>
      <c r="CA142" s="192"/>
      <c r="CB142" s="192"/>
      <c r="CC142" s="192"/>
      <c r="CD142" s="192"/>
      <c r="CE142" s="192"/>
      <c r="CF142" s="192"/>
      <c r="CG142" s="192"/>
      <c r="CH142" s="192"/>
      <c r="CI142" s="796"/>
      <c r="CJ142" s="796"/>
      <c r="CK142" s="192"/>
      <c r="CL142" s="192"/>
      <c r="CM142" s="192"/>
      <c r="CN142" s="192"/>
      <c r="CO142" s="192"/>
      <c r="CP142" s="192"/>
      <c r="CQ142" s="192"/>
      <c r="CR142" s="192"/>
      <c r="CS142" s="192"/>
      <c r="CT142" s="192"/>
      <c r="CU142" s="192"/>
      <c r="CV142" s="192"/>
      <c r="CW142" s="192"/>
      <c r="CX142" s="192"/>
      <c r="CY142" s="192"/>
    </row>
    <row r="143" spans="1:103" ht="24.95" customHeight="1">
      <c r="A143" s="326">
        <v>143</v>
      </c>
      <c r="B143" s="2074"/>
      <c r="C143" s="2022"/>
      <c r="D143" s="2022"/>
      <c r="E143" s="2022"/>
      <c r="F143" s="2022"/>
      <c r="G143" s="2023"/>
      <c r="H143" s="327"/>
      <c r="I143" s="328"/>
      <c r="J143" s="329"/>
      <c r="K143" s="2012"/>
      <c r="L143" s="2013"/>
      <c r="M143" s="2014"/>
      <c r="N143" s="331">
        <v>173</v>
      </c>
      <c r="O143" s="2074"/>
      <c r="P143" s="2022"/>
      <c r="Q143" s="2022"/>
      <c r="R143" s="2022"/>
      <c r="S143" s="2022"/>
      <c r="T143" s="2023"/>
      <c r="U143" s="327"/>
      <c r="V143" s="328"/>
      <c r="W143" s="329"/>
      <c r="X143" s="2012"/>
      <c r="Y143" s="2013"/>
      <c r="Z143" s="2014"/>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67">
        <v>131</v>
      </c>
      <c r="BB143" s="68">
        <f t="shared" si="45"/>
        <v>0</v>
      </c>
      <c r="BC143" s="192">
        <f t="shared" si="48"/>
        <v>0</v>
      </c>
      <c r="BD143" s="70">
        <f t="shared" si="46"/>
        <v>0</v>
      </c>
      <c r="BE143" s="70">
        <f t="shared" si="47"/>
        <v>0</v>
      </c>
      <c r="BF143" s="624">
        <v>143</v>
      </c>
      <c r="BG143" s="625">
        <f t="shared" si="49"/>
        <v>0</v>
      </c>
      <c r="BH143" s="625">
        <f t="shared" si="50"/>
        <v>0</v>
      </c>
      <c r="BI143" s="625" t="b">
        <v>0</v>
      </c>
      <c r="BJ143" s="624">
        <v>173</v>
      </c>
      <c r="BK143" s="625"/>
      <c r="BL143" s="625"/>
      <c r="BM143" s="625" t="b">
        <v>0</v>
      </c>
      <c r="BN143" s="192"/>
      <c r="BO143" s="192"/>
      <c r="BP143" s="192"/>
      <c r="BQ143" s="192"/>
      <c r="BR143" s="192"/>
      <c r="BS143" s="192"/>
      <c r="BT143" s="192"/>
      <c r="BU143" s="192"/>
      <c r="BV143" s="192"/>
      <c r="BW143" s="192"/>
      <c r="BX143" s="192"/>
      <c r="BY143" s="192"/>
      <c r="BZ143" s="192"/>
      <c r="CA143" s="192"/>
      <c r="CB143" s="192"/>
      <c r="CC143" s="192"/>
      <c r="CD143" s="192"/>
      <c r="CE143" s="192"/>
      <c r="CF143" s="192"/>
      <c r="CG143" s="192"/>
      <c r="CH143" s="192"/>
      <c r="CI143" s="796"/>
      <c r="CJ143" s="796"/>
      <c r="CK143" s="192"/>
      <c r="CL143" s="192"/>
      <c r="CM143" s="192"/>
      <c r="CN143" s="192"/>
      <c r="CO143" s="192"/>
      <c r="CP143" s="192"/>
      <c r="CQ143" s="192"/>
      <c r="CR143" s="192"/>
      <c r="CS143" s="192"/>
      <c r="CT143" s="192"/>
      <c r="CU143" s="192"/>
      <c r="CV143" s="192"/>
      <c r="CW143" s="192"/>
      <c r="CX143" s="192"/>
      <c r="CY143" s="192"/>
    </row>
    <row r="144" spans="1:103" ht="24.95" customHeight="1">
      <c r="A144" s="326">
        <v>144</v>
      </c>
      <c r="B144" s="2074"/>
      <c r="C144" s="2022"/>
      <c r="D144" s="2022"/>
      <c r="E144" s="2022"/>
      <c r="F144" s="2022"/>
      <c r="G144" s="2023"/>
      <c r="H144" s="327"/>
      <c r="I144" s="328"/>
      <c r="J144" s="329"/>
      <c r="K144" s="2012"/>
      <c r="L144" s="2013"/>
      <c r="M144" s="2014"/>
      <c r="N144" s="331">
        <v>174</v>
      </c>
      <c r="O144" s="2074"/>
      <c r="P144" s="2022"/>
      <c r="Q144" s="2022"/>
      <c r="R144" s="2022"/>
      <c r="S144" s="2022"/>
      <c r="T144" s="2023"/>
      <c r="U144" s="327"/>
      <c r="V144" s="328"/>
      <c r="W144" s="329"/>
      <c r="X144" s="2012"/>
      <c r="Y144" s="2013"/>
      <c r="Z144" s="2014"/>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67">
        <v>132</v>
      </c>
      <c r="BB144" s="68">
        <f t="shared" si="45"/>
        <v>0</v>
      </c>
      <c r="BC144" s="192">
        <f t="shared" si="48"/>
        <v>0</v>
      </c>
      <c r="BD144" s="70">
        <f t="shared" si="46"/>
        <v>0</v>
      </c>
      <c r="BE144" s="70">
        <f t="shared" si="47"/>
        <v>0</v>
      </c>
      <c r="BF144" s="624">
        <v>144</v>
      </c>
      <c r="BG144" s="625">
        <f t="shared" si="49"/>
        <v>0</v>
      </c>
      <c r="BH144" s="625">
        <f t="shared" si="50"/>
        <v>0</v>
      </c>
      <c r="BI144" s="625" t="b">
        <v>0</v>
      </c>
      <c r="BJ144" s="624">
        <v>174</v>
      </c>
      <c r="BK144" s="625"/>
      <c r="BL144" s="625"/>
      <c r="BM144" s="625" t="b">
        <v>0</v>
      </c>
      <c r="BN144" s="192"/>
      <c r="BO144" s="192"/>
      <c r="BP144" s="192"/>
      <c r="BQ144" s="192"/>
      <c r="BR144" s="192"/>
      <c r="BS144" s="192"/>
      <c r="BT144" s="192"/>
      <c r="BU144" s="192"/>
      <c r="BV144" s="192"/>
      <c r="BW144" s="192"/>
      <c r="BX144" s="192"/>
      <c r="BY144" s="192"/>
      <c r="BZ144" s="192"/>
      <c r="CA144" s="192"/>
      <c r="CB144" s="192"/>
      <c r="CC144" s="192"/>
      <c r="CD144" s="192"/>
      <c r="CE144" s="192"/>
      <c r="CF144" s="192"/>
      <c r="CG144" s="192"/>
      <c r="CH144" s="192"/>
      <c r="CI144" s="796"/>
      <c r="CJ144" s="796"/>
      <c r="CK144" s="192"/>
      <c r="CL144" s="192"/>
      <c r="CM144" s="192"/>
      <c r="CN144" s="192"/>
      <c r="CO144" s="192"/>
      <c r="CP144" s="192"/>
      <c r="CQ144" s="192"/>
      <c r="CR144" s="192"/>
      <c r="CS144" s="192"/>
      <c r="CT144" s="192"/>
      <c r="CU144" s="192"/>
      <c r="CV144" s="192"/>
      <c r="CW144" s="192"/>
      <c r="CX144" s="192"/>
      <c r="CY144" s="192"/>
    </row>
    <row r="145" spans="1:103" ht="24.95" customHeight="1">
      <c r="A145" s="326">
        <v>145</v>
      </c>
      <c r="B145" s="2074"/>
      <c r="C145" s="2022"/>
      <c r="D145" s="2022"/>
      <c r="E145" s="2022"/>
      <c r="F145" s="2022"/>
      <c r="G145" s="2023"/>
      <c r="H145" s="327"/>
      <c r="I145" s="328"/>
      <c r="J145" s="329"/>
      <c r="K145" s="2012"/>
      <c r="L145" s="2013"/>
      <c r="M145" s="2014"/>
      <c r="N145" s="331">
        <v>175</v>
      </c>
      <c r="O145" s="2074"/>
      <c r="P145" s="2022"/>
      <c r="Q145" s="2022"/>
      <c r="R145" s="2022"/>
      <c r="S145" s="2022"/>
      <c r="T145" s="2023"/>
      <c r="U145" s="327"/>
      <c r="V145" s="328"/>
      <c r="W145" s="329"/>
      <c r="X145" s="2012"/>
      <c r="Y145" s="2013"/>
      <c r="Z145" s="2014"/>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67">
        <v>133</v>
      </c>
      <c r="BB145" s="68">
        <f t="shared" si="45"/>
        <v>0</v>
      </c>
      <c r="BC145" s="192">
        <f t="shared" si="48"/>
        <v>0</v>
      </c>
      <c r="BD145" s="70">
        <f t="shared" si="46"/>
        <v>0</v>
      </c>
      <c r="BE145" s="70">
        <f t="shared" si="47"/>
        <v>0</v>
      </c>
      <c r="BF145" s="624">
        <v>145</v>
      </c>
      <c r="BG145" s="625">
        <f t="shared" si="49"/>
        <v>0</v>
      </c>
      <c r="BH145" s="625">
        <f t="shared" si="50"/>
        <v>0</v>
      </c>
      <c r="BI145" s="625" t="b">
        <v>0</v>
      </c>
      <c r="BJ145" s="624">
        <v>175</v>
      </c>
      <c r="BK145" s="625"/>
      <c r="BL145" s="625"/>
      <c r="BM145" s="625" t="b">
        <v>0</v>
      </c>
      <c r="BN145" s="192"/>
      <c r="BO145" s="192"/>
      <c r="BP145" s="192"/>
      <c r="BQ145" s="192"/>
      <c r="BR145" s="192"/>
      <c r="BS145" s="192"/>
      <c r="BT145" s="192"/>
      <c r="BU145" s="192"/>
      <c r="BV145" s="192"/>
      <c r="BW145" s="192"/>
      <c r="BX145" s="192"/>
      <c r="BY145" s="192"/>
      <c r="BZ145" s="192"/>
      <c r="CA145" s="192"/>
      <c r="CB145" s="192"/>
      <c r="CC145" s="192"/>
      <c r="CD145" s="192"/>
      <c r="CE145" s="192"/>
      <c r="CF145" s="192"/>
      <c r="CG145" s="192"/>
      <c r="CH145" s="192"/>
      <c r="CI145" s="796"/>
      <c r="CJ145" s="796"/>
      <c r="CK145" s="192"/>
      <c r="CL145" s="192"/>
      <c r="CM145" s="192"/>
      <c r="CN145" s="192"/>
      <c r="CO145" s="192"/>
      <c r="CP145" s="192"/>
      <c r="CQ145" s="192"/>
      <c r="CR145" s="192"/>
      <c r="CS145" s="192"/>
      <c r="CT145" s="192"/>
      <c r="CU145" s="192"/>
      <c r="CV145" s="192"/>
      <c r="CW145" s="192"/>
      <c r="CX145" s="192"/>
      <c r="CY145" s="192"/>
    </row>
    <row r="146" spans="1:103" ht="24.95" customHeight="1">
      <c r="A146" s="326">
        <v>146</v>
      </c>
      <c r="B146" s="2074"/>
      <c r="C146" s="2022"/>
      <c r="D146" s="2022"/>
      <c r="E146" s="2022"/>
      <c r="F146" s="2022"/>
      <c r="G146" s="2023"/>
      <c r="H146" s="327"/>
      <c r="I146" s="328"/>
      <c r="J146" s="329"/>
      <c r="K146" s="2012"/>
      <c r="L146" s="2013"/>
      <c r="M146" s="2014"/>
      <c r="N146" s="331">
        <v>176</v>
      </c>
      <c r="O146" s="2074"/>
      <c r="P146" s="2022"/>
      <c r="Q146" s="2022"/>
      <c r="R146" s="2022"/>
      <c r="S146" s="2022"/>
      <c r="T146" s="2023"/>
      <c r="U146" s="327"/>
      <c r="V146" s="328"/>
      <c r="W146" s="329"/>
      <c r="X146" s="2012"/>
      <c r="Y146" s="2013"/>
      <c r="Z146" s="2014"/>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67">
        <v>134</v>
      </c>
      <c r="BB146" s="68">
        <f t="shared" si="45"/>
        <v>0</v>
      </c>
      <c r="BC146" s="192">
        <f t="shared" si="48"/>
        <v>0</v>
      </c>
      <c r="BD146" s="70">
        <f t="shared" si="46"/>
        <v>0</v>
      </c>
      <c r="BE146" s="70">
        <f t="shared" si="47"/>
        <v>0</v>
      </c>
      <c r="BF146" s="624">
        <v>146</v>
      </c>
      <c r="BG146" s="625">
        <f t="shared" si="49"/>
        <v>0</v>
      </c>
      <c r="BH146" s="625">
        <f t="shared" si="50"/>
        <v>0</v>
      </c>
      <c r="BI146" s="625" t="b">
        <v>0</v>
      </c>
      <c r="BJ146" s="624">
        <v>176</v>
      </c>
      <c r="BK146" s="625"/>
      <c r="BL146" s="625"/>
      <c r="BM146" s="625" t="b">
        <v>0</v>
      </c>
      <c r="BN146" s="192"/>
      <c r="BO146" s="192"/>
      <c r="BP146" s="192"/>
      <c r="BQ146" s="192"/>
      <c r="BR146" s="192"/>
      <c r="BS146" s="192"/>
      <c r="BT146" s="192"/>
      <c r="BU146" s="192"/>
      <c r="BV146" s="192"/>
      <c r="BW146" s="192"/>
      <c r="BX146" s="192"/>
      <c r="BY146" s="192"/>
      <c r="BZ146" s="192"/>
      <c r="CA146" s="192"/>
      <c r="CB146" s="192"/>
      <c r="CC146" s="192"/>
      <c r="CD146" s="192"/>
      <c r="CE146" s="192"/>
      <c r="CF146" s="192"/>
      <c r="CG146" s="192"/>
      <c r="CH146" s="192"/>
      <c r="CI146" s="796"/>
      <c r="CJ146" s="796"/>
      <c r="CK146" s="192"/>
      <c r="CL146" s="192"/>
      <c r="CM146" s="192"/>
      <c r="CN146" s="192"/>
      <c r="CO146" s="192"/>
      <c r="CP146" s="192"/>
      <c r="CQ146" s="192"/>
      <c r="CR146" s="192"/>
      <c r="CS146" s="192"/>
      <c r="CT146" s="192"/>
      <c r="CU146" s="192"/>
      <c r="CV146" s="192"/>
      <c r="CW146" s="192"/>
      <c r="CX146" s="192"/>
      <c r="CY146" s="192"/>
    </row>
    <row r="147" spans="1:103" ht="24.95" customHeight="1">
      <c r="A147" s="326">
        <v>147</v>
      </c>
      <c r="B147" s="2074"/>
      <c r="C147" s="2022"/>
      <c r="D147" s="2022"/>
      <c r="E147" s="2022"/>
      <c r="F147" s="2022"/>
      <c r="G147" s="2023"/>
      <c r="H147" s="327"/>
      <c r="I147" s="328"/>
      <c r="J147" s="329"/>
      <c r="K147" s="2012"/>
      <c r="L147" s="2013"/>
      <c r="M147" s="2014"/>
      <c r="N147" s="331">
        <v>177</v>
      </c>
      <c r="O147" s="2074"/>
      <c r="P147" s="2022"/>
      <c r="Q147" s="2022"/>
      <c r="R147" s="2022"/>
      <c r="S147" s="2022"/>
      <c r="T147" s="2023"/>
      <c r="U147" s="327"/>
      <c r="V147" s="328"/>
      <c r="W147" s="329"/>
      <c r="X147" s="2012"/>
      <c r="Y147" s="2013"/>
      <c r="Z147" s="2014"/>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67">
        <v>135</v>
      </c>
      <c r="BB147" s="68">
        <f t="shared" si="45"/>
        <v>0</v>
      </c>
      <c r="BC147" s="192">
        <f t="shared" si="48"/>
        <v>0</v>
      </c>
      <c r="BD147" s="70">
        <f t="shared" si="46"/>
        <v>0</v>
      </c>
      <c r="BE147" s="70">
        <f t="shared" si="47"/>
        <v>0</v>
      </c>
      <c r="BF147" s="624">
        <v>147</v>
      </c>
      <c r="BG147" s="625">
        <f t="shared" si="49"/>
        <v>0</v>
      </c>
      <c r="BH147" s="625">
        <f t="shared" si="50"/>
        <v>0</v>
      </c>
      <c r="BI147" s="625" t="b">
        <v>0</v>
      </c>
      <c r="BJ147" s="624">
        <v>177</v>
      </c>
      <c r="BK147" s="625"/>
      <c r="BL147" s="625"/>
      <c r="BM147" s="625" t="b">
        <v>0</v>
      </c>
      <c r="BN147" s="192"/>
      <c r="BO147" s="192"/>
      <c r="BP147" s="192"/>
      <c r="BQ147" s="192"/>
      <c r="BR147" s="192"/>
      <c r="BS147" s="192"/>
      <c r="BT147" s="192"/>
      <c r="BU147" s="192"/>
      <c r="BV147" s="192"/>
      <c r="BW147" s="192"/>
      <c r="BX147" s="192"/>
      <c r="BY147" s="192"/>
      <c r="BZ147" s="192"/>
      <c r="CA147" s="192"/>
      <c r="CB147" s="192"/>
      <c r="CC147" s="192"/>
      <c r="CD147" s="192"/>
      <c r="CE147" s="192"/>
      <c r="CF147" s="192"/>
      <c r="CG147" s="192"/>
      <c r="CH147" s="192"/>
      <c r="CI147" s="796"/>
      <c r="CJ147" s="796"/>
      <c r="CK147" s="192"/>
      <c r="CL147" s="192"/>
      <c r="CM147" s="192"/>
      <c r="CN147" s="192"/>
      <c r="CO147" s="192"/>
      <c r="CP147" s="192"/>
      <c r="CQ147" s="192"/>
      <c r="CR147" s="192"/>
      <c r="CS147" s="192"/>
      <c r="CT147" s="192"/>
      <c r="CU147" s="192"/>
      <c r="CV147" s="192"/>
      <c r="CW147" s="192"/>
      <c r="CX147" s="192"/>
      <c r="CY147" s="192"/>
    </row>
    <row r="148" spans="1:103" ht="24.95" customHeight="1">
      <c r="A148" s="326">
        <v>148</v>
      </c>
      <c r="B148" s="2074"/>
      <c r="C148" s="2022"/>
      <c r="D148" s="2022"/>
      <c r="E148" s="2022"/>
      <c r="F148" s="2022"/>
      <c r="G148" s="2023"/>
      <c r="H148" s="327"/>
      <c r="I148" s="328"/>
      <c r="J148" s="329"/>
      <c r="K148" s="2012"/>
      <c r="L148" s="2013"/>
      <c r="M148" s="2014"/>
      <c r="N148" s="331">
        <v>178</v>
      </c>
      <c r="O148" s="2074"/>
      <c r="P148" s="2022"/>
      <c r="Q148" s="2022"/>
      <c r="R148" s="2022"/>
      <c r="S148" s="2022"/>
      <c r="T148" s="2023"/>
      <c r="U148" s="327"/>
      <c r="V148" s="328"/>
      <c r="W148" s="329"/>
      <c r="X148" s="2012"/>
      <c r="Y148" s="2013"/>
      <c r="Z148" s="2014"/>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67">
        <v>136</v>
      </c>
      <c r="BB148" s="68">
        <f t="shared" si="45"/>
        <v>0</v>
      </c>
      <c r="BC148" s="192">
        <f t="shared" si="48"/>
        <v>0</v>
      </c>
      <c r="BD148" s="70">
        <f t="shared" si="46"/>
        <v>0</v>
      </c>
      <c r="BE148" s="70">
        <f t="shared" si="47"/>
        <v>0</v>
      </c>
      <c r="BF148" s="624">
        <v>148</v>
      </c>
      <c r="BG148" s="625">
        <f t="shared" si="49"/>
        <v>0</v>
      </c>
      <c r="BH148" s="625">
        <f t="shared" si="50"/>
        <v>0</v>
      </c>
      <c r="BI148" s="625" t="b">
        <v>0</v>
      </c>
      <c r="BJ148" s="624">
        <v>178</v>
      </c>
      <c r="BK148" s="625"/>
      <c r="BL148" s="625"/>
      <c r="BM148" s="625" t="b">
        <v>0</v>
      </c>
      <c r="BN148" s="192"/>
      <c r="BO148" s="192"/>
      <c r="BP148" s="192"/>
      <c r="BQ148" s="192"/>
      <c r="BR148" s="192"/>
      <c r="BS148" s="192"/>
      <c r="BT148" s="192"/>
      <c r="BU148" s="192"/>
      <c r="BV148" s="192"/>
      <c r="BW148" s="192"/>
      <c r="BX148" s="192"/>
      <c r="BY148" s="192"/>
      <c r="BZ148" s="192"/>
      <c r="CA148" s="192"/>
      <c r="CB148" s="192"/>
      <c r="CC148" s="192"/>
      <c r="CD148" s="192"/>
      <c r="CE148" s="192"/>
      <c r="CF148" s="192"/>
      <c r="CG148" s="192"/>
      <c r="CH148" s="192"/>
      <c r="CI148" s="796"/>
      <c r="CJ148" s="796"/>
      <c r="CK148" s="192"/>
      <c r="CL148" s="192"/>
      <c r="CM148" s="192"/>
      <c r="CN148" s="192"/>
      <c r="CO148" s="192"/>
      <c r="CP148" s="192"/>
      <c r="CQ148" s="192"/>
      <c r="CR148" s="192"/>
      <c r="CS148" s="192"/>
      <c r="CT148" s="192"/>
      <c r="CU148" s="192"/>
      <c r="CV148" s="192"/>
      <c r="CW148" s="192"/>
      <c r="CX148" s="192"/>
      <c r="CY148" s="192"/>
    </row>
    <row r="149" spans="1:103" ht="24.95" customHeight="1">
      <c r="A149" s="326">
        <v>149</v>
      </c>
      <c r="B149" s="2074"/>
      <c r="C149" s="2022"/>
      <c r="D149" s="2022"/>
      <c r="E149" s="2022"/>
      <c r="F149" s="2022"/>
      <c r="G149" s="2023"/>
      <c r="H149" s="327"/>
      <c r="I149" s="328"/>
      <c r="J149" s="329"/>
      <c r="K149" s="2012"/>
      <c r="L149" s="2013"/>
      <c r="M149" s="2014"/>
      <c r="N149" s="331">
        <v>179</v>
      </c>
      <c r="O149" s="2074"/>
      <c r="P149" s="2022"/>
      <c r="Q149" s="2022"/>
      <c r="R149" s="2022"/>
      <c r="S149" s="2022"/>
      <c r="T149" s="2023"/>
      <c r="U149" s="327"/>
      <c r="V149" s="328"/>
      <c r="W149" s="329"/>
      <c r="X149" s="2012"/>
      <c r="Y149" s="2013"/>
      <c r="Z149" s="2014"/>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67">
        <v>137</v>
      </c>
      <c r="BB149" s="68">
        <f t="shared" si="45"/>
        <v>0</v>
      </c>
      <c r="BC149" s="192">
        <f t="shared" si="48"/>
        <v>0</v>
      </c>
      <c r="BD149" s="70">
        <f t="shared" si="46"/>
        <v>0</v>
      </c>
      <c r="BE149" s="70">
        <f t="shared" si="47"/>
        <v>0</v>
      </c>
      <c r="BF149" s="624">
        <v>149</v>
      </c>
      <c r="BG149" s="625">
        <f t="shared" si="49"/>
        <v>0</v>
      </c>
      <c r="BH149" s="625">
        <f t="shared" si="50"/>
        <v>0</v>
      </c>
      <c r="BI149" s="625" t="b">
        <v>0</v>
      </c>
      <c r="BJ149" s="624">
        <v>179</v>
      </c>
      <c r="BK149" s="625"/>
      <c r="BL149" s="625"/>
      <c r="BM149" s="625" t="b">
        <v>0</v>
      </c>
      <c r="BN149" s="192"/>
      <c r="BO149" s="192"/>
      <c r="BP149" s="192"/>
      <c r="BQ149" s="192"/>
      <c r="BR149" s="192"/>
      <c r="BS149" s="192"/>
      <c r="BT149" s="192"/>
      <c r="BU149" s="192"/>
      <c r="BV149" s="192"/>
      <c r="BW149" s="192"/>
      <c r="BX149" s="192"/>
      <c r="BY149" s="192"/>
      <c r="BZ149" s="192"/>
      <c r="CA149" s="192"/>
      <c r="CB149" s="192"/>
      <c r="CC149" s="192"/>
      <c r="CD149" s="192"/>
      <c r="CE149" s="192"/>
      <c r="CF149" s="192"/>
      <c r="CG149" s="192"/>
      <c r="CH149" s="192"/>
      <c r="CI149" s="796"/>
      <c r="CJ149" s="796"/>
      <c r="CK149" s="192"/>
      <c r="CL149" s="192"/>
      <c r="CM149" s="192"/>
      <c r="CN149" s="192"/>
      <c r="CO149" s="192"/>
      <c r="CP149" s="192"/>
      <c r="CQ149" s="192"/>
      <c r="CR149" s="192"/>
      <c r="CS149" s="192"/>
      <c r="CT149" s="192"/>
      <c r="CU149" s="192"/>
      <c r="CV149" s="192"/>
      <c r="CW149" s="192"/>
      <c r="CX149" s="192"/>
      <c r="CY149" s="192"/>
    </row>
    <row r="150" spans="1:103" ht="24.95" customHeight="1">
      <c r="A150" s="326">
        <v>150</v>
      </c>
      <c r="B150" s="2074"/>
      <c r="C150" s="2022"/>
      <c r="D150" s="2022"/>
      <c r="E150" s="2022"/>
      <c r="F150" s="2022"/>
      <c r="G150" s="2023"/>
      <c r="H150" s="327"/>
      <c r="I150" s="328"/>
      <c r="J150" s="329"/>
      <c r="K150" s="2012"/>
      <c r="L150" s="2013"/>
      <c r="M150" s="2014"/>
      <c r="N150" s="331">
        <v>180</v>
      </c>
      <c r="O150" s="2074"/>
      <c r="P150" s="2022"/>
      <c r="Q150" s="2022"/>
      <c r="R150" s="2022"/>
      <c r="S150" s="2022"/>
      <c r="T150" s="2023"/>
      <c r="U150" s="327"/>
      <c r="V150" s="328"/>
      <c r="W150" s="329"/>
      <c r="X150" s="2012"/>
      <c r="Y150" s="2013"/>
      <c r="Z150" s="2014"/>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67">
        <v>138</v>
      </c>
      <c r="BB150" s="68">
        <f t="shared" si="45"/>
        <v>0</v>
      </c>
      <c r="BC150" s="192">
        <f t="shared" si="48"/>
        <v>0</v>
      </c>
      <c r="BD150" s="70">
        <f t="shared" si="46"/>
        <v>0</v>
      </c>
      <c r="BE150" s="70">
        <f t="shared" si="47"/>
        <v>0</v>
      </c>
      <c r="BF150" s="624">
        <v>150</v>
      </c>
      <c r="BG150" s="625">
        <f t="shared" si="49"/>
        <v>0</v>
      </c>
      <c r="BH150" s="625">
        <f t="shared" si="50"/>
        <v>0</v>
      </c>
      <c r="BI150" s="625" t="b">
        <v>0</v>
      </c>
      <c r="BJ150" s="624">
        <v>180</v>
      </c>
      <c r="BK150" s="625"/>
      <c r="BL150" s="625"/>
      <c r="BM150" s="625" t="b">
        <v>0</v>
      </c>
      <c r="BN150" s="192"/>
      <c r="BO150" s="192"/>
      <c r="BP150" s="192"/>
      <c r="BQ150" s="192"/>
      <c r="BR150" s="192"/>
      <c r="BS150" s="192"/>
      <c r="BT150" s="192"/>
      <c r="BU150" s="192"/>
      <c r="BV150" s="192"/>
      <c r="BW150" s="192"/>
      <c r="BX150" s="192"/>
      <c r="BY150" s="192"/>
      <c r="BZ150" s="192"/>
      <c r="CA150" s="192"/>
      <c r="CB150" s="192"/>
      <c r="CC150" s="192"/>
      <c r="CD150" s="192"/>
      <c r="CE150" s="192"/>
      <c r="CF150" s="192"/>
      <c r="CG150" s="192"/>
      <c r="CH150" s="192"/>
      <c r="CI150" s="796"/>
      <c r="CJ150" s="796"/>
      <c r="CK150" s="192"/>
      <c r="CL150" s="192"/>
      <c r="CM150" s="192"/>
      <c r="CN150" s="192"/>
      <c r="CO150" s="192"/>
      <c r="CP150" s="192"/>
      <c r="CQ150" s="192"/>
      <c r="CR150" s="192"/>
      <c r="CS150" s="192"/>
      <c r="CT150" s="192"/>
      <c r="CU150" s="192"/>
      <c r="CV150" s="192"/>
      <c r="CW150" s="192"/>
      <c r="CX150" s="192"/>
      <c r="CY150" s="192"/>
    </row>
    <row r="151" spans="1:103" ht="24.95" customHeight="1">
      <c r="A151" s="326">
        <v>151</v>
      </c>
      <c r="B151" s="2074"/>
      <c r="C151" s="2022"/>
      <c r="D151" s="2022"/>
      <c r="E151" s="2022"/>
      <c r="F151" s="2022"/>
      <c r="G151" s="2023"/>
      <c r="H151" s="327"/>
      <c r="I151" s="328"/>
      <c r="J151" s="329"/>
      <c r="K151" s="2012"/>
      <c r="L151" s="2013"/>
      <c r="M151" s="2014"/>
      <c r="N151" s="331">
        <v>181</v>
      </c>
      <c r="O151" s="2074"/>
      <c r="P151" s="2022"/>
      <c r="Q151" s="2022"/>
      <c r="R151" s="2022"/>
      <c r="S151" s="2022"/>
      <c r="T151" s="2023"/>
      <c r="U151" s="327"/>
      <c r="V151" s="328"/>
      <c r="W151" s="329"/>
      <c r="X151" s="2012"/>
      <c r="Y151" s="2013"/>
      <c r="Z151" s="2014"/>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67">
        <v>139</v>
      </c>
      <c r="BB151" s="68">
        <f t="shared" si="45"/>
        <v>0</v>
      </c>
      <c r="BC151" s="192">
        <f t="shared" si="48"/>
        <v>0</v>
      </c>
      <c r="BD151" s="70">
        <f t="shared" si="46"/>
        <v>0</v>
      </c>
      <c r="BE151" s="70">
        <f t="shared" si="47"/>
        <v>0</v>
      </c>
      <c r="BF151" s="624">
        <v>151</v>
      </c>
      <c r="BG151" s="625">
        <f t="shared" si="49"/>
        <v>0</v>
      </c>
      <c r="BH151" s="625">
        <f t="shared" si="50"/>
        <v>0</v>
      </c>
      <c r="BI151" s="625" t="b">
        <v>0</v>
      </c>
      <c r="BJ151" s="624">
        <v>181</v>
      </c>
      <c r="BK151" s="625"/>
      <c r="BL151" s="625"/>
      <c r="BM151" s="625" t="b">
        <v>0</v>
      </c>
      <c r="BN151" s="192"/>
      <c r="BO151" s="192"/>
      <c r="BP151" s="192"/>
      <c r="BQ151" s="192"/>
      <c r="BR151" s="192"/>
      <c r="BS151" s="192"/>
      <c r="BT151" s="192"/>
      <c r="BU151" s="192"/>
      <c r="BV151" s="192"/>
      <c r="BW151" s="192"/>
      <c r="BX151" s="192"/>
      <c r="BY151" s="192"/>
      <c r="BZ151" s="192"/>
      <c r="CA151" s="192"/>
      <c r="CB151" s="192"/>
      <c r="CC151" s="192"/>
      <c r="CD151" s="192"/>
      <c r="CE151" s="192"/>
      <c r="CF151" s="192"/>
      <c r="CG151" s="192"/>
      <c r="CH151" s="192"/>
      <c r="CI151" s="796"/>
      <c r="CJ151" s="796"/>
      <c r="CK151" s="192"/>
      <c r="CL151" s="192"/>
      <c r="CM151" s="192"/>
      <c r="CN151" s="192"/>
      <c r="CO151" s="192"/>
      <c r="CP151" s="192"/>
      <c r="CQ151" s="192"/>
      <c r="CR151" s="192"/>
      <c r="CS151" s="192"/>
      <c r="CT151" s="192"/>
      <c r="CU151" s="192"/>
      <c r="CV151" s="192"/>
      <c r="CW151" s="192"/>
      <c r="CX151" s="192"/>
      <c r="CY151" s="192"/>
    </row>
    <row r="152" spans="1:103" ht="24.95" customHeight="1">
      <c r="A152" s="326">
        <v>152</v>
      </c>
      <c r="B152" s="2074"/>
      <c r="C152" s="2022"/>
      <c r="D152" s="2022"/>
      <c r="E152" s="2022"/>
      <c r="F152" s="2022"/>
      <c r="G152" s="2023"/>
      <c r="H152" s="327"/>
      <c r="I152" s="328"/>
      <c r="J152" s="329"/>
      <c r="K152" s="2012"/>
      <c r="L152" s="2013"/>
      <c r="M152" s="2014"/>
      <c r="N152" s="331">
        <v>182</v>
      </c>
      <c r="O152" s="2074"/>
      <c r="P152" s="2022"/>
      <c r="Q152" s="2022"/>
      <c r="R152" s="2022"/>
      <c r="S152" s="2022"/>
      <c r="T152" s="2023"/>
      <c r="U152" s="327"/>
      <c r="V152" s="328"/>
      <c r="W152" s="329"/>
      <c r="X152" s="2012"/>
      <c r="Y152" s="2013"/>
      <c r="Z152" s="2014"/>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67">
        <v>140</v>
      </c>
      <c r="BB152" s="68">
        <f t="shared" si="45"/>
        <v>0</v>
      </c>
      <c r="BC152" s="192">
        <f t="shared" si="48"/>
        <v>0</v>
      </c>
      <c r="BD152" s="70">
        <f t="shared" si="46"/>
        <v>0</v>
      </c>
      <c r="BE152" s="70">
        <f t="shared" si="47"/>
        <v>0</v>
      </c>
      <c r="BF152" s="624">
        <v>152</v>
      </c>
      <c r="BG152" s="625">
        <f t="shared" si="49"/>
        <v>0</v>
      </c>
      <c r="BH152" s="625">
        <f t="shared" si="50"/>
        <v>0</v>
      </c>
      <c r="BI152" s="625" t="b">
        <v>0</v>
      </c>
      <c r="BJ152" s="624">
        <v>182</v>
      </c>
      <c r="BK152" s="625"/>
      <c r="BL152" s="625"/>
      <c r="BM152" s="625" t="b">
        <v>0</v>
      </c>
      <c r="BN152" s="192"/>
      <c r="BO152" s="192"/>
      <c r="BP152" s="192"/>
      <c r="BQ152" s="192"/>
      <c r="BR152" s="192"/>
      <c r="BS152" s="192"/>
      <c r="BT152" s="192"/>
      <c r="BU152" s="192"/>
      <c r="BV152" s="192"/>
      <c r="BW152" s="192"/>
      <c r="BX152" s="192"/>
      <c r="BY152" s="192"/>
      <c r="BZ152" s="192"/>
      <c r="CA152" s="192"/>
      <c r="CB152" s="192"/>
      <c r="CC152" s="192"/>
      <c r="CD152" s="192"/>
      <c r="CE152" s="192"/>
      <c r="CF152" s="192"/>
      <c r="CG152" s="192"/>
      <c r="CH152" s="192"/>
      <c r="CI152" s="796"/>
      <c r="CJ152" s="796"/>
      <c r="CK152" s="192"/>
      <c r="CL152" s="192"/>
      <c r="CM152" s="192"/>
      <c r="CN152" s="192"/>
      <c r="CO152" s="192"/>
      <c r="CP152" s="192"/>
      <c r="CQ152" s="192"/>
      <c r="CR152" s="192"/>
      <c r="CS152" s="192"/>
      <c r="CT152" s="192"/>
      <c r="CU152" s="192"/>
      <c r="CV152" s="192"/>
      <c r="CW152" s="192"/>
      <c r="CX152" s="192"/>
      <c r="CY152" s="192"/>
    </row>
    <row r="153" spans="1:103" ht="24.95" customHeight="1">
      <c r="A153" s="326">
        <v>153</v>
      </c>
      <c r="B153" s="2074"/>
      <c r="C153" s="2022"/>
      <c r="D153" s="2022"/>
      <c r="E153" s="2022"/>
      <c r="F153" s="2022"/>
      <c r="G153" s="2023"/>
      <c r="H153" s="327"/>
      <c r="I153" s="328"/>
      <c r="J153" s="329"/>
      <c r="K153" s="2012"/>
      <c r="L153" s="2013"/>
      <c r="M153" s="2014"/>
      <c r="N153" s="331">
        <v>183</v>
      </c>
      <c r="O153" s="2074"/>
      <c r="P153" s="2022"/>
      <c r="Q153" s="2022"/>
      <c r="R153" s="2022"/>
      <c r="S153" s="2022"/>
      <c r="T153" s="2023"/>
      <c r="U153" s="327"/>
      <c r="V153" s="328"/>
      <c r="W153" s="329"/>
      <c r="X153" s="2012"/>
      <c r="Y153" s="2013"/>
      <c r="Z153" s="2014"/>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7">
        <v>141</v>
      </c>
      <c r="BB153" s="68">
        <f>COUNTA(H141:I141)</f>
        <v>0</v>
      </c>
      <c r="BC153" s="192">
        <f>COUNTA(K141)</f>
        <v>0</v>
      </c>
      <c r="BD153" s="70">
        <f t="shared" ref="BD153:BE182" si="51">BB153-COUNTA(H141)</f>
        <v>0</v>
      </c>
      <c r="BE153" s="70">
        <f t="shared" si="51"/>
        <v>0</v>
      </c>
      <c r="BF153" s="624">
        <v>153</v>
      </c>
      <c r="BG153" s="625">
        <f t="shared" si="49"/>
        <v>0</v>
      </c>
      <c r="BH153" s="625">
        <f t="shared" si="50"/>
        <v>0</v>
      </c>
      <c r="BI153" s="625" t="b">
        <v>0</v>
      </c>
      <c r="BJ153" s="624">
        <v>183</v>
      </c>
      <c r="BK153" s="625"/>
      <c r="BL153" s="625"/>
      <c r="BM153" s="625" t="b">
        <v>0</v>
      </c>
      <c r="BN153" s="192"/>
      <c r="BO153" s="192"/>
      <c r="BP153" s="192"/>
      <c r="BQ153" s="192"/>
      <c r="BR153" s="192"/>
      <c r="BS153" s="192"/>
      <c r="BT153" s="192"/>
      <c r="BU153" s="192"/>
      <c r="BV153" s="192"/>
      <c r="BW153" s="192"/>
      <c r="BX153" s="192"/>
      <c r="BY153" s="192"/>
      <c r="BZ153" s="192"/>
      <c r="CA153" s="192"/>
      <c r="CB153" s="192"/>
      <c r="CC153" s="192"/>
      <c r="CD153" s="192"/>
      <c r="CE153" s="192"/>
      <c r="CF153" s="192"/>
      <c r="CG153" s="192"/>
      <c r="CH153" s="192"/>
      <c r="CI153" s="796"/>
      <c r="CJ153" s="796"/>
      <c r="CK153" s="192"/>
      <c r="CL153" s="192"/>
      <c r="CM153" s="192"/>
      <c r="CN153" s="192"/>
      <c r="CO153" s="192"/>
      <c r="CP153" s="192"/>
      <c r="CQ153" s="192"/>
      <c r="CR153" s="192"/>
      <c r="CS153" s="192"/>
      <c r="CT153" s="192"/>
      <c r="CU153" s="192"/>
      <c r="CV153" s="192"/>
      <c r="CW153" s="192"/>
      <c r="CX153" s="192"/>
      <c r="CY153" s="192"/>
    </row>
    <row r="154" spans="1:103" ht="24.95" customHeight="1">
      <c r="A154" s="326">
        <v>154</v>
      </c>
      <c r="B154" s="2074"/>
      <c r="C154" s="2022"/>
      <c r="D154" s="2022"/>
      <c r="E154" s="2022"/>
      <c r="F154" s="2022"/>
      <c r="G154" s="2023"/>
      <c r="H154" s="327"/>
      <c r="I154" s="328"/>
      <c r="J154" s="329"/>
      <c r="K154" s="2012"/>
      <c r="L154" s="2013"/>
      <c r="M154" s="2014"/>
      <c r="N154" s="331">
        <v>184</v>
      </c>
      <c r="O154" s="2074"/>
      <c r="P154" s="2022"/>
      <c r="Q154" s="2022"/>
      <c r="R154" s="2022"/>
      <c r="S154" s="2022"/>
      <c r="T154" s="2023"/>
      <c r="U154" s="327"/>
      <c r="V154" s="328"/>
      <c r="W154" s="329"/>
      <c r="X154" s="2012"/>
      <c r="Y154" s="2013"/>
      <c r="Z154" s="2014"/>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7">
        <v>142</v>
      </c>
      <c r="BB154" s="68">
        <f t="shared" ref="BB154:BB182" si="52">COUNTA(H142:I142)</f>
        <v>0</v>
      </c>
      <c r="BC154" s="192">
        <f t="shared" ref="BC154:BC182" si="53">COUNTA(K142)</f>
        <v>0</v>
      </c>
      <c r="BD154" s="70">
        <f t="shared" si="51"/>
        <v>0</v>
      </c>
      <c r="BE154" s="70">
        <f t="shared" si="51"/>
        <v>0</v>
      </c>
      <c r="BF154" s="624">
        <v>154</v>
      </c>
      <c r="BG154" s="625">
        <f t="shared" si="49"/>
        <v>0</v>
      </c>
      <c r="BH154" s="625">
        <f t="shared" si="50"/>
        <v>0</v>
      </c>
      <c r="BI154" s="625" t="b">
        <v>0</v>
      </c>
      <c r="BJ154" s="624">
        <v>184</v>
      </c>
      <c r="BK154" s="625"/>
      <c r="BL154" s="625"/>
      <c r="BM154" s="625" t="b">
        <v>0</v>
      </c>
      <c r="BN154" s="192"/>
      <c r="BO154" s="192"/>
      <c r="BP154" s="192"/>
      <c r="BQ154" s="192"/>
      <c r="BR154" s="192"/>
      <c r="BS154" s="192"/>
      <c r="BT154" s="192"/>
      <c r="BU154" s="192"/>
      <c r="BV154" s="192"/>
      <c r="BW154" s="192"/>
      <c r="BX154" s="192"/>
      <c r="BY154" s="192"/>
      <c r="BZ154" s="192"/>
      <c r="CA154" s="192"/>
      <c r="CB154" s="192"/>
      <c r="CC154" s="192"/>
      <c r="CD154" s="192"/>
      <c r="CE154" s="192"/>
      <c r="CF154" s="192"/>
      <c r="CG154" s="192"/>
      <c r="CH154" s="192"/>
      <c r="CI154" s="796"/>
      <c r="CJ154" s="796"/>
      <c r="CK154" s="192"/>
      <c r="CL154" s="192"/>
      <c r="CM154" s="192"/>
      <c r="CN154" s="192"/>
      <c r="CO154" s="192"/>
      <c r="CP154" s="192"/>
      <c r="CQ154" s="192"/>
      <c r="CR154" s="192"/>
      <c r="CS154" s="192"/>
      <c r="CT154" s="192"/>
      <c r="CU154" s="192"/>
      <c r="CV154" s="192"/>
      <c r="CW154" s="192"/>
      <c r="CX154" s="192"/>
      <c r="CY154" s="192"/>
    </row>
    <row r="155" spans="1:103" ht="24.95" customHeight="1">
      <c r="A155" s="326">
        <v>155</v>
      </c>
      <c r="B155" s="2074"/>
      <c r="C155" s="2022"/>
      <c r="D155" s="2022"/>
      <c r="E155" s="2022"/>
      <c r="F155" s="2022"/>
      <c r="G155" s="2023"/>
      <c r="H155" s="327"/>
      <c r="I155" s="328"/>
      <c r="J155" s="329"/>
      <c r="K155" s="2012"/>
      <c r="L155" s="2013"/>
      <c r="M155" s="2014"/>
      <c r="N155" s="331">
        <v>185</v>
      </c>
      <c r="O155" s="2074"/>
      <c r="P155" s="2022"/>
      <c r="Q155" s="2022"/>
      <c r="R155" s="2022"/>
      <c r="S155" s="2022"/>
      <c r="T155" s="2023"/>
      <c r="U155" s="327"/>
      <c r="V155" s="328"/>
      <c r="W155" s="329"/>
      <c r="X155" s="2012"/>
      <c r="Y155" s="2013"/>
      <c r="Z155" s="2014"/>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7">
        <v>143</v>
      </c>
      <c r="BB155" s="68">
        <f t="shared" si="52"/>
        <v>0</v>
      </c>
      <c r="BC155" s="192">
        <f t="shared" si="53"/>
        <v>0</v>
      </c>
      <c r="BD155" s="70">
        <f t="shared" si="51"/>
        <v>0</v>
      </c>
      <c r="BE155" s="70">
        <f t="shared" si="51"/>
        <v>0</v>
      </c>
      <c r="BF155" s="624">
        <v>155</v>
      </c>
      <c r="BG155" s="625">
        <f t="shared" si="49"/>
        <v>0</v>
      </c>
      <c r="BH155" s="625">
        <f t="shared" si="50"/>
        <v>0</v>
      </c>
      <c r="BI155" s="625" t="b">
        <v>0</v>
      </c>
      <c r="BJ155" s="624">
        <v>185</v>
      </c>
      <c r="BK155" s="625"/>
      <c r="BL155" s="625"/>
      <c r="BM155" s="625" t="b">
        <v>0</v>
      </c>
      <c r="BN155" s="192"/>
      <c r="BO155" s="192"/>
      <c r="BP155" s="192"/>
      <c r="BQ155" s="192"/>
      <c r="BR155" s="192"/>
      <c r="BS155" s="192"/>
      <c r="BT155" s="192"/>
      <c r="BU155" s="192"/>
      <c r="BV155" s="192"/>
      <c r="BW155" s="192"/>
      <c r="BX155" s="192"/>
      <c r="BY155" s="192"/>
      <c r="BZ155" s="192"/>
      <c r="CA155" s="192"/>
      <c r="CB155" s="192"/>
      <c r="CC155" s="192"/>
      <c r="CD155" s="192"/>
      <c r="CE155" s="192"/>
      <c r="CF155" s="192"/>
      <c r="CG155" s="192"/>
      <c r="CH155" s="192"/>
      <c r="CI155" s="796"/>
      <c r="CJ155" s="796"/>
      <c r="CK155" s="192"/>
      <c r="CL155" s="192"/>
      <c r="CM155" s="192"/>
      <c r="CN155" s="192"/>
      <c r="CO155" s="192"/>
      <c r="CP155" s="192"/>
      <c r="CQ155" s="192"/>
      <c r="CR155" s="192"/>
      <c r="CS155" s="192"/>
      <c r="CT155" s="192"/>
      <c r="CU155" s="192"/>
      <c r="CV155" s="192"/>
      <c r="CW155" s="192"/>
      <c r="CX155" s="192"/>
      <c r="CY155" s="192"/>
    </row>
    <row r="156" spans="1:103" ht="24.95" customHeight="1">
      <c r="A156" s="326">
        <v>156</v>
      </c>
      <c r="B156" s="2074"/>
      <c r="C156" s="2022"/>
      <c r="D156" s="2022"/>
      <c r="E156" s="2022"/>
      <c r="F156" s="2022"/>
      <c r="G156" s="2023"/>
      <c r="H156" s="327"/>
      <c r="I156" s="328"/>
      <c r="J156" s="329"/>
      <c r="K156" s="2012"/>
      <c r="L156" s="2013"/>
      <c r="M156" s="2014"/>
      <c r="N156" s="331">
        <v>186</v>
      </c>
      <c r="O156" s="2074"/>
      <c r="P156" s="2022"/>
      <c r="Q156" s="2022"/>
      <c r="R156" s="2022"/>
      <c r="S156" s="2022"/>
      <c r="T156" s="2023"/>
      <c r="U156" s="327"/>
      <c r="V156" s="328"/>
      <c r="W156" s="329"/>
      <c r="X156" s="2012"/>
      <c r="Y156" s="2013"/>
      <c r="Z156" s="2014"/>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7">
        <v>144</v>
      </c>
      <c r="BB156" s="68">
        <f t="shared" si="52"/>
        <v>0</v>
      </c>
      <c r="BC156" s="192">
        <f t="shared" si="53"/>
        <v>0</v>
      </c>
      <c r="BD156" s="70">
        <f t="shared" si="51"/>
        <v>0</v>
      </c>
      <c r="BE156" s="70">
        <f t="shared" si="51"/>
        <v>0</v>
      </c>
      <c r="BF156" s="624">
        <v>156</v>
      </c>
      <c r="BG156" s="625">
        <f t="shared" si="49"/>
        <v>0</v>
      </c>
      <c r="BH156" s="625">
        <f t="shared" si="50"/>
        <v>0</v>
      </c>
      <c r="BI156" s="625" t="b">
        <v>0</v>
      </c>
      <c r="BJ156" s="624">
        <v>186</v>
      </c>
      <c r="BK156" s="625"/>
      <c r="BL156" s="625"/>
      <c r="BM156" s="625" t="b">
        <v>0</v>
      </c>
      <c r="BN156" s="192"/>
      <c r="BO156" s="192"/>
      <c r="BP156" s="192"/>
      <c r="BQ156" s="192"/>
      <c r="BR156" s="192"/>
      <c r="BS156" s="192"/>
      <c r="BT156" s="192"/>
      <c r="BU156" s="192"/>
      <c r="BV156" s="192"/>
      <c r="BW156" s="192"/>
      <c r="BX156" s="192"/>
      <c r="BY156" s="192"/>
      <c r="BZ156" s="192"/>
      <c r="CA156" s="192"/>
      <c r="CB156" s="192"/>
      <c r="CC156" s="192"/>
      <c r="CD156" s="192"/>
      <c r="CE156" s="192"/>
      <c r="CF156" s="192"/>
      <c r="CG156" s="192"/>
      <c r="CH156" s="192"/>
      <c r="CI156" s="796"/>
      <c r="CJ156" s="796"/>
      <c r="CK156" s="192"/>
      <c r="CL156" s="192"/>
      <c r="CM156" s="192"/>
      <c r="CN156" s="192"/>
      <c r="CO156" s="192"/>
      <c r="CP156" s="192"/>
      <c r="CQ156" s="192"/>
      <c r="CR156" s="192"/>
      <c r="CS156" s="192"/>
      <c r="CT156" s="192"/>
      <c r="CU156" s="192"/>
      <c r="CV156" s="192"/>
      <c r="CW156" s="192"/>
      <c r="CX156" s="192"/>
      <c r="CY156" s="192"/>
    </row>
    <row r="157" spans="1:103" ht="24.95" customHeight="1">
      <c r="A157" s="326">
        <v>157</v>
      </c>
      <c r="B157" s="2074"/>
      <c r="C157" s="2022"/>
      <c r="D157" s="2022"/>
      <c r="E157" s="2022"/>
      <c r="F157" s="2022"/>
      <c r="G157" s="2023"/>
      <c r="H157" s="327"/>
      <c r="I157" s="328"/>
      <c r="J157" s="329"/>
      <c r="K157" s="2012"/>
      <c r="L157" s="2013"/>
      <c r="M157" s="2014"/>
      <c r="N157" s="331">
        <v>187</v>
      </c>
      <c r="O157" s="2074"/>
      <c r="P157" s="2022"/>
      <c r="Q157" s="2022"/>
      <c r="R157" s="2022"/>
      <c r="S157" s="2022"/>
      <c r="T157" s="2023"/>
      <c r="U157" s="327"/>
      <c r="V157" s="328"/>
      <c r="W157" s="329"/>
      <c r="X157" s="2012"/>
      <c r="Y157" s="2013"/>
      <c r="Z157" s="2014"/>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7">
        <v>145</v>
      </c>
      <c r="BB157" s="68">
        <f t="shared" si="52"/>
        <v>0</v>
      </c>
      <c r="BC157" s="192">
        <f t="shared" si="53"/>
        <v>0</v>
      </c>
      <c r="BD157" s="70">
        <f t="shared" si="51"/>
        <v>0</v>
      </c>
      <c r="BE157" s="70">
        <f t="shared" si="51"/>
        <v>0</v>
      </c>
      <c r="BF157" s="624">
        <v>157</v>
      </c>
      <c r="BG157" s="625">
        <f t="shared" si="49"/>
        <v>0</v>
      </c>
      <c r="BH157" s="625">
        <f t="shared" si="50"/>
        <v>0</v>
      </c>
      <c r="BI157" s="625" t="b">
        <v>0</v>
      </c>
      <c r="BJ157" s="624">
        <v>187</v>
      </c>
      <c r="BK157" s="625"/>
      <c r="BL157" s="625"/>
      <c r="BM157" s="625" t="b">
        <v>0</v>
      </c>
      <c r="BN157" s="192"/>
      <c r="BO157" s="192"/>
      <c r="BP157" s="192"/>
      <c r="BQ157" s="192"/>
      <c r="BR157" s="192"/>
      <c r="BS157" s="192"/>
      <c r="BT157" s="192"/>
      <c r="BU157" s="192"/>
      <c r="BV157" s="192"/>
      <c r="BW157" s="192"/>
      <c r="BX157" s="192"/>
      <c r="BY157" s="192"/>
      <c r="BZ157" s="192"/>
      <c r="CA157" s="192"/>
      <c r="CB157" s="192"/>
      <c r="CC157" s="192"/>
      <c r="CD157" s="192"/>
      <c r="CE157" s="192"/>
      <c r="CF157" s="192"/>
      <c r="CG157" s="192"/>
      <c r="CH157" s="192"/>
      <c r="CI157" s="796"/>
      <c r="CJ157" s="796"/>
      <c r="CK157" s="192"/>
      <c r="CL157" s="192"/>
      <c r="CM157" s="192"/>
      <c r="CN157" s="192"/>
      <c r="CO157" s="192"/>
      <c r="CP157" s="192"/>
      <c r="CQ157" s="192"/>
      <c r="CR157" s="192"/>
      <c r="CS157" s="192"/>
      <c r="CT157" s="192"/>
      <c r="CU157" s="192"/>
      <c r="CV157" s="192"/>
      <c r="CW157" s="192"/>
      <c r="CX157" s="192"/>
      <c r="CY157" s="192"/>
    </row>
    <row r="158" spans="1:103" ht="24.95" customHeight="1">
      <c r="A158" s="326">
        <v>158</v>
      </c>
      <c r="B158" s="2074"/>
      <c r="C158" s="2022"/>
      <c r="D158" s="2022"/>
      <c r="E158" s="2022"/>
      <c r="F158" s="2022"/>
      <c r="G158" s="2023"/>
      <c r="H158" s="327"/>
      <c r="I158" s="328"/>
      <c r="J158" s="329"/>
      <c r="K158" s="2012"/>
      <c r="L158" s="2013"/>
      <c r="M158" s="2014"/>
      <c r="N158" s="331">
        <v>188</v>
      </c>
      <c r="O158" s="2074"/>
      <c r="P158" s="2022"/>
      <c r="Q158" s="2022"/>
      <c r="R158" s="2022"/>
      <c r="S158" s="2022"/>
      <c r="T158" s="2023"/>
      <c r="U158" s="327"/>
      <c r="V158" s="328"/>
      <c r="W158" s="329"/>
      <c r="X158" s="2012"/>
      <c r="Y158" s="2013"/>
      <c r="Z158" s="2014"/>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7">
        <v>146</v>
      </c>
      <c r="BB158" s="68">
        <f t="shared" si="52"/>
        <v>0</v>
      </c>
      <c r="BC158" s="192">
        <f t="shared" si="53"/>
        <v>0</v>
      </c>
      <c r="BD158" s="70">
        <f t="shared" si="51"/>
        <v>0</v>
      </c>
      <c r="BE158" s="70">
        <f t="shared" si="51"/>
        <v>0</v>
      </c>
      <c r="BF158" s="624">
        <v>158</v>
      </c>
      <c r="BG158" s="625">
        <f t="shared" si="49"/>
        <v>0</v>
      </c>
      <c r="BH158" s="625">
        <f t="shared" si="50"/>
        <v>0</v>
      </c>
      <c r="BI158" s="625" t="b">
        <v>0</v>
      </c>
      <c r="BJ158" s="624">
        <v>188</v>
      </c>
      <c r="BK158" s="625"/>
      <c r="BL158" s="625"/>
      <c r="BM158" s="625" t="b">
        <v>0</v>
      </c>
      <c r="BN158" s="192"/>
      <c r="BO158" s="192"/>
      <c r="BP158" s="192"/>
      <c r="BQ158" s="192"/>
      <c r="BR158" s="192"/>
      <c r="BS158" s="192"/>
      <c r="BT158" s="192"/>
      <c r="BU158" s="192"/>
      <c r="BV158" s="192"/>
      <c r="BW158" s="192"/>
      <c r="BX158" s="192"/>
      <c r="BY158" s="192"/>
      <c r="BZ158" s="192"/>
      <c r="CA158" s="192"/>
      <c r="CB158" s="192"/>
      <c r="CC158" s="192"/>
      <c r="CD158" s="192"/>
      <c r="CE158" s="192"/>
      <c r="CF158" s="192"/>
      <c r="CG158" s="192"/>
      <c r="CH158" s="192"/>
      <c r="CI158" s="796"/>
      <c r="CJ158" s="796"/>
      <c r="CK158" s="192"/>
      <c r="CL158" s="192"/>
      <c r="CM158" s="192"/>
      <c r="CN158" s="192"/>
      <c r="CO158" s="192"/>
      <c r="CP158" s="192"/>
      <c r="CQ158" s="192"/>
      <c r="CR158" s="192"/>
      <c r="CS158" s="192"/>
      <c r="CT158" s="192"/>
      <c r="CU158" s="192"/>
      <c r="CV158" s="192"/>
      <c r="CW158" s="192"/>
      <c r="CX158" s="192"/>
      <c r="CY158" s="192"/>
    </row>
    <row r="159" spans="1:103" ht="24.95" customHeight="1">
      <c r="A159" s="326">
        <v>159</v>
      </c>
      <c r="B159" s="2074"/>
      <c r="C159" s="2022"/>
      <c r="D159" s="2022"/>
      <c r="E159" s="2022"/>
      <c r="F159" s="2022"/>
      <c r="G159" s="2023"/>
      <c r="H159" s="327"/>
      <c r="I159" s="328"/>
      <c r="J159" s="329"/>
      <c r="K159" s="2012"/>
      <c r="L159" s="2013"/>
      <c r="M159" s="2014"/>
      <c r="N159" s="331">
        <v>189</v>
      </c>
      <c r="O159" s="2074"/>
      <c r="P159" s="2022"/>
      <c r="Q159" s="2022"/>
      <c r="R159" s="2022"/>
      <c r="S159" s="2022"/>
      <c r="T159" s="2023"/>
      <c r="U159" s="327"/>
      <c r="V159" s="328"/>
      <c r="W159" s="329"/>
      <c r="X159" s="2012"/>
      <c r="Y159" s="2013"/>
      <c r="Z159" s="2014"/>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7">
        <v>147</v>
      </c>
      <c r="BB159" s="68">
        <f t="shared" si="52"/>
        <v>0</v>
      </c>
      <c r="BC159" s="192">
        <f t="shared" si="53"/>
        <v>0</v>
      </c>
      <c r="BD159" s="70">
        <f t="shared" si="51"/>
        <v>0</v>
      </c>
      <c r="BE159" s="70">
        <f t="shared" si="51"/>
        <v>0</v>
      </c>
      <c r="BF159" s="624">
        <v>159</v>
      </c>
      <c r="BG159" s="625">
        <f t="shared" si="49"/>
        <v>0</v>
      </c>
      <c r="BH159" s="625">
        <f t="shared" si="50"/>
        <v>0</v>
      </c>
      <c r="BI159" s="625" t="b">
        <v>0</v>
      </c>
      <c r="BJ159" s="624">
        <v>189</v>
      </c>
      <c r="BK159" s="625"/>
      <c r="BL159" s="625"/>
      <c r="BM159" s="625" t="b">
        <v>0</v>
      </c>
      <c r="BN159" s="192"/>
      <c r="BO159" s="192"/>
      <c r="BP159" s="192"/>
      <c r="BQ159" s="192"/>
      <c r="BR159" s="192"/>
      <c r="BS159" s="192"/>
      <c r="BT159" s="192"/>
      <c r="BU159" s="192"/>
      <c r="BV159" s="192"/>
      <c r="BW159" s="192"/>
      <c r="BX159" s="192"/>
      <c r="BY159" s="192"/>
      <c r="BZ159" s="192"/>
      <c r="CA159" s="192"/>
      <c r="CB159" s="192"/>
      <c r="CC159" s="192"/>
      <c r="CD159" s="192"/>
      <c r="CE159" s="192"/>
      <c r="CF159" s="192"/>
      <c r="CG159" s="192"/>
      <c r="CH159" s="192"/>
      <c r="CI159" s="796"/>
      <c r="CJ159" s="796"/>
      <c r="CK159" s="192"/>
      <c r="CL159" s="192"/>
      <c r="CM159" s="192"/>
      <c r="CN159" s="192"/>
      <c r="CO159" s="192"/>
      <c r="CP159" s="192"/>
      <c r="CQ159" s="192"/>
      <c r="CR159" s="192"/>
      <c r="CS159" s="192"/>
      <c r="CT159" s="192"/>
      <c r="CU159" s="192"/>
      <c r="CV159" s="192"/>
      <c r="CW159" s="192"/>
      <c r="CX159" s="192"/>
      <c r="CY159" s="192"/>
    </row>
    <row r="160" spans="1:103" ht="24.95" customHeight="1">
      <c r="A160" s="326">
        <v>160</v>
      </c>
      <c r="B160" s="2127"/>
      <c r="C160" s="2127"/>
      <c r="D160" s="2127"/>
      <c r="E160" s="2127"/>
      <c r="F160" s="2127"/>
      <c r="G160" s="2127"/>
      <c r="H160" s="327"/>
      <c r="I160" s="328"/>
      <c r="J160" s="329"/>
      <c r="K160" s="2012"/>
      <c r="L160" s="2013"/>
      <c r="M160" s="2014"/>
      <c r="N160" s="331">
        <v>190</v>
      </c>
      <c r="O160" s="2136"/>
      <c r="P160" s="2137"/>
      <c r="Q160" s="2137"/>
      <c r="R160" s="2137"/>
      <c r="S160" s="2137"/>
      <c r="T160" s="2138"/>
      <c r="U160" s="327"/>
      <c r="V160" s="328"/>
      <c r="W160" s="329"/>
      <c r="X160" s="2012"/>
      <c r="Y160" s="2013"/>
      <c r="Z160" s="2014"/>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7">
        <v>148</v>
      </c>
      <c r="BB160" s="68">
        <f t="shared" si="52"/>
        <v>0</v>
      </c>
      <c r="BC160" s="192">
        <f t="shared" si="53"/>
        <v>0</v>
      </c>
      <c r="BD160" s="70">
        <f t="shared" si="51"/>
        <v>0</v>
      </c>
      <c r="BE160" s="70">
        <f t="shared" si="51"/>
        <v>0</v>
      </c>
      <c r="BF160" s="624">
        <v>160</v>
      </c>
      <c r="BG160" s="625">
        <f t="shared" si="49"/>
        <v>0</v>
      </c>
      <c r="BH160" s="625">
        <f t="shared" si="50"/>
        <v>0</v>
      </c>
      <c r="BI160" s="625" t="b">
        <v>0</v>
      </c>
      <c r="BJ160" s="624">
        <v>190</v>
      </c>
      <c r="BK160" s="625"/>
      <c r="BL160" s="625"/>
      <c r="BM160" s="625" t="b">
        <v>0</v>
      </c>
      <c r="BN160" s="192"/>
      <c r="BO160" s="192"/>
      <c r="BP160" s="192"/>
      <c r="BQ160" s="192"/>
      <c r="BR160" s="192"/>
      <c r="BS160" s="192"/>
      <c r="BT160" s="192"/>
      <c r="BU160" s="192"/>
      <c r="BV160" s="192"/>
      <c r="BW160" s="192"/>
      <c r="BX160" s="192"/>
      <c r="BY160" s="192"/>
      <c r="BZ160" s="192"/>
      <c r="CA160" s="192"/>
      <c r="CB160" s="192"/>
      <c r="CC160" s="192"/>
      <c r="CD160" s="192"/>
      <c r="CE160" s="192"/>
      <c r="CF160" s="192"/>
      <c r="CG160" s="192"/>
      <c r="CH160" s="192"/>
      <c r="CI160" s="796"/>
      <c r="CJ160" s="796"/>
      <c r="CK160" s="192"/>
      <c r="CL160" s="192"/>
      <c r="CM160" s="192"/>
      <c r="CN160" s="192"/>
      <c r="CO160" s="192"/>
      <c r="CP160" s="192"/>
      <c r="CQ160" s="192"/>
      <c r="CR160" s="192"/>
      <c r="CS160" s="192"/>
      <c r="CT160" s="192"/>
      <c r="CU160" s="192"/>
      <c r="CV160" s="192"/>
      <c r="CW160" s="192"/>
      <c r="CX160" s="192"/>
      <c r="CY160" s="192"/>
    </row>
    <row r="161" spans="1:103" ht="24.95" customHeight="1">
      <c r="A161" s="326">
        <v>161</v>
      </c>
      <c r="B161" s="2127"/>
      <c r="C161" s="2127"/>
      <c r="D161" s="2127"/>
      <c r="E161" s="2127"/>
      <c r="F161" s="2127"/>
      <c r="G161" s="2127"/>
      <c r="H161" s="327"/>
      <c r="I161" s="328"/>
      <c r="J161" s="329"/>
      <c r="K161" s="2012"/>
      <c r="L161" s="2013"/>
      <c r="M161" s="2014"/>
      <c r="N161" s="331">
        <v>191</v>
      </c>
      <c r="O161" s="2074"/>
      <c r="P161" s="2022"/>
      <c r="Q161" s="2022"/>
      <c r="R161" s="2022"/>
      <c r="S161" s="2022"/>
      <c r="T161" s="2023"/>
      <c r="U161" s="327"/>
      <c r="V161" s="328"/>
      <c r="W161" s="329"/>
      <c r="X161" s="2012"/>
      <c r="Y161" s="2013"/>
      <c r="Z161" s="2014"/>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7">
        <v>149</v>
      </c>
      <c r="BB161" s="68">
        <f t="shared" si="52"/>
        <v>0</v>
      </c>
      <c r="BC161" s="192">
        <f t="shared" si="53"/>
        <v>0</v>
      </c>
      <c r="BD161" s="70">
        <f t="shared" si="51"/>
        <v>0</v>
      </c>
      <c r="BE161" s="70">
        <f t="shared" si="51"/>
        <v>0</v>
      </c>
      <c r="BF161" s="624">
        <v>161</v>
      </c>
      <c r="BG161" s="625">
        <f t="shared" si="49"/>
        <v>0</v>
      </c>
      <c r="BH161" s="625">
        <f t="shared" si="50"/>
        <v>0</v>
      </c>
      <c r="BI161" s="625" t="b">
        <v>0</v>
      </c>
      <c r="BJ161" s="624">
        <v>191</v>
      </c>
      <c r="BK161" s="625"/>
      <c r="BL161" s="625"/>
      <c r="BM161" s="625" t="b">
        <v>0</v>
      </c>
      <c r="BN161" s="192"/>
      <c r="BO161" s="192"/>
      <c r="BP161" s="192"/>
      <c r="BQ161" s="192"/>
      <c r="BR161" s="192"/>
      <c r="BS161" s="192"/>
      <c r="BT161" s="192"/>
      <c r="BU161" s="192"/>
      <c r="BV161" s="192"/>
      <c r="BW161" s="192"/>
      <c r="BX161" s="192"/>
      <c r="BY161" s="192"/>
      <c r="BZ161" s="192"/>
      <c r="CA161" s="192"/>
      <c r="CB161" s="192"/>
      <c r="CC161" s="192"/>
      <c r="CD161" s="192"/>
      <c r="CE161" s="192"/>
      <c r="CF161" s="192"/>
      <c r="CG161" s="192"/>
      <c r="CH161" s="192"/>
      <c r="CI161" s="796"/>
      <c r="CJ161" s="796"/>
      <c r="CK161" s="192"/>
      <c r="CL161" s="192"/>
      <c r="CM161" s="192"/>
      <c r="CN161" s="192"/>
      <c r="CO161" s="192"/>
      <c r="CP161" s="192"/>
      <c r="CQ161" s="192"/>
      <c r="CR161" s="192"/>
      <c r="CS161" s="192"/>
      <c r="CT161" s="192"/>
      <c r="CU161" s="192"/>
      <c r="CV161" s="192"/>
      <c r="CW161" s="192"/>
      <c r="CX161" s="192"/>
      <c r="CY161" s="192"/>
    </row>
    <row r="162" spans="1:103" ht="24.95" customHeight="1">
      <c r="A162" s="326">
        <v>162</v>
      </c>
      <c r="B162" s="2127"/>
      <c r="C162" s="2127"/>
      <c r="D162" s="2127"/>
      <c r="E162" s="2127"/>
      <c r="F162" s="2127"/>
      <c r="G162" s="2127"/>
      <c r="H162" s="327"/>
      <c r="I162" s="328"/>
      <c r="J162" s="329"/>
      <c r="K162" s="2012"/>
      <c r="L162" s="2013"/>
      <c r="M162" s="2014"/>
      <c r="N162" s="331">
        <v>192</v>
      </c>
      <c r="O162" s="2074"/>
      <c r="P162" s="2022"/>
      <c r="Q162" s="2022"/>
      <c r="R162" s="2022"/>
      <c r="S162" s="2022"/>
      <c r="T162" s="2023"/>
      <c r="U162" s="327"/>
      <c r="V162" s="328"/>
      <c r="W162" s="329"/>
      <c r="X162" s="2012"/>
      <c r="Y162" s="2013"/>
      <c r="Z162" s="2014"/>
      <c r="BA162" s="67">
        <v>150</v>
      </c>
      <c r="BB162" s="68">
        <f t="shared" si="52"/>
        <v>0</v>
      </c>
      <c r="BC162" s="192">
        <f t="shared" si="53"/>
        <v>0</v>
      </c>
      <c r="BD162" s="70">
        <f t="shared" si="51"/>
        <v>0</v>
      </c>
      <c r="BE162" s="70">
        <f t="shared" si="51"/>
        <v>0</v>
      </c>
      <c r="BF162" s="624">
        <v>162</v>
      </c>
      <c r="BG162" s="625">
        <f t="shared" si="49"/>
        <v>0</v>
      </c>
      <c r="BH162" s="625">
        <f t="shared" si="50"/>
        <v>0</v>
      </c>
      <c r="BI162" s="625" t="b">
        <v>0</v>
      </c>
      <c r="BJ162" s="624">
        <v>192</v>
      </c>
      <c r="BK162" s="625"/>
      <c r="BL162" s="625"/>
      <c r="BM162" s="625" t="b">
        <v>0</v>
      </c>
      <c r="BN162" s="192"/>
      <c r="BO162" s="192"/>
      <c r="BP162" s="192"/>
      <c r="BQ162" s="192"/>
      <c r="BR162" s="192"/>
      <c r="BS162" s="192"/>
      <c r="BT162" s="192"/>
      <c r="BU162" s="192"/>
      <c r="BV162" s="192"/>
      <c r="BW162" s="192"/>
      <c r="BX162" s="192"/>
      <c r="BY162" s="192"/>
      <c r="BZ162" s="192"/>
      <c r="CA162" s="192"/>
      <c r="CB162" s="192"/>
      <c r="CC162" s="192"/>
      <c r="CD162" s="192"/>
      <c r="CE162" s="192"/>
      <c r="CF162" s="192"/>
      <c r="CG162" s="192"/>
      <c r="CH162" s="192"/>
      <c r="CI162" s="796"/>
      <c r="CJ162" s="796"/>
      <c r="CK162" s="192"/>
      <c r="CL162" s="192"/>
      <c r="CM162" s="192"/>
      <c r="CN162" s="192"/>
      <c r="CO162" s="192"/>
      <c r="CP162" s="192"/>
      <c r="CQ162" s="192"/>
      <c r="CR162" s="192"/>
      <c r="CS162" s="192"/>
      <c r="CT162" s="192"/>
      <c r="CU162" s="192"/>
      <c r="CV162" s="192"/>
      <c r="CW162" s="192"/>
      <c r="CX162" s="192"/>
      <c r="CY162" s="192"/>
    </row>
    <row r="163" spans="1:103" ht="24.95" customHeight="1">
      <c r="A163" s="326">
        <v>163</v>
      </c>
      <c r="B163" s="2127"/>
      <c r="C163" s="2127"/>
      <c r="D163" s="2127"/>
      <c r="E163" s="2127"/>
      <c r="F163" s="2127"/>
      <c r="G163" s="2127"/>
      <c r="H163" s="327"/>
      <c r="I163" s="328"/>
      <c r="J163" s="329"/>
      <c r="K163" s="2012"/>
      <c r="L163" s="2013"/>
      <c r="M163" s="2014"/>
      <c r="N163" s="331">
        <v>193</v>
      </c>
      <c r="O163" s="2074"/>
      <c r="P163" s="2022"/>
      <c r="Q163" s="2022"/>
      <c r="R163" s="2022"/>
      <c r="S163" s="2022"/>
      <c r="T163" s="2023"/>
      <c r="U163" s="327"/>
      <c r="V163" s="328"/>
      <c r="W163" s="329"/>
      <c r="X163" s="2012"/>
      <c r="Y163" s="2013"/>
      <c r="Z163" s="2014"/>
      <c r="BA163" s="67">
        <v>151</v>
      </c>
      <c r="BB163" s="68">
        <f t="shared" si="52"/>
        <v>0</v>
      </c>
      <c r="BC163" s="192">
        <f t="shared" si="53"/>
        <v>0</v>
      </c>
      <c r="BD163" s="70">
        <f t="shared" si="51"/>
        <v>0</v>
      </c>
      <c r="BE163" s="70">
        <f t="shared" si="51"/>
        <v>0</v>
      </c>
      <c r="BF163" s="624">
        <v>163</v>
      </c>
      <c r="BG163" s="625">
        <f t="shared" si="49"/>
        <v>0</v>
      </c>
      <c r="BH163" s="625">
        <f t="shared" si="50"/>
        <v>0</v>
      </c>
      <c r="BI163" s="625" t="b">
        <v>0</v>
      </c>
      <c r="BJ163" s="624">
        <v>193</v>
      </c>
      <c r="BK163" s="625"/>
      <c r="BL163" s="625"/>
      <c r="BM163" s="625" t="b">
        <v>0</v>
      </c>
      <c r="BN163" s="192"/>
      <c r="BO163" s="192"/>
      <c r="BP163" s="192"/>
      <c r="BQ163" s="192"/>
      <c r="BR163" s="192"/>
      <c r="BS163" s="192"/>
      <c r="BT163" s="192"/>
      <c r="BU163" s="192"/>
      <c r="BV163" s="192"/>
      <c r="BW163" s="192"/>
      <c r="BX163" s="192"/>
      <c r="BY163" s="192"/>
      <c r="BZ163" s="192"/>
      <c r="CA163" s="192"/>
      <c r="CB163" s="192"/>
      <c r="CC163" s="192"/>
      <c r="CD163" s="192"/>
      <c r="CE163" s="192"/>
      <c r="CF163" s="192"/>
      <c r="CG163" s="192"/>
      <c r="CH163" s="192"/>
      <c r="CI163" s="796"/>
      <c r="CJ163" s="796"/>
      <c r="CK163" s="192"/>
      <c r="CL163" s="192"/>
      <c r="CM163" s="192"/>
      <c r="CN163" s="192"/>
      <c r="CO163" s="192"/>
      <c r="CP163" s="192"/>
      <c r="CQ163" s="192"/>
      <c r="CR163" s="192"/>
      <c r="CS163" s="192"/>
      <c r="CT163" s="192"/>
      <c r="CU163" s="192"/>
      <c r="CV163" s="192"/>
      <c r="CW163" s="192"/>
      <c r="CX163" s="192"/>
      <c r="CY163" s="192"/>
    </row>
    <row r="164" spans="1:103" ht="24.95" customHeight="1">
      <c r="A164" s="326">
        <v>164</v>
      </c>
      <c r="B164" s="2127"/>
      <c r="C164" s="2127"/>
      <c r="D164" s="2127"/>
      <c r="E164" s="2127"/>
      <c r="F164" s="2127"/>
      <c r="G164" s="2127"/>
      <c r="H164" s="327"/>
      <c r="I164" s="328"/>
      <c r="J164" s="329"/>
      <c r="K164" s="2012"/>
      <c r="L164" s="2013"/>
      <c r="M164" s="2014"/>
      <c r="N164" s="331">
        <v>194</v>
      </c>
      <c r="O164" s="2074"/>
      <c r="P164" s="2022"/>
      <c r="Q164" s="2022"/>
      <c r="R164" s="2022"/>
      <c r="S164" s="2022"/>
      <c r="T164" s="2023"/>
      <c r="U164" s="327"/>
      <c r="V164" s="328"/>
      <c r="W164" s="329"/>
      <c r="X164" s="2012"/>
      <c r="Y164" s="2013"/>
      <c r="Z164" s="2014"/>
      <c r="BA164" s="67">
        <v>152</v>
      </c>
      <c r="BB164" s="68">
        <f t="shared" si="52"/>
        <v>0</v>
      </c>
      <c r="BC164" s="192">
        <f t="shared" si="53"/>
        <v>0</v>
      </c>
      <c r="BD164" s="70">
        <f t="shared" si="51"/>
        <v>0</v>
      </c>
      <c r="BE164" s="70">
        <f t="shared" si="51"/>
        <v>0</v>
      </c>
      <c r="BF164" s="624">
        <v>164</v>
      </c>
      <c r="BG164" s="625">
        <f t="shared" si="49"/>
        <v>0</v>
      </c>
      <c r="BH164" s="625">
        <f t="shared" si="50"/>
        <v>0</v>
      </c>
      <c r="BI164" s="625" t="b">
        <v>0</v>
      </c>
      <c r="BJ164" s="624">
        <v>194</v>
      </c>
      <c r="BK164" s="625"/>
      <c r="BL164" s="625"/>
      <c r="BM164" s="625" t="b">
        <v>0</v>
      </c>
      <c r="BN164" s="192"/>
      <c r="BO164" s="192"/>
      <c r="BP164" s="192"/>
      <c r="BQ164" s="192"/>
      <c r="BR164" s="192"/>
      <c r="BS164" s="192"/>
      <c r="BT164" s="192"/>
      <c r="BU164" s="192"/>
      <c r="BV164" s="192"/>
      <c r="BW164" s="192"/>
      <c r="BX164" s="192"/>
      <c r="BY164" s="192"/>
      <c r="BZ164" s="192"/>
      <c r="CA164" s="192"/>
      <c r="CB164" s="192"/>
      <c r="CC164" s="192"/>
      <c r="CD164" s="192"/>
      <c r="CE164" s="192"/>
      <c r="CF164" s="192"/>
      <c r="CG164" s="192"/>
      <c r="CH164" s="192"/>
      <c r="CI164" s="796"/>
      <c r="CJ164" s="796"/>
      <c r="CK164" s="192"/>
      <c r="CL164" s="192"/>
      <c r="CM164" s="192"/>
      <c r="CN164" s="192"/>
      <c r="CO164" s="192"/>
      <c r="CP164" s="192"/>
      <c r="CQ164" s="192"/>
      <c r="CR164" s="192"/>
      <c r="CS164" s="192"/>
      <c r="CT164" s="192"/>
      <c r="CU164" s="192"/>
      <c r="CV164" s="192"/>
      <c r="CW164" s="192"/>
      <c r="CX164" s="192"/>
      <c r="CY164" s="192"/>
    </row>
    <row r="165" spans="1:103" ht="24.95" customHeight="1">
      <c r="A165" s="326">
        <v>165</v>
      </c>
      <c r="B165" s="2127"/>
      <c r="C165" s="2127"/>
      <c r="D165" s="2127"/>
      <c r="E165" s="2127"/>
      <c r="F165" s="2127"/>
      <c r="G165" s="2127"/>
      <c r="H165" s="327"/>
      <c r="I165" s="328"/>
      <c r="J165" s="329"/>
      <c r="K165" s="2012"/>
      <c r="L165" s="2013"/>
      <c r="M165" s="2014"/>
      <c r="N165" s="331">
        <v>195</v>
      </c>
      <c r="O165" s="2074"/>
      <c r="P165" s="2022"/>
      <c r="Q165" s="2022"/>
      <c r="R165" s="2022"/>
      <c r="S165" s="2022"/>
      <c r="T165" s="2023"/>
      <c r="U165" s="327"/>
      <c r="V165" s="328"/>
      <c r="W165" s="329"/>
      <c r="X165" s="2012"/>
      <c r="Y165" s="2013"/>
      <c r="Z165" s="2014"/>
      <c r="BA165" s="67">
        <v>153</v>
      </c>
      <c r="BB165" s="68">
        <f t="shared" si="52"/>
        <v>0</v>
      </c>
      <c r="BC165" s="192">
        <f t="shared" si="53"/>
        <v>0</v>
      </c>
      <c r="BD165" s="70">
        <f t="shared" si="51"/>
        <v>0</v>
      </c>
      <c r="BE165" s="70">
        <f t="shared" si="51"/>
        <v>0</v>
      </c>
      <c r="BF165" s="624">
        <v>165</v>
      </c>
      <c r="BG165" s="625">
        <f t="shared" si="49"/>
        <v>0</v>
      </c>
      <c r="BH165" s="625">
        <f t="shared" si="50"/>
        <v>0</v>
      </c>
      <c r="BI165" s="625" t="b">
        <v>0</v>
      </c>
      <c r="BJ165" s="624">
        <v>195</v>
      </c>
      <c r="BK165" s="625"/>
      <c r="BL165" s="625"/>
      <c r="BM165" s="625" t="b">
        <v>0</v>
      </c>
      <c r="BN165" s="192"/>
      <c r="BO165" s="192"/>
      <c r="BP165" s="192"/>
      <c r="BQ165" s="192"/>
      <c r="BR165" s="192"/>
      <c r="BS165" s="192"/>
      <c r="BT165" s="192"/>
      <c r="BU165" s="192"/>
      <c r="BV165" s="192"/>
      <c r="BW165" s="192"/>
      <c r="BX165" s="192"/>
      <c r="BY165" s="192"/>
      <c r="BZ165" s="192"/>
      <c r="CA165" s="192"/>
      <c r="CB165" s="192"/>
      <c r="CC165" s="192"/>
      <c r="CD165" s="192"/>
      <c r="CE165" s="192"/>
      <c r="CF165" s="192"/>
      <c r="CG165" s="192"/>
      <c r="CH165" s="192"/>
      <c r="CI165" s="796"/>
      <c r="CJ165" s="796"/>
      <c r="CK165" s="192"/>
      <c r="CL165" s="192"/>
      <c r="CM165" s="192"/>
      <c r="CN165" s="192"/>
      <c r="CO165" s="192"/>
      <c r="CP165" s="192"/>
      <c r="CQ165" s="192"/>
      <c r="CR165" s="192"/>
      <c r="CS165" s="192"/>
      <c r="CT165" s="192"/>
      <c r="CU165" s="192"/>
      <c r="CV165" s="192"/>
      <c r="CW165" s="192"/>
      <c r="CX165" s="192"/>
      <c r="CY165" s="192"/>
    </row>
    <row r="166" spans="1:103" ht="24.95" customHeight="1">
      <c r="A166" s="326">
        <v>166</v>
      </c>
      <c r="B166" s="2127"/>
      <c r="C166" s="2127"/>
      <c r="D166" s="2127"/>
      <c r="E166" s="2127"/>
      <c r="F166" s="2127"/>
      <c r="G166" s="2127"/>
      <c r="H166" s="327"/>
      <c r="I166" s="328"/>
      <c r="J166" s="329"/>
      <c r="K166" s="2012"/>
      <c r="L166" s="2013"/>
      <c r="M166" s="2014"/>
      <c r="N166" s="331">
        <v>196</v>
      </c>
      <c r="O166" s="2074"/>
      <c r="P166" s="2022"/>
      <c r="Q166" s="2022"/>
      <c r="R166" s="2022"/>
      <c r="S166" s="2022"/>
      <c r="T166" s="2023"/>
      <c r="U166" s="327"/>
      <c r="V166" s="328"/>
      <c r="W166" s="329"/>
      <c r="X166" s="2012"/>
      <c r="Y166" s="2013"/>
      <c r="Z166" s="2014"/>
      <c r="BA166" s="67">
        <v>154</v>
      </c>
      <c r="BB166" s="68">
        <f t="shared" si="52"/>
        <v>0</v>
      </c>
      <c r="BC166" s="192">
        <f t="shared" si="53"/>
        <v>0</v>
      </c>
      <c r="BD166" s="70">
        <f t="shared" si="51"/>
        <v>0</v>
      </c>
      <c r="BE166" s="70">
        <f t="shared" si="51"/>
        <v>0</v>
      </c>
      <c r="BF166" s="624">
        <v>166</v>
      </c>
      <c r="BG166" s="625">
        <f t="shared" si="49"/>
        <v>0</v>
      </c>
      <c r="BH166" s="625">
        <f t="shared" si="50"/>
        <v>0</v>
      </c>
      <c r="BI166" s="625" t="b">
        <v>0</v>
      </c>
      <c r="BJ166" s="624">
        <v>196</v>
      </c>
      <c r="BK166" s="625"/>
      <c r="BL166" s="625"/>
      <c r="BM166" s="625" t="b">
        <v>0</v>
      </c>
      <c r="BN166" s="192"/>
      <c r="BO166" s="192"/>
      <c r="BP166" s="192"/>
      <c r="BQ166" s="192"/>
      <c r="BR166" s="192"/>
      <c r="BS166" s="192"/>
      <c r="BT166" s="192"/>
      <c r="BU166" s="192"/>
      <c r="BV166" s="192"/>
      <c r="BW166" s="192"/>
      <c r="BX166" s="192"/>
      <c r="BY166" s="192"/>
      <c r="BZ166" s="192"/>
      <c r="CA166" s="192"/>
      <c r="CB166" s="192"/>
      <c r="CC166" s="192"/>
      <c r="CD166" s="192"/>
      <c r="CE166" s="192"/>
      <c r="CF166" s="192"/>
      <c r="CG166" s="192"/>
      <c r="CH166" s="192"/>
      <c r="CI166" s="796"/>
      <c r="CJ166" s="796"/>
      <c r="CK166" s="192"/>
      <c r="CL166" s="192"/>
      <c r="CM166" s="192"/>
      <c r="CN166" s="192"/>
      <c r="CO166" s="192"/>
      <c r="CP166" s="192"/>
      <c r="CQ166" s="192"/>
      <c r="CR166" s="192"/>
      <c r="CS166" s="192"/>
      <c r="CT166" s="192"/>
      <c r="CU166" s="192"/>
      <c r="CV166" s="192"/>
      <c r="CW166" s="192"/>
      <c r="CX166" s="192"/>
      <c r="CY166" s="192"/>
    </row>
    <row r="167" spans="1:103" ht="24.95" customHeight="1">
      <c r="A167" s="326">
        <v>167</v>
      </c>
      <c r="B167" s="2127"/>
      <c r="C167" s="2127"/>
      <c r="D167" s="2127"/>
      <c r="E167" s="2127"/>
      <c r="F167" s="2127"/>
      <c r="G167" s="2127"/>
      <c r="H167" s="327"/>
      <c r="I167" s="328"/>
      <c r="J167" s="329"/>
      <c r="K167" s="2012"/>
      <c r="L167" s="2013"/>
      <c r="M167" s="2014"/>
      <c r="N167" s="331">
        <v>197</v>
      </c>
      <c r="O167" s="2074"/>
      <c r="P167" s="2022"/>
      <c r="Q167" s="2022"/>
      <c r="R167" s="2022"/>
      <c r="S167" s="2022"/>
      <c r="T167" s="2023"/>
      <c r="U167" s="327"/>
      <c r="V167" s="328"/>
      <c r="W167" s="329"/>
      <c r="X167" s="2012"/>
      <c r="Y167" s="2013"/>
      <c r="Z167" s="2014"/>
      <c r="BA167" s="67">
        <v>155</v>
      </c>
      <c r="BB167" s="68">
        <f t="shared" si="52"/>
        <v>0</v>
      </c>
      <c r="BC167" s="192">
        <f t="shared" si="53"/>
        <v>0</v>
      </c>
      <c r="BD167" s="70">
        <f t="shared" si="51"/>
        <v>0</v>
      </c>
      <c r="BE167" s="70">
        <f t="shared" si="51"/>
        <v>0</v>
      </c>
      <c r="BF167" s="624">
        <v>167</v>
      </c>
      <c r="BG167" s="625">
        <f t="shared" si="49"/>
        <v>0</v>
      </c>
      <c r="BH167" s="625">
        <f t="shared" si="50"/>
        <v>0</v>
      </c>
      <c r="BI167" s="625" t="b">
        <v>0</v>
      </c>
      <c r="BJ167" s="624">
        <v>197</v>
      </c>
      <c r="BK167" s="625"/>
      <c r="BL167" s="625"/>
      <c r="BM167" s="625" t="b">
        <v>0</v>
      </c>
      <c r="BN167" s="192"/>
      <c r="BO167" s="192"/>
      <c r="BP167" s="192"/>
      <c r="BQ167" s="192"/>
      <c r="BR167" s="192"/>
      <c r="BS167" s="192"/>
      <c r="BT167" s="192"/>
      <c r="BU167" s="192"/>
      <c r="BV167" s="192"/>
      <c r="BW167" s="192"/>
      <c r="BX167" s="192"/>
      <c r="BY167" s="192"/>
      <c r="BZ167" s="192"/>
      <c r="CA167" s="192"/>
      <c r="CB167" s="192"/>
      <c r="CC167" s="192"/>
      <c r="CD167" s="192"/>
      <c r="CE167" s="192"/>
      <c r="CF167" s="192"/>
      <c r="CG167" s="192"/>
      <c r="CH167" s="192"/>
      <c r="CI167" s="796"/>
      <c r="CJ167" s="796"/>
      <c r="CK167" s="192"/>
      <c r="CL167" s="192"/>
      <c r="CM167" s="192"/>
      <c r="CN167" s="192"/>
      <c r="CO167" s="192"/>
      <c r="CP167" s="192"/>
      <c r="CQ167" s="192"/>
      <c r="CR167" s="192"/>
      <c r="CS167" s="192"/>
      <c r="CT167" s="192"/>
      <c r="CU167" s="192"/>
      <c r="CV167" s="192"/>
      <c r="CW167" s="192"/>
      <c r="CX167" s="192"/>
      <c r="CY167" s="192"/>
    </row>
    <row r="168" spans="1:103" ht="24.95" customHeight="1">
      <c r="A168" s="326">
        <v>168</v>
      </c>
      <c r="B168" s="2127"/>
      <c r="C168" s="2127"/>
      <c r="D168" s="2127"/>
      <c r="E168" s="2127"/>
      <c r="F168" s="2127"/>
      <c r="G168" s="2127"/>
      <c r="H168" s="327"/>
      <c r="I168" s="328"/>
      <c r="J168" s="329"/>
      <c r="K168" s="2012"/>
      <c r="L168" s="2013"/>
      <c r="M168" s="2014"/>
      <c r="N168" s="331">
        <v>198</v>
      </c>
      <c r="O168" s="2074"/>
      <c r="P168" s="2022"/>
      <c r="Q168" s="2022"/>
      <c r="R168" s="2022"/>
      <c r="S168" s="2022"/>
      <c r="T168" s="2023"/>
      <c r="U168" s="327"/>
      <c r="V168" s="328"/>
      <c r="W168" s="329"/>
      <c r="X168" s="2012"/>
      <c r="Y168" s="2013"/>
      <c r="Z168" s="2014"/>
      <c r="BA168" s="67">
        <v>156</v>
      </c>
      <c r="BB168" s="68">
        <f t="shared" si="52"/>
        <v>0</v>
      </c>
      <c r="BC168" s="192">
        <f t="shared" si="53"/>
        <v>0</v>
      </c>
      <c r="BD168" s="70">
        <f t="shared" si="51"/>
        <v>0</v>
      </c>
      <c r="BE168" s="70">
        <f t="shared" si="51"/>
        <v>0</v>
      </c>
      <c r="BF168" s="624">
        <v>168</v>
      </c>
      <c r="BG168" s="625">
        <f t="shared" si="49"/>
        <v>0</v>
      </c>
      <c r="BH168" s="625">
        <f t="shared" si="50"/>
        <v>0</v>
      </c>
      <c r="BI168" s="625" t="b">
        <v>0</v>
      </c>
      <c r="BJ168" s="624">
        <v>198</v>
      </c>
      <c r="BK168" s="625"/>
      <c r="BL168" s="625"/>
      <c r="BM168" s="625" t="b">
        <v>0</v>
      </c>
      <c r="BN168" s="192"/>
      <c r="BO168" s="192"/>
      <c r="BP168" s="192"/>
      <c r="BQ168" s="192"/>
      <c r="BR168" s="192"/>
      <c r="BS168" s="192"/>
      <c r="BT168" s="192"/>
      <c r="BU168" s="192"/>
      <c r="BV168" s="192"/>
      <c r="BW168" s="192"/>
      <c r="BX168" s="192"/>
      <c r="BY168" s="192"/>
      <c r="BZ168" s="192"/>
      <c r="CA168" s="192"/>
      <c r="CB168" s="192"/>
      <c r="CC168" s="192"/>
      <c r="CD168" s="192"/>
      <c r="CE168" s="192"/>
      <c r="CF168" s="192"/>
      <c r="CG168" s="192"/>
      <c r="CH168" s="192"/>
      <c r="CI168" s="796"/>
      <c r="CJ168" s="796"/>
      <c r="CK168" s="192"/>
      <c r="CL168" s="192"/>
      <c r="CM168" s="192"/>
      <c r="CN168" s="192"/>
      <c r="CO168" s="192"/>
      <c r="CP168" s="192"/>
      <c r="CQ168" s="192"/>
      <c r="CR168" s="192"/>
      <c r="CS168" s="192"/>
      <c r="CT168" s="192"/>
      <c r="CU168" s="192"/>
      <c r="CV168" s="192"/>
      <c r="CW168" s="192"/>
      <c r="CX168" s="192"/>
      <c r="CY168" s="192"/>
    </row>
    <row r="169" spans="1:103" ht="24.95" customHeight="1">
      <c r="A169" s="326">
        <v>169</v>
      </c>
      <c r="B169" s="2127"/>
      <c r="C169" s="2127"/>
      <c r="D169" s="2127"/>
      <c r="E169" s="2127"/>
      <c r="F169" s="2127"/>
      <c r="G169" s="2127"/>
      <c r="H169" s="327"/>
      <c r="I169" s="328"/>
      <c r="J169" s="329"/>
      <c r="K169" s="2012"/>
      <c r="L169" s="2013"/>
      <c r="M169" s="2014"/>
      <c r="N169" s="331">
        <v>199</v>
      </c>
      <c r="O169" s="2074"/>
      <c r="P169" s="2022"/>
      <c r="Q169" s="2022"/>
      <c r="R169" s="2022"/>
      <c r="S169" s="2022"/>
      <c r="T169" s="2023"/>
      <c r="U169" s="327"/>
      <c r="V169" s="328"/>
      <c r="W169" s="329"/>
      <c r="X169" s="2012"/>
      <c r="Y169" s="2013"/>
      <c r="Z169" s="2014"/>
      <c r="BA169" s="67">
        <v>157</v>
      </c>
      <c r="BB169" s="68">
        <f t="shared" si="52"/>
        <v>0</v>
      </c>
      <c r="BC169" s="192">
        <f t="shared" si="53"/>
        <v>0</v>
      </c>
      <c r="BD169" s="70">
        <f t="shared" si="51"/>
        <v>0</v>
      </c>
      <c r="BE169" s="70">
        <f t="shared" si="51"/>
        <v>0</v>
      </c>
      <c r="BF169" s="624">
        <v>169</v>
      </c>
      <c r="BG169" s="625">
        <f t="shared" si="49"/>
        <v>0</v>
      </c>
      <c r="BH169" s="625">
        <f t="shared" si="50"/>
        <v>0</v>
      </c>
      <c r="BI169" s="625" t="b">
        <v>0</v>
      </c>
      <c r="BJ169" s="624">
        <v>199</v>
      </c>
      <c r="BK169" s="625"/>
      <c r="BL169" s="625"/>
      <c r="BM169" s="625" t="b">
        <v>0</v>
      </c>
      <c r="BN169" s="192"/>
      <c r="BO169" s="192"/>
      <c r="BP169" s="192"/>
      <c r="BQ169" s="192"/>
      <c r="BR169" s="192"/>
      <c r="BS169" s="192"/>
      <c r="BT169" s="192"/>
      <c r="BU169" s="192"/>
      <c r="BV169" s="192"/>
      <c r="BW169" s="192"/>
      <c r="BX169" s="192"/>
      <c r="BY169" s="192"/>
      <c r="BZ169" s="192"/>
      <c r="CA169" s="192"/>
      <c r="CB169" s="192"/>
      <c r="CC169" s="192"/>
      <c r="CD169" s="192"/>
      <c r="CE169" s="192"/>
      <c r="CF169" s="192"/>
      <c r="CG169" s="192"/>
      <c r="CH169" s="192"/>
      <c r="CI169" s="796"/>
      <c r="CJ169" s="796"/>
      <c r="CK169" s="192"/>
      <c r="CL169" s="192"/>
      <c r="CM169" s="192"/>
      <c r="CN169" s="192"/>
      <c r="CO169" s="192"/>
      <c r="CP169" s="192"/>
      <c r="CQ169" s="192"/>
      <c r="CR169" s="192"/>
      <c r="CS169" s="192"/>
      <c r="CT169" s="192"/>
      <c r="CU169" s="192"/>
      <c r="CV169" s="192"/>
      <c r="CW169" s="192"/>
      <c r="CX169" s="192"/>
      <c r="CY169" s="192"/>
    </row>
    <row r="170" spans="1:103" ht="24.95" customHeight="1">
      <c r="A170" s="326">
        <v>170</v>
      </c>
      <c r="B170" s="2127"/>
      <c r="C170" s="2127"/>
      <c r="D170" s="2127"/>
      <c r="E170" s="2127"/>
      <c r="F170" s="2127"/>
      <c r="G170" s="2127"/>
      <c r="H170" s="327"/>
      <c r="I170" s="328"/>
      <c r="J170" s="329"/>
      <c r="K170" s="2012"/>
      <c r="L170" s="2013"/>
      <c r="M170" s="2014"/>
      <c r="N170" s="331">
        <v>200</v>
      </c>
      <c r="O170" s="2074"/>
      <c r="P170" s="2022"/>
      <c r="Q170" s="2022"/>
      <c r="R170" s="2022"/>
      <c r="S170" s="2022"/>
      <c r="T170" s="2023"/>
      <c r="U170" s="327"/>
      <c r="V170" s="328"/>
      <c r="W170" s="329"/>
      <c r="X170" s="2012"/>
      <c r="Y170" s="2013"/>
      <c r="Z170" s="2014"/>
      <c r="BA170" s="67">
        <v>158</v>
      </c>
      <c r="BB170" s="68">
        <f t="shared" si="52"/>
        <v>0</v>
      </c>
      <c r="BC170" s="192">
        <f t="shared" si="53"/>
        <v>0</v>
      </c>
      <c r="BD170" s="70">
        <f t="shared" si="51"/>
        <v>0</v>
      </c>
      <c r="BE170" s="70">
        <f t="shared" si="51"/>
        <v>0</v>
      </c>
      <c r="BF170" s="624">
        <v>170</v>
      </c>
      <c r="BG170" s="625">
        <f t="shared" si="49"/>
        <v>0</v>
      </c>
      <c r="BH170" s="625">
        <f t="shared" si="50"/>
        <v>0</v>
      </c>
      <c r="BI170" s="625" t="b">
        <v>0</v>
      </c>
      <c r="BJ170" s="624">
        <v>200</v>
      </c>
      <c r="BK170" s="625"/>
      <c r="BL170" s="625"/>
      <c r="BM170" s="625" t="b">
        <v>0</v>
      </c>
      <c r="BN170" s="192"/>
      <c r="BO170" s="192"/>
      <c r="BP170" s="192"/>
      <c r="BQ170" s="192"/>
      <c r="BR170" s="192"/>
      <c r="BS170" s="192"/>
      <c r="BT170" s="192"/>
      <c r="BU170" s="192"/>
      <c r="BV170" s="192"/>
      <c r="BW170" s="192"/>
      <c r="BX170" s="192"/>
      <c r="BY170" s="192"/>
      <c r="BZ170" s="192"/>
      <c r="CA170" s="192"/>
      <c r="CB170" s="192"/>
      <c r="CC170" s="192"/>
      <c r="CD170" s="192"/>
      <c r="CE170" s="192"/>
      <c r="CF170" s="192"/>
      <c r="CG170" s="192"/>
      <c r="CH170" s="192"/>
      <c r="CI170" s="796"/>
      <c r="CJ170" s="796"/>
      <c r="CK170" s="192"/>
      <c r="CL170" s="192"/>
      <c r="CM170" s="192"/>
      <c r="CN170" s="192"/>
      <c r="CO170" s="192"/>
      <c r="CP170" s="192"/>
      <c r="CQ170" s="192"/>
      <c r="CR170" s="192"/>
      <c r="CS170" s="192"/>
      <c r="CT170" s="192"/>
      <c r="CU170" s="192"/>
      <c r="CV170" s="192"/>
      <c r="CW170" s="192"/>
      <c r="CX170" s="192"/>
      <c r="CY170" s="192"/>
    </row>
    <row r="171" spans="1:103" s="43" customFormat="1" ht="24.95" customHeight="1">
      <c r="A171" s="345"/>
      <c r="B171" s="333"/>
      <c r="C171" s="333"/>
      <c r="D171" s="333"/>
      <c r="E171" s="333"/>
      <c r="F171" s="333"/>
      <c r="G171" s="333"/>
      <c r="H171" s="334"/>
      <c r="I171" s="334"/>
      <c r="J171" s="360"/>
      <c r="K171" s="360"/>
      <c r="L171" s="316"/>
      <c r="M171" s="316"/>
      <c r="N171" s="345"/>
      <c r="O171" s="333"/>
      <c r="P171" s="333"/>
      <c r="Q171" s="333"/>
      <c r="R171" s="333"/>
      <c r="S171" s="333"/>
      <c r="T171" s="333"/>
      <c r="U171" s="334"/>
      <c r="V171" s="334"/>
      <c r="W171" s="334"/>
      <c r="X171" s="334"/>
      <c r="Y171" s="335"/>
      <c r="Z171" s="335"/>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7">
        <v>159</v>
      </c>
      <c r="BB171" s="68">
        <f t="shared" si="52"/>
        <v>0</v>
      </c>
      <c r="BC171" s="192">
        <f t="shared" si="53"/>
        <v>0</v>
      </c>
      <c r="BD171" s="70">
        <f t="shared" si="51"/>
        <v>0</v>
      </c>
      <c r="BE171" s="70">
        <f t="shared" si="51"/>
        <v>0</v>
      </c>
      <c r="BF171" s="192"/>
      <c r="BG171" s="192"/>
      <c r="BH171" s="192"/>
      <c r="BI171" s="192"/>
      <c r="BJ171" s="192"/>
      <c r="BK171" s="192"/>
      <c r="BL171" s="192"/>
      <c r="BM171" s="192"/>
      <c r="BN171" s="192"/>
      <c r="BO171" s="192"/>
      <c r="BP171" s="192"/>
      <c r="BQ171" s="192"/>
      <c r="BR171" s="192"/>
      <c r="BS171" s="192"/>
      <c r="BT171" s="192"/>
      <c r="BU171" s="192"/>
      <c r="BV171" s="192"/>
      <c r="BW171" s="192"/>
      <c r="BX171" s="192"/>
      <c r="BY171" s="192"/>
      <c r="BZ171" s="192"/>
      <c r="CA171" s="192"/>
      <c r="CB171" s="192"/>
      <c r="CC171" s="192"/>
      <c r="CD171" s="192"/>
      <c r="CE171" s="192"/>
      <c r="CF171" s="192"/>
      <c r="CG171" s="192"/>
      <c r="CH171" s="192"/>
      <c r="CI171" s="796"/>
      <c r="CJ171" s="796"/>
      <c r="CK171" s="192"/>
      <c r="CL171" s="192"/>
      <c r="CM171" s="192"/>
      <c r="CN171" s="192"/>
      <c r="CO171" s="192"/>
      <c r="CP171" s="192"/>
      <c r="CQ171" s="192"/>
      <c r="CR171" s="192"/>
      <c r="CS171" s="192"/>
      <c r="CT171" s="192"/>
      <c r="CU171" s="192"/>
      <c r="CV171" s="192"/>
      <c r="CW171" s="192"/>
      <c r="CX171" s="192"/>
      <c r="CY171" s="192"/>
    </row>
    <row r="172" spans="1:103" ht="23.25">
      <c r="A172" s="2131" t="s">
        <v>461</v>
      </c>
      <c r="B172" s="2131"/>
      <c r="C172" s="2131"/>
      <c r="D172" s="2131"/>
      <c r="E172" s="2131"/>
      <c r="F172" s="2131"/>
      <c r="G172" s="2131"/>
      <c r="H172" s="2131"/>
      <c r="I172" s="2131"/>
      <c r="J172" s="2131"/>
      <c r="K172" s="2131"/>
      <c r="L172" s="2131"/>
      <c r="M172" s="2131"/>
      <c r="N172" s="2131"/>
      <c r="O172" s="2131"/>
      <c r="P172" s="2131"/>
      <c r="Q172" s="2131"/>
      <c r="R172" s="2131"/>
      <c r="S172" s="2131"/>
      <c r="T172" s="2131"/>
      <c r="U172" s="2131"/>
      <c r="V172" s="2131"/>
      <c r="W172" s="2131"/>
      <c r="X172" s="2131"/>
      <c r="Y172" s="2131"/>
      <c r="Z172" s="2131"/>
      <c r="AA172" s="870"/>
      <c r="AB172" s="870"/>
      <c r="AC172" s="870"/>
      <c r="AD172" s="870"/>
      <c r="AE172" s="870"/>
      <c r="AF172" s="870"/>
      <c r="AG172" s="870"/>
      <c r="AH172" s="870"/>
      <c r="AI172" s="870"/>
      <c r="AJ172" s="870"/>
      <c r="AK172" s="870"/>
      <c r="AL172" s="870"/>
      <c r="AM172" s="870"/>
      <c r="AN172" s="870"/>
      <c r="AO172" s="870"/>
      <c r="AP172" s="870"/>
      <c r="AQ172" s="870"/>
      <c r="AR172" s="870"/>
      <c r="AS172" s="870"/>
      <c r="AT172" s="870"/>
      <c r="AU172" s="870"/>
      <c r="AV172" s="870"/>
      <c r="AW172" s="870"/>
      <c r="AX172" s="870"/>
      <c r="AY172" s="870"/>
      <c r="AZ172" s="870"/>
      <c r="BA172" s="67">
        <v>160</v>
      </c>
      <c r="BB172" s="68">
        <f t="shared" si="52"/>
        <v>0</v>
      </c>
      <c r="BC172" s="192">
        <f t="shared" si="53"/>
        <v>0</v>
      </c>
      <c r="BD172" s="70">
        <f t="shared" si="51"/>
        <v>0</v>
      </c>
      <c r="BE172" s="70">
        <f t="shared" si="51"/>
        <v>0</v>
      </c>
      <c r="BF172" s="192"/>
      <c r="BG172" s="192"/>
      <c r="BH172" s="192"/>
      <c r="BI172" s="192"/>
      <c r="BJ172" s="192"/>
      <c r="BK172" s="192"/>
      <c r="BL172" s="192"/>
      <c r="BM172" s="192"/>
      <c r="BN172" s="192"/>
      <c r="BO172" s="192"/>
      <c r="BP172" s="192"/>
      <c r="BQ172" s="192"/>
      <c r="BR172" s="192"/>
      <c r="BS172" s="192"/>
      <c r="BT172" s="192"/>
      <c r="BU172" s="192"/>
      <c r="BV172" s="192"/>
      <c r="BW172" s="192"/>
      <c r="BX172" s="192"/>
      <c r="BY172" s="192"/>
      <c r="BZ172" s="192"/>
      <c r="CA172" s="192"/>
      <c r="CB172" s="192"/>
      <c r="CC172" s="192"/>
      <c r="CD172" s="192"/>
      <c r="CE172" s="192"/>
      <c r="CF172" s="192"/>
      <c r="CG172" s="192"/>
      <c r="CH172" s="192"/>
      <c r="CI172" s="796"/>
      <c r="CJ172" s="796"/>
      <c r="CK172" s="192"/>
      <c r="CL172" s="192"/>
      <c r="CM172" s="192"/>
      <c r="CN172" s="192"/>
      <c r="CO172" s="192"/>
      <c r="CP172" s="192"/>
      <c r="CQ172" s="192"/>
      <c r="CR172" s="192"/>
      <c r="CS172" s="192"/>
      <c r="CT172" s="192"/>
      <c r="CU172" s="192"/>
      <c r="CV172" s="192"/>
      <c r="CW172" s="192"/>
      <c r="CX172" s="192"/>
      <c r="CY172" s="192"/>
    </row>
    <row r="173" spans="1:103" ht="23.25">
      <c r="A173" s="859">
        <f>COUNTIFS(K184:K213,"a",H184:H213,"&gt;0")</f>
        <v>0</v>
      </c>
      <c r="B173" s="859">
        <f>COUNTIFS(X184:X213,"a",U184:U213,"&gt;0")</f>
        <v>0</v>
      </c>
      <c r="C173" s="859">
        <f>COUNTIFS(K184:K213,"b",H184:H213,"&gt;0")</f>
        <v>0</v>
      </c>
      <c r="D173" s="859">
        <f>COUNTIFS(X184:X213,"b",U184:U213,"&gt;0")</f>
        <v>0</v>
      </c>
      <c r="E173" s="859">
        <f>COUNTIFS(K184:K213,"c",H184:H213,"&gt;0")</f>
        <v>0</v>
      </c>
      <c r="F173" s="859">
        <f>COUNTIFS(X184:X213,"c",U184:U213,"&gt;0")</f>
        <v>0</v>
      </c>
      <c r="G173" s="859">
        <f>COUNTIFS(K184:K213,"d",H184:H213,"&gt;0")</f>
        <v>0</v>
      </c>
      <c r="H173" s="859">
        <f>COUNTIFS(X184:X213,"d",U184:U213,"&gt;0")</f>
        <v>0</v>
      </c>
      <c r="I173" s="859">
        <f>COUNTIFS(K184:K213,"e",H184:H213,"&gt;0")</f>
        <v>0</v>
      </c>
      <c r="J173" s="859">
        <f>COUNTIFS(X184:X213,"e",U184:U213,"&gt;0")</f>
        <v>0</v>
      </c>
      <c r="K173" s="859">
        <f>COUNTIFS(K184:K213,"f",H184:H213,"&gt;0")</f>
        <v>0</v>
      </c>
      <c r="L173" s="859">
        <f>COUNTIFS(X184:X213,"f",U184:U213,"&gt;0")</f>
        <v>0</v>
      </c>
      <c r="M173" s="859">
        <f>COUNTIFS(K184:K213,"g",H184:H213,"&gt;0")</f>
        <v>0</v>
      </c>
      <c r="N173" s="859">
        <f>COUNTIFS(X184:X213,"g",U184:U213,"&gt;0")</f>
        <v>0</v>
      </c>
      <c r="O173" s="859">
        <f>COUNTIFS(K184:K213,"h",H184:H213,"&gt;0")</f>
        <v>0</v>
      </c>
      <c r="P173" s="859">
        <f>COUNTIFS(X184:X213,"h",U184:U213,"&gt;0")</f>
        <v>0</v>
      </c>
      <c r="Q173" s="859">
        <f>COUNTIFS(K184:K213,"i",H184:H213,"&gt;0")</f>
        <v>0</v>
      </c>
      <c r="R173" s="859">
        <f>COUNTIFS(X184:X213,"i",U184:U213,"&gt;0")</f>
        <v>0</v>
      </c>
      <c r="S173" s="860">
        <f>SUM(A173:R173)</f>
        <v>0</v>
      </c>
      <c r="T173" s="860"/>
      <c r="U173" s="860"/>
      <c r="V173" s="860"/>
      <c r="W173" s="2131" t="s">
        <v>472</v>
      </c>
      <c r="X173" s="2131"/>
      <c r="Y173" s="2131">
        <v>5</v>
      </c>
      <c r="Z173" s="2131"/>
      <c r="AA173" s="870"/>
      <c r="AB173" s="870"/>
      <c r="AC173" s="870"/>
      <c r="AD173" s="870"/>
      <c r="AE173" s="870"/>
      <c r="AF173" s="870"/>
      <c r="AG173" s="870"/>
      <c r="AH173" s="870"/>
      <c r="AI173" s="870"/>
      <c r="AJ173" s="870"/>
      <c r="AK173" s="870"/>
      <c r="AL173" s="870"/>
      <c r="AM173" s="870"/>
      <c r="AN173" s="870"/>
      <c r="AO173" s="870"/>
      <c r="AP173" s="870"/>
      <c r="AQ173" s="870"/>
      <c r="AR173" s="870"/>
      <c r="AS173" s="870"/>
      <c r="AT173" s="870"/>
      <c r="AU173" s="870"/>
      <c r="AV173" s="870"/>
      <c r="AW173" s="870"/>
      <c r="AX173" s="870"/>
      <c r="AY173" s="870"/>
      <c r="AZ173" s="870"/>
      <c r="BA173" s="67">
        <v>161</v>
      </c>
      <c r="BB173" s="68">
        <f t="shared" si="52"/>
        <v>0</v>
      </c>
      <c r="BC173" s="192">
        <f t="shared" si="53"/>
        <v>0</v>
      </c>
      <c r="BD173" s="70">
        <f t="shared" si="51"/>
        <v>0</v>
      </c>
      <c r="BE173" s="70">
        <f t="shared" si="51"/>
        <v>0</v>
      </c>
      <c r="BF173" s="192"/>
      <c r="BG173" s="192"/>
      <c r="BH173" s="192"/>
      <c r="BI173" s="192"/>
      <c r="BJ173" s="192"/>
      <c r="BK173" s="192"/>
      <c r="BL173" s="192"/>
      <c r="BM173" s="192"/>
      <c r="BN173" s="192"/>
      <c r="BO173" s="192"/>
      <c r="BP173" s="192"/>
      <c r="BQ173" s="192"/>
      <c r="BR173" s="192"/>
      <c r="BS173" s="192"/>
      <c r="BT173" s="192"/>
      <c r="BU173" s="192"/>
      <c r="BV173" s="192"/>
      <c r="BW173" s="192"/>
      <c r="BX173" s="192"/>
      <c r="BY173" s="192"/>
      <c r="BZ173" s="192"/>
      <c r="CA173" s="192"/>
      <c r="CB173" s="192"/>
      <c r="CC173" s="192"/>
      <c r="CD173" s="192"/>
      <c r="CE173" s="192"/>
      <c r="CF173" s="192"/>
      <c r="CG173" s="192"/>
      <c r="CH173" s="192"/>
      <c r="CI173" s="796"/>
      <c r="CJ173" s="796"/>
      <c r="CK173" s="192"/>
      <c r="CL173" s="192"/>
      <c r="CM173" s="192"/>
      <c r="CN173" s="192"/>
      <c r="CO173" s="192"/>
      <c r="CP173" s="192"/>
      <c r="CQ173" s="192"/>
      <c r="CR173" s="192"/>
      <c r="CS173" s="192"/>
      <c r="CT173" s="192"/>
      <c r="CU173" s="192"/>
      <c r="CV173" s="192"/>
      <c r="CW173" s="192"/>
      <c r="CX173" s="192"/>
      <c r="CY173" s="192"/>
    </row>
    <row r="174" spans="1:103" s="43" customFormat="1" ht="23.25">
      <c r="A174" s="859">
        <f>COUNTIFS(K184:K213,"a",I184:I213,"&gt;0")</f>
        <v>0</v>
      </c>
      <c r="B174" s="859">
        <f>COUNTIFS(X184:X213,"a",V184:V213,"&gt;0")</f>
        <v>0</v>
      </c>
      <c r="C174" s="859">
        <f>COUNTIFS(K184:K213,"b",I184:I213,"&gt;0")</f>
        <v>0</v>
      </c>
      <c r="D174" s="859">
        <f>COUNTIFS(X184:X213,"b",V184:V213,"&gt;0")</f>
        <v>0</v>
      </c>
      <c r="E174" s="859">
        <f>COUNTIFS(K184:K213,"c",I184:I213,"&gt;0")</f>
        <v>0</v>
      </c>
      <c r="F174" s="859">
        <f>COUNTIFS(X184:X213,"c",V184:V213,"&gt;0")</f>
        <v>0</v>
      </c>
      <c r="G174" s="859">
        <f>COUNTIFS(K184:K213,"d",I184:I213,"&gt;0")</f>
        <v>0</v>
      </c>
      <c r="H174" s="859">
        <f>COUNTIFS(X184:X213,"d",V184:V213,"&gt;0")</f>
        <v>0</v>
      </c>
      <c r="I174" s="859">
        <f>COUNTIFS(K184:K213,"e",I184:I213,"&gt;0")</f>
        <v>0</v>
      </c>
      <c r="J174" s="859">
        <f>COUNTIFS(X184:X213,"e",V184:V213,"&gt;0")</f>
        <v>0</v>
      </c>
      <c r="K174" s="859">
        <f>COUNTIFS(K184:K213,"f",I184:I213,"&gt;0")</f>
        <v>0</v>
      </c>
      <c r="L174" s="859">
        <f>COUNTIFS(X184:X213,"f",V184:V213,"&gt;0")</f>
        <v>0</v>
      </c>
      <c r="M174" s="859">
        <f>COUNTIFS(K184:K213,"g",I184:I213,"&gt;0")</f>
        <v>0</v>
      </c>
      <c r="N174" s="859">
        <f>COUNTIFS(X184:X213,"g",V184:V213,"&gt;0")</f>
        <v>0</v>
      </c>
      <c r="O174" s="859">
        <f>COUNTIFS(K184:K213,"h",I184:I213,"&gt;0")</f>
        <v>0</v>
      </c>
      <c r="P174" s="859">
        <f>COUNTIFS(X184:X213,"h",V184:V213,"&gt;0")</f>
        <v>0</v>
      </c>
      <c r="Q174" s="859">
        <f>COUNTIFS(K184:K213,"i",I184:I213,"&gt;0")</f>
        <v>0</v>
      </c>
      <c r="R174" s="859">
        <f>COUNTIFS(X184:X213,"i",V184:V213,"&gt;0")</f>
        <v>0</v>
      </c>
      <c r="S174" s="860">
        <f>SUM(A174:R174)</f>
        <v>0</v>
      </c>
      <c r="T174" s="860"/>
      <c r="U174" s="860"/>
      <c r="V174" s="860"/>
      <c r="W174" s="861"/>
      <c r="X174" s="861"/>
      <c r="Y174" s="861"/>
      <c r="Z174" s="861"/>
      <c r="AA174" s="870"/>
      <c r="AB174" s="870"/>
      <c r="AC174" s="870"/>
      <c r="AD174" s="870"/>
      <c r="AE174" s="870"/>
      <c r="AF174" s="870"/>
      <c r="AG174" s="870"/>
      <c r="AH174" s="870"/>
      <c r="AI174" s="870"/>
      <c r="AJ174" s="870"/>
      <c r="AK174" s="870"/>
      <c r="AL174" s="870"/>
      <c r="AM174" s="870"/>
      <c r="AN174" s="870"/>
      <c r="AO174" s="870"/>
      <c r="AP174" s="870"/>
      <c r="AQ174" s="870"/>
      <c r="AR174" s="870"/>
      <c r="AS174" s="870"/>
      <c r="AT174" s="870"/>
      <c r="AU174" s="870"/>
      <c r="AV174" s="870"/>
      <c r="AW174" s="870"/>
      <c r="AX174" s="870"/>
      <c r="AY174" s="870"/>
      <c r="AZ174" s="870"/>
      <c r="BA174" s="67">
        <v>162</v>
      </c>
      <c r="BB174" s="68">
        <f t="shared" si="52"/>
        <v>0</v>
      </c>
      <c r="BC174" s="192">
        <f t="shared" si="53"/>
        <v>0</v>
      </c>
      <c r="BD174" s="70">
        <f t="shared" si="51"/>
        <v>0</v>
      </c>
      <c r="BE174" s="70">
        <f t="shared" si="51"/>
        <v>0</v>
      </c>
      <c r="BF174" s="192"/>
      <c r="BG174" s="192"/>
      <c r="BH174" s="192"/>
      <c r="BI174" s="192"/>
      <c r="BJ174" s="192"/>
      <c r="BK174" s="192"/>
      <c r="BL174" s="192"/>
      <c r="BM174" s="192"/>
      <c r="BN174" s="192"/>
      <c r="BO174" s="192"/>
      <c r="BP174" s="192"/>
      <c r="BQ174" s="192"/>
      <c r="BR174" s="192"/>
      <c r="BS174" s="192"/>
      <c r="BT174" s="192"/>
      <c r="BU174" s="192"/>
      <c r="BV174" s="192"/>
      <c r="BW174" s="192"/>
      <c r="BX174" s="192"/>
      <c r="BY174" s="192"/>
      <c r="BZ174" s="192"/>
      <c r="CA174" s="192"/>
      <c r="CB174" s="192"/>
      <c r="CC174" s="192"/>
      <c r="CD174" s="192"/>
      <c r="CE174" s="192"/>
      <c r="CF174" s="192"/>
      <c r="CG174" s="192"/>
      <c r="CH174" s="192"/>
      <c r="CI174" s="796"/>
      <c r="CJ174" s="796"/>
      <c r="CK174" s="192"/>
      <c r="CL174" s="192"/>
      <c r="CM174" s="192"/>
      <c r="CN174" s="192"/>
      <c r="CO174" s="192"/>
      <c r="CP174" s="192"/>
      <c r="CQ174" s="192"/>
      <c r="CR174" s="192"/>
      <c r="CS174" s="192"/>
      <c r="CT174" s="192"/>
      <c r="CU174" s="192"/>
      <c r="CV174" s="192"/>
      <c r="CW174" s="192"/>
      <c r="CX174" s="192"/>
      <c r="CY174" s="192"/>
    </row>
    <row r="175" spans="1:103" ht="36" customHeight="1">
      <c r="A175" s="2130" t="s">
        <v>84</v>
      </c>
      <c r="B175" s="2130"/>
      <c r="C175" s="2126">
        <f>C4</f>
        <v>0</v>
      </c>
      <c r="D175" s="2126"/>
      <c r="E175" s="2126"/>
      <c r="F175" s="2126"/>
      <c r="G175" s="2126"/>
      <c r="H175" s="2126"/>
      <c r="I175" s="2126"/>
      <c r="J175" s="2126"/>
      <c r="K175" s="2126"/>
      <c r="L175" s="2126"/>
      <c r="M175" s="2126"/>
      <c r="N175" s="2126"/>
      <c r="O175" s="2126"/>
      <c r="P175" s="2126"/>
      <c r="Q175" s="2126"/>
      <c r="R175" s="2126"/>
      <c r="S175" s="2126"/>
      <c r="T175" s="2126"/>
      <c r="U175" s="862"/>
      <c r="V175" s="862"/>
      <c r="W175" s="862"/>
      <c r="X175" s="862"/>
      <c r="Y175" s="862"/>
      <c r="Z175" s="862"/>
      <c r="AA175" s="870"/>
      <c r="AB175" s="870"/>
      <c r="AC175" s="870"/>
      <c r="AD175" s="870"/>
      <c r="AE175" s="870"/>
      <c r="AF175" s="870"/>
      <c r="AG175" s="870"/>
      <c r="AH175" s="870"/>
      <c r="AI175" s="870"/>
      <c r="AJ175" s="870"/>
      <c r="AK175" s="870"/>
      <c r="AL175" s="870"/>
      <c r="AM175" s="870"/>
      <c r="AN175" s="870"/>
      <c r="AO175" s="870"/>
      <c r="AP175" s="870"/>
      <c r="AQ175" s="870"/>
      <c r="AR175" s="870"/>
      <c r="AS175" s="870"/>
      <c r="AT175" s="870"/>
      <c r="AU175" s="870"/>
      <c r="AV175" s="870"/>
      <c r="AW175" s="870"/>
      <c r="AX175" s="870"/>
      <c r="AY175" s="870"/>
      <c r="AZ175" s="870"/>
      <c r="BA175" s="67">
        <v>163</v>
      </c>
      <c r="BB175" s="68">
        <f t="shared" si="52"/>
        <v>0</v>
      </c>
      <c r="BC175" s="192">
        <f t="shared" si="53"/>
        <v>0</v>
      </c>
      <c r="BD175" s="70">
        <f t="shared" si="51"/>
        <v>0</v>
      </c>
      <c r="BE175" s="70">
        <f t="shared" si="51"/>
        <v>0</v>
      </c>
      <c r="BF175" s="192"/>
      <c r="BG175" s="192"/>
      <c r="BH175" s="192"/>
      <c r="BI175" s="192"/>
      <c r="BJ175" s="192"/>
      <c r="BK175" s="192"/>
      <c r="BL175" s="192"/>
      <c r="BM175" s="192"/>
      <c r="BN175" s="192"/>
      <c r="BO175" s="192"/>
      <c r="BP175" s="192"/>
      <c r="BQ175" s="192"/>
      <c r="BR175" s="192"/>
      <c r="BS175" s="192"/>
      <c r="BT175" s="192"/>
      <c r="BU175" s="192"/>
      <c r="BV175" s="192"/>
      <c r="BW175" s="192"/>
      <c r="BX175" s="192"/>
      <c r="BY175" s="192"/>
      <c r="BZ175" s="192"/>
      <c r="CA175" s="192"/>
      <c r="CB175" s="192"/>
      <c r="CC175" s="192"/>
      <c r="CD175" s="192"/>
      <c r="CE175" s="192"/>
      <c r="CF175" s="192"/>
      <c r="CG175" s="192"/>
      <c r="CH175" s="192"/>
      <c r="CI175" s="796"/>
      <c r="CJ175" s="796"/>
      <c r="CK175" s="192"/>
      <c r="CL175" s="192"/>
      <c r="CM175" s="192"/>
      <c r="CN175" s="192"/>
      <c r="CO175" s="192"/>
      <c r="CP175" s="192"/>
      <c r="CQ175" s="192"/>
      <c r="CR175" s="192"/>
      <c r="CS175" s="192"/>
      <c r="CT175" s="192"/>
      <c r="CU175" s="192"/>
      <c r="CV175" s="192"/>
      <c r="CW175" s="192"/>
      <c r="CX175" s="192"/>
      <c r="CY175" s="192"/>
    </row>
    <row r="176" spans="1:103" ht="15" customHeight="1">
      <c r="A176" s="2130" t="s">
        <v>82</v>
      </c>
      <c r="B176" s="2130"/>
      <c r="C176" s="2126">
        <f>C5</f>
        <v>0</v>
      </c>
      <c r="D176" s="2126"/>
      <c r="E176" s="2125" t="s">
        <v>16</v>
      </c>
      <c r="F176" s="2126">
        <f>F5</f>
        <v>0</v>
      </c>
      <c r="G176" s="2125" t="s">
        <v>15</v>
      </c>
      <c r="H176" s="2126">
        <f>H5</f>
        <v>0</v>
      </c>
      <c r="I176" s="2125" t="s">
        <v>14</v>
      </c>
      <c r="J176" s="2125" t="s">
        <v>436</v>
      </c>
      <c r="K176" s="2126">
        <f>K5</f>
        <v>0</v>
      </c>
      <c r="L176" s="2125" t="s">
        <v>439</v>
      </c>
      <c r="M176" s="2125" t="s">
        <v>443</v>
      </c>
      <c r="N176" s="2126">
        <f>N5</f>
        <v>0</v>
      </c>
      <c r="O176" s="2125" t="s">
        <v>15</v>
      </c>
      <c r="P176" s="2126">
        <f>P5</f>
        <v>0</v>
      </c>
      <c r="Q176" s="2125" t="s">
        <v>14</v>
      </c>
      <c r="R176" s="2125" t="s">
        <v>436</v>
      </c>
      <c r="S176" s="2126">
        <f>S5</f>
        <v>0</v>
      </c>
      <c r="T176" s="2125" t="s">
        <v>37</v>
      </c>
      <c r="U176" s="2125"/>
      <c r="V176" s="2125"/>
      <c r="W176" s="863">
        <f>W133</f>
        <v>0</v>
      </c>
      <c r="X176" s="859" t="s">
        <v>46</v>
      </c>
      <c r="Y176" s="863" t="str">
        <f>Y133</f>
        <v/>
      </c>
      <c r="Z176" s="859" t="s">
        <v>14</v>
      </c>
      <c r="AA176" s="871"/>
      <c r="AB176" s="871"/>
      <c r="AC176" s="871"/>
      <c r="AD176" s="871"/>
      <c r="AE176" s="871"/>
      <c r="AF176" s="871"/>
      <c r="AG176" s="871"/>
      <c r="AH176" s="871"/>
      <c r="AI176" s="871"/>
      <c r="AJ176" s="871"/>
      <c r="AK176" s="871"/>
      <c r="AL176" s="871"/>
      <c r="AM176" s="871"/>
      <c r="AN176" s="871"/>
      <c r="AO176" s="871"/>
      <c r="AP176" s="871"/>
      <c r="AQ176" s="871"/>
      <c r="AR176" s="871"/>
      <c r="AS176" s="871"/>
      <c r="AT176" s="871"/>
      <c r="AU176" s="871"/>
      <c r="AV176" s="871"/>
      <c r="AW176" s="871"/>
      <c r="AX176" s="871"/>
      <c r="AY176" s="871"/>
      <c r="AZ176" s="871"/>
      <c r="BA176" s="67">
        <v>164</v>
      </c>
      <c r="BB176" s="68">
        <f t="shared" si="52"/>
        <v>0</v>
      </c>
      <c r="BC176" s="192">
        <f t="shared" si="53"/>
        <v>0</v>
      </c>
      <c r="BD176" s="70">
        <f t="shared" si="51"/>
        <v>0</v>
      </c>
      <c r="BE176" s="70">
        <f t="shared" si="51"/>
        <v>0</v>
      </c>
      <c r="BF176" s="192"/>
      <c r="BG176" s="192"/>
      <c r="BH176" s="192"/>
      <c r="BI176" s="192"/>
      <c r="BJ176" s="192"/>
      <c r="BK176" s="192"/>
      <c r="BL176" s="192"/>
      <c r="BM176" s="192"/>
      <c r="BN176" s="192"/>
      <c r="BO176" s="192"/>
      <c r="BP176" s="192"/>
      <c r="BQ176" s="192"/>
      <c r="BR176" s="192"/>
      <c r="BS176" s="192"/>
      <c r="BT176" s="192"/>
      <c r="BU176" s="192"/>
      <c r="BV176" s="192"/>
      <c r="BW176" s="192"/>
      <c r="BX176" s="192"/>
      <c r="BY176" s="192"/>
      <c r="BZ176" s="192"/>
      <c r="CA176" s="192"/>
      <c r="CB176" s="192"/>
      <c r="CC176" s="192"/>
      <c r="CD176" s="192"/>
      <c r="CE176" s="192"/>
      <c r="CF176" s="192"/>
      <c r="CG176" s="192"/>
      <c r="CH176" s="192"/>
      <c r="CI176" s="796"/>
      <c r="CJ176" s="796"/>
      <c r="CK176" s="192"/>
      <c r="CL176" s="192"/>
      <c r="CM176" s="192"/>
      <c r="CN176" s="192"/>
      <c r="CO176" s="192"/>
      <c r="CP176" s="192"/>
      <c r="CQ176" s="192"/>
      <c r="CR176" s="192"/>
      <c r="CS176" s="192"/>
      <c r="CT176" s="192"/>
      <c r="CU176" s="192"/>
      <c r="CV176" s="192"/>
      <c r="CW176" s="192"/>
      <c r="CX176" s="192"/>
      <c r="CY176" s="192"/>
    </row>
    <row r="177" spans="1:103" ht="15" customHeight="1">
      <c r="A177" s="2130"/>
      <c r="B177" s="2130"/>
      <c r="C177" s="2126"/>
      <c r="D177" s="2126"/>
      <c r="E177" s="2125"/>
      <c r="F177" s="2126"/>
      <c r="G177" s="2125"/>
      <c r="H177" s="2126"/>
      <c r="I177" s="2125"/>
      <c r="J177" s="2125"/>
      <c r="K177" s="2126"/>
      <c r="L177" s="2125"/>
      <c r="M177" s="2125"/>
      <c r="N177" s="2126"/>
      <c r="O177" s="2125"/>
      <c r="P177" s="2126"/>
      <c r="Q177" s="2125"/>
      <c r="R177" s="2125"/>
      <c r="S177" s="2126"/>
      <c r="T177" s="2125"/>
      <c r="U177" s="2125"/>
      <c r="V177" s="2125"/>
      <c r="W177" s="2125" t="s">
        <v>47</v>
      </c>
      <c r="X177" s="2125"/>
      <c r="Y177" s="864" t="str">
        <f>Y134</f>
        <v/>
      </c>
      <c r="Z177" s="859" t="s">
        <v>14</v>
      </c>
      <c r="AA177" s="871"/>
      <c r="AB177" s="871"/>
      <c r="AC177" s="871"/>
      <c r="AD177" s="871"/>
      <c r="AE177" s="871"/>
      <c r="AF177" s="871"/>
      <c r="AG177" s="871"/>
      <c r="AH177" s="871"/>
      <c r="AI177" s="871"/>
      <c r="AJ177" s="871"/>
      <c r="AK177" s="871"/>
      <c r="AL177" s="871"/>
      <c r="AM177" s="871"/>
      <c r="AN177" s="871"/>
      <c r="AO177" s="871"/>
      <c r="AP177" s="871"/>
      <c r="AQ177" s="871"/>
      <c r="AR177" s="871"/>
      <c r="AS177" s="871"/>
      <c r="AT177" s="871"/>
      <c r="AU177" s="871"/>
      <c r="AV177" s="871"/>
      <c r="AW177" s="871"/>
      <c r="AX177" s="871"/>
      <c r="AY177" s="871"/>
      <c r="AZ177" s="871"/>
      <c r="BA177" s="67">
        <v>165</v>
      </c>
      <c r="BB177" s="68">
        <f t="shared" si="52"/>
        <v>0</v>
      </c>
      <c r="BC177" s="192">
        <f t="shared" si="53"/>
        <v>0</v>
      </c>
      <c r="BD177" s="70">
        <f t="shared" si="51"/>
        <v>0</v>
      </c>
      <c r="BE177" s="70">
        <f t="shared" si="51"/>
        <v>0</v>
      </c>
      <c r="BF177" s="192"/>
      <c r="BG177" s="192"/>
      <c r="BH177" s="192"/>
      <c r="BI177" s="192"/>
      <c r="BJ177" s="192"/>
      <c r="BK177" s="192"/>
      <c r="BL177" s="192"/>
      <c r="BM177" s="192"/>
      <c r="BN177" s="192"/>
      <c r="BO177" s="192"/>
      <c r="BP177" s="192"/>
      <c r="BQ177" s="192"/>
      <c r="BR177" s="192"/>
      <c r="BS177" s="192"/>
      <c r="BT177" s="192"/>
      <c r="BU177" s="192"/>
      <c r="BV177" s="192"/>
      <c r="BW177" s="192"/>
      <c r="BX177" s="192"/>
      <c r="BY177" s="192"/>
      <c r="BZ177" s="192"/>
      <c r="CA177" s="192"/>
      <c r="CB177" s="192"/>
      <c r="CC177" s="192"/>
      <c r="CD177" s="192"/>
      <c r="CE177" s="192"/>
      <c r="CF177" s="192"/>
      <c r="CG177" s="192"/>
      <c r="CH177" s="192"/>
      <c r="CI177" s="796"/>
      <c r="CJ177" s="796"/>
      <c r="CK177" s="192"/>
      <c r="CL177" s="192"/>
      <c r="CM177" s="192"/>
      <c r="CN177" s="192"/>
      <c r="CO177" s="192"/>
      <c r="CP177" s="192"/>
      <c r="CQ177" s="192"/>
      <c r="CR177" s="192"/>
      <c r="CS177" s="192"/>
      <c r="CT177" s="192"/>
      <c r="CU177" s="192"/>
      <c r="CV177" s="192"/>
      <c r="CW177" s="192"/>
      <c r="CX177" s="192"/>
      <c r="CY177" s="192"/>
    </row>
    <row r="178" spans="1:103" ht="24.95" customHeight="1">
      <c r="A178" s="865"/>
      <c r="B178" s="865"/>
      <c r="C178" s="865"/>
      <c r="D178" s="865"/>
      <c r="E178" s="865"/>
      <c r="F178" s="865"/>
      <c r="G178" s="865"/>
      <c r="H178" s="865"/>
      <c r="I178" s="865"/>
      <c r="J178" s="865"/>
      <c r="K178" s="865"/>
      <c r="L178" s="865"/>
      <c r="M178" s="865"/>
      <c r="N178" s="865"/>
      <c r="O178" s="865"/>
      <c r="P178" s="865"/>
      <c r="Q178" s="865"/>
      <c r="R178" s="865"/>
      <c r="S178" s="865"/>
      <c r="T178" s="865"/>
      <c r="U178" s="865"/>
      <c r="V178" s="865"/>
      <c r="W178" s="865"/>
      <c r="X178" s="865"/>
      <c r="Y178" s="865"/>
      <c r="Z178" s="865"/>
      <c r="AA178" s="871"/>
      <c r="AB178" s="871"/>
      <c r="AC178" s="871"/>
      <c r="AD178" s="871"/>
      <c r="AE178" s="871"/>
      <c r="AF178" s="871"/>
      <c r="AG178" s="871"/>
      <c r="AH178" s="871"/>
      <c r="AI178" s="871"/>
      <c r="AJ178" s="871"/>
      <c r="AK178" s="871"/>
      <c r="AL178" s="871"/>
      <c r="AM178" s="871"/>
      <c r="AN178" s="871"/>
      <c r="AO178" s="871"/>
      <c r="AP178" s="871"/>
      <c r="AQ178" s="871"/>
      <c r="AR178" s="871"/>
      <c r="AS178" s="871"/>
      <c r="AT178" s="871"/>
      <c r="AU178" s="871"/>
      <c r="AV178" s="871"/>
      <c r="AW178" s="871"/>
      <c r="AX178" s="871"/>
      <c r="AY178" s="871"/>
      <c r="AZ178" s="871"/>
      <c r="BA178" s="67">
        <v>166</v>
      </c>
      <c r="BB178" s="68">
        <f t="shared" si="52"/>
        <v>0</v>
      </c>
      <c r="BC178" s="192">
        <f t="shared" si="53"/>
        <v>0</v>
      </c>
      <c r="BD178" s="70">
        <f t="shared" si="51"/>
        <v>0</v>
      </c>
      <c r="BE178" s="70">
        <f t="shared" si="51"/>
        <v>0</v>
      </c>
      <c r="BF178" s="192"/>
      <c r="BG178" s="192"/>
      <c r="BH178" s="192"/>
      <c r="BI178" s="192"/>
      <c r="BJ178" s="192"/>
      <c r="BK178" s="192"/>
      <c r="BL178" s="192"/>
      <c r="BM178" s="192"/>
      <c r="BN178" s="192"/>
      <c r="BO178" s="192"/>
      <c r="BP178" s="192"/>
      <c r="BQ178" s="192"/>
      <c r="BR178" s="192"/>
      <c r="BS178" s="192"/>
      <c r="BT178" s="192"/>
      <c r="BU178" s="192"/>
      <c r="BV178" s="192"/>
      <c r="BW178" s="192"/>
      <c r="BX178" s="192"/>
      <c r="BY178" s="192"/>
      <c r="BZ178" s="192"/>
      <c r="CA178" s="192"/>
      <c r="CB178" s="192"/>
      <c r="CC178" s="192"/>
      <c r="CD178" s="192"/>
      <c r="CE178" s="192"/>
      <c r="CF178" s="192"/>
      <c r="CG178" s="192"/>
      <c r="CH178" s="192"/>
      <c r="CI178" s="796"/>
      <c r="CJ178" s="796"/>
      <c r="CK178" s="192"/>
      <c r="CL178" s="192"/>
      <c r="CM178" s="192"/>
      <c r="CN178" s="192"/>
      <c r="CO178" s="192"/>
      <c r="CP178" s="192"/>
      <c r="CQ178" s="192"/>
      <c r="CR178" s="192"/>
      <c r="CS178" s="192"/>
      <c r="CT178" s="192"/>
      <c r="CU178" s="192"/>
      <c r="CV178" s="192"/>
      <c r="CW178" s="192"/>
      <c r="CX178" s="192"/>
      <c r="CY178" s="192"/>
    </row>
    <row r="179" spans="1:103" ht="13.5" customHeight="1">
      <c r="A179" s="2125" t="s">
        <v>465</v>
      </c>
      <c r="B179" s="2128" t="s">
        <v>163</v>
      </c>
      <c r="C179" s="2128"/>
      <c r="D179" s="2128"/>
      <c r="E179" s="2128"/>
      <c r="F179" s="2128"/>
      <c r="G179" s="2128"/>
      <c r="H179" s="2129" t="s">
        <v>164</v>
      </c>
      <c r="I179" s="2128"/>
      <c r="J179" s="2128" t="s">
        <v>165</v>
      </c>
      <c r="K179" s="2128"/>
      <c r="L179" s="2128"/>
      <c r="M179" s="2128"/>
      <c r="N179" s="2125" t="s">
        <v>465</v>
      </c>
      <c r="O179" s="2128" t="s">
        <v>163</v>
      </c>
      <c r="P179" s="2128"/>
      <c r="Q179" s="2128"/>
      <c r="R179" s="2128"/>
      <c r="S179" s="2128"/>
      <c r="T179" s="2128"/>
      <c r="U179" s="2129" t="s">
        <v>164</v>
      </c>
      <c r="V179" s="2128"/>
      <c r="W179" s="2128" t="s">
        <v>165</v>
      </c>
      <c r="X179" s="2128"/>
      <c r="Y179" s="2128"/>
      <c r="Z179" s="2128"/>
      <c r="AA179" s="871"/>
      <c r="AB179" s="871"/>
      <c r="AC179" s="871"/>
      <c r="AD179" s="871"/>
      <c r="AE179" s="871"/>
      <c r="AF179" s="871"/>
      <c r="AG179" s="871"/>
      <c r="AH179" s="871"/>
      <c r="AI179" s="871"/>
      <c r="AJ179" s="871"/>
      <c r="AK179" s="871"/>
      <c r="AL179" s="871"/>
      <c r="AM179" s="871"/>
      <c r="AN179" s="871"/>
      <c r="AO179" s="871"/>
      <c r="AP179" s="871"/>
      <c r="AQ179" s="871"/>
      <c r="AR179" s="871"/>
      <c r="AS179" s="871"/>
      <c r="AT179" s="871"/>
      <c r="AU179" s="871"/>
      <c r="AV179" s="871"/>
      <c r="AW179" s="871"/>
      <c r="AX179" s="871"/>
      <c r="AY179" s="871"/>
      <c r="AZ179" s="871"/>
      <c r="BA179" s="67">
        <v>167</v>
      </c>
      <c r="BB179" s="68">
        <f t="shared" si="52"/>
        <v>0</v>
      </c>
      <c r="BC179" s="192">
        <f t="shared" si="53"/>
        <v>0</v>
      </c>
      <c r="BD179" s="70">
        <f t="shared" si="51"/>
        <v>0</v>
      </c>
      <c r="BE179" s="70">
        <f t="shared" si="51"/>
        <v>0</v>
      </c>
      <c r="BF179" s="192"/>
      <c r="BG179" s="192"/>
      <c r="BH179" s="192"/>
      <c r="BI179" s="192"/>
      <c r="BJ179" s="192"/>
      <c r="BK179" s="192"/>
      <c r="BL179" s="192"/>
      <c r="BM179" s="192"/>
      <c r="BN179" s="192"/>
      <c r="BO179" s="192"/>
      <c r="BP179" s="192"/>
      <c r="BQ179" s="192"/>
      <c r="BR179" s="192"/>
      <c r="BS179" s="192"/>
      <c r="BT179" s="192"/>
      <c r="BU179" s="192"/>
      <c r="BV179" s="192"/>
      <c r="BW179" s="192"/>
      <c r="BX179" s="192"/>
      <c r="BY179" s="192"/>
      <c r="BZ179" s="192"/>
      <c r="CA179" s="192"/>
      <c r="CB179" s="192"/>
      <c r="CC179" s="192"/>
      <c r="CD179" s="192"/>
      <c r="CE179" s="192"/>
      <c r="CF179" s="192"/>
      <c r="CG179" s="192"/>
      <c r="CH179" s="192"/>
      <c r="CI179" s="796"/>
      <c r="CJ179" s="796"/>
      <c r="CK179" s="192"/>
      <c r="CL179" s="192"/>
      <c r="CM179" s="192"/>
      <c r="CN179" s="192"/>
      <c r="CO179" s="192"/>
      <c r="CP179" s="192"/>
      <c r="CQ179" s="192"/>
      <c r="CR179" s="192"/>
      <c r="CS179" s="192"/>
      <c r="CT179" s="192"/>
      <c r="CU179" s="192"/>
      <c r="CV179" s="192"/>
      <c r="CW179" s="192"/>
      <c r="CX179" s="192"/>
      <c r="CY179" s="192"/>
    </row>
    <row r="180" spans="1:103">
      <c r="A180" s="2125"/>
      <c r="B180" s="2128"/>
      <c r="C180" s="2128"/>
      <c r="D180" s="2128"/>
      <c r="E180" s="2128"/>
      <c r="F180" s="2128"/>
      <c r="G180" s="2128"/>
      <c r="H180" s="2128"/>
      <c r="I180" s="2128"/>
      <c r="J180" s="2128"/>
      <c r="K180" s="2128"/>
      <c r="L180" s="2128"/>
      <c r="M180" s="2128"/>
      <c r="N180" s="2125"/>
      <c r="O180" s="2128"/>
      <c r="P180" s="2128"/>
      <c r="Q180" s="2128"/>
      <c r="R180" s="2128"/>
      <c r="S180" s="2128"/>
      <c r="T180" s="2128"/>
      <c r="U180" s="2128"/>
      <c r="V180" s="2128"/>
      <c r="W180" s="2128"/>
      <c r="X180" s="2128"/>
      <c r="Y180" s="2128"/>
      <c r="Z180" s="2128"/>
      <c r="AA180" s="871"/>
      <c r="AB180" s="871"/>
      <c r="AC180" s="871"/>
      <c r="AD180" s="871"/>
      <c r="AE180" s="871"/>
      <c r="AF180" s="871"/>
      <c r="AG180" s="871"/>
      <c r="AH180" s="871"/>
      <c r="AI180" s="871"/>
      <c r="AJ180" s="871"/>
      <c r="AK180" s="871"/>
      <c r="AL180" s="871"/>
      <c r="AM180" s="871"/>
      <c r="AN180" s="871"/>
      <c r="AO180" s="871"/>
      <c r="AP180" s="871"/>
      <c r="AQ180" s="871"/>
      <c r="AR180" s="871"/>
      <c r="AS180" s="871"/>
      <c r="AT180" s="871"/>
      <c r="AU180" s="871"/>
      <c r="AV180" s="871"/>
      <c r="AW180" s="871"/>
      <c r="AX180" s="871"/>
      <c r="AY180" s="871"/>
      <c r="AZ180" s="871"/>
      <c r="BA180" s="67">
        <v>168</v>
      </c>
      <c r="BB180" s="68">
        <f t="shared" si="52"/>
        <v>0</v>
      </c>
      <c r="BC180" s="192">
        <f t="shared" si="53"/>
        <v>0</v>
      </c>
      <c r="BD180" s="70">
        <f t="shared" si="51"/>
        <v>0</v>
      </c>
      <c r="BE180" s="70">
        <f t="shared" si="51"/>
        <v>0</v>
      </c>
      <c r="BF180" s="192"/>
      <c r="BG180" s="192"/>
      <c r="BH180" s="192"/>
      <c r="BI180" s="192"/>
      <c r="BJ180" s="192"/>
      <c r="BK180" s="192"/>
      <c r="BL180" s="192"/>
      <c r="BM180" s="192"/>
      <c r="BN180" s="192"/>
      <c r="BO180" s="192"/>
      <c r="BP180" s="192"/>
      <c r="BQ180" s="192"/>
      <c r="BR180" s="192"/>
      <c r="BS180" s="192"/>
      <c r="BT180" s="192"/>
      <c r="BU180" s="192"/>
      <c r="BV180" s="192"/>
      <c r="BW180" s="192"/>
      <c r="BX180" s="192"/>
      <c r="BY180" s="192"/>
      <c r="BZ180" s="192"/>
      <c r="CA180" s="192"/>
      <c r="CB180" s="192"/>
      <c r="CC180" s="192"/>
      <c r="CD180" s="192"/>
      <c r="CE180" s="192"/>
      <c r="CF180" s="192"/>
      <c r="CG180" s="192"/>
      <c r="CH180" s="192"/>
      <c r="CI180" s="796"/>
      <c r="CJ180" s="796"/>
      <c r="CK180" s="192"/>
      <c r="CL180" s="192"/>
      <c r="CM180" s="192"/>
      <c r="CN180" s="192"/>
      <c r="CO180" s="192"/>
      <c r="CP180" s="192"/>
      <c r="CQ180" s="192"/>
      <c r="CR180" s="192"/>
      <c r="CS180" s="192"/>
      <c r="CT180" s="192"/>
      <c r="CU180" s="192"/>
      <c r="CV180" s="192"/>
      <c r="CW180" s="192"/>
      <c r="CX180" s="192"/>
      <c r="CY180" s="192"/>
    </row>
    <row r="181" spans="1:103" ht="26.1" customHeight="1">
      <c r="A181" s="2125"/>
      <c r="B181" s="2128"/>
      <c r="C181" s="2128"/>
      <c r="D181" s="2128"/>
      <c r="E181" s="2128"/>
      <c r="F181" s="2128"/>
      <c r="G181" s="2128"/>
      <c r="H181" s="2124" t="s">
        <v>48</v>
      </c>
      <c r="I181" s="2124" t="s">
        <v>47</v>
      </c>
      <c r="J181" s="2124" t="s">
        <v>529</v>
      </c>
      <c r="K181" s="2124" t="s">
        <v>528</v>
      </c>
      <c r="L181" s="2124"/>
      <c r="M181" s="2124"/>
      <c r="N181" s="2125"/>
      <c r="O181" s="2128"/>
      <c r="P181" s="2128"/>
      <c r="Q181" s="2128"/>
      <c r="R181" s="2128"/>
      <c r="S181" s="2128"/>
      <c r="T181" s="2128"/>
      <c r="U181" s="2124" t="s">
        <v>48</v>
      </c>
      <c r="V181" s="2124" t="s">
        <v>47</v>
      </c>
      <c r="W181" s="2124" t="s">
        <v>529</v>
      </c>
      <c r="X181" s="2124" t="s">
        <v>528</v>
      </c>
      <c r="Y181" s="2124"/>
      <c r="Z181" s="2124"/>
      <c r="AA181" s="625"/>
      <c r="AB181" s="625"/>
      <c r="AC181" s="625"/>
      <c r="AD181" s="625"/>
      <c r="AE181" s="625"/>
      <c r="AF181" s="625"/>
      <c r="AG181" s="625"/>
      <c r="AH181" s="625"/>
      <c r="AI181" s="625"/>
      <c r="AJ181" s="625"/>
      <c r="AK181" s="625"/>
      <c r="AL181" s="625"/>
      <c r="AM181" s="625"/>
      <c r="AN181" s="625"/>
      <c r="AO181" s="625"/>
      <c r="AP181" s="625"/>
      <c r="AQ181" s="625"/>
      <c r="AR181" s="625"/>
      <c r="AS181" s="625"/>
      <c r="AT181" s="625"/>
      <c r="AU181" s="625"/>
      <c r="AV181" s="625"/>
      <c r="AW181" s="625"/>
      <c r="AX181" s="625"/>
      <c r="AY181" s="625"/>
      <c r="AZ181" s="625"/>
      <c r="BA181" s="67">
        <v>169</v>
      </c>
      <c r="BB181" s="68">
        <f t="shared" si="52"/>
        <v>0</v>
      </c>
      <c r="BC181" s="192">
        <f t="shared" si="53"/>
        <v>0</v>
      </c>
      <c r="BD181" s="70">
        <f t="shared" si="51"/>
        <v>0</v>
      </c>
      <c r="BE181" s="70">
        <f t="shared" si="51"/>
        <v>0</v>
      </c>
      <c r="BF181" s="192"/>
      <c r="BG181" s="192"/>
      <c r="BH181" s="192"/>
      <c r="BI181" s="192"/>
      <c r="BJ181" s="192"/>
      <c r="BK181" s="192"/>
      <c r="BL181" s="192"/>
      <c r="BM181" s="192"/>
      <c r="BN181" s="192"/>
      <c r="BO181" s="192"/>
      <c r="BP181" s="192"/>
      <c r="BQ181" s="192"/>
      <c r="BR181" s="192"/>
      <c r="BS181" s="192"/>
      <c r="BT181" s="192"/>
      <c r="BU181" s="192"/>
      <c r="BV181" s="192"/>
      <c r="BW181" s="192"/>
      <c r="BX181" s="192"/>
      <c r="BY181" s="192"/>
      <c r="BZ181" s="192"/>
      <c r="CA181" s="192"/>
      <c r="CB181" s="192"/>
      <c r="CC181" s="192"/>
      <c r="CD181" s="192"/>
      <c r="CE181" s="192"/>
      <c r="CF181" s="192"/>
      <c r="CG181" s="192"/>
      <c r="CH181" s="192"/>
      <c r="CI181" s="796"/>
      <c r="CJ181" s="796"/>
      <c r="CK181" s="192"/>
      <c r="CL181" s="192"/>
      <c r="CM181" s="192"/>
      <c r="CN181" s="192"/>
      <c r="CO181" s="192"/>
      <c r="CP181" s="192"/>
      <c r="CQ181" s="192"/>
      <c r="CR181" s="192"/>
      <c r="CS181" s="192"/>
      <c r="CT181" s="192"/>
      <c r="CU181" s="192"/>
      <c r="CV181" s="192"/>
      <c r="CW181" s="192"/>
      <c r="CX181" s="192"/>
      <c r="CY181" s="192"/>
    </row>
    <row r="182" spans="1:103" ht="26.1" customHeight="1">
      <c r="A182" s="2125"/>
      <c r="B182" s="2128"/>
      <c r="C182" s="2128"/>
      <c r="D182" s="2128"/>
      <c r="E182" s="2128"/>
      <c r="F182" s="2128"/>
      <c r="G182" s="2128"/>
      <c r="H182" s="2124"/>
      <c r="I182" s="2124"/>
      <c r="J182" s="2124"/>
      <c r="K182" s="2124"/>
      <c r="L182" s="2124"/>
      <c r="M182" s="2124"/>
      <c r="N182" s="2125"/>
      <c r="O182" s="2128"/>
      <c r="P182" s="2128"/>
      <c r="Q182" s="2128"/>
      <c r="R182" s="2128"/>
      <c r="S182" s="2128"/>
      <c r="T182" s="2128"/>
      <c r="U182" s="2124"/>
      <c r="V182" s="2124"/>
      <c r="W182" s="2124"/>
      <c r="X182" s="2124"/>
      <c r="Y182" s="2124"/>
      <c r="Z182" s="2124"/>
      <c r="AA182" s="625"/>
      <c r="AB182" s="625"/>
      <c r="AC182" s="625"/>
      <c r="AD182" s="625"/>
      <c r="AE182" s="625"/>
      <c r="AF182" s="625"/>
      <c r="AG182" s="625"/>
      <c r="AH182" s="625"/>
      <c r="AI182" s="625"/>
      <c r="AJ182" s="625"/>
      <c r="AK182" s="625"/>
      <c r="AL182" s="625"/>
      <c r="AM182" s="625"/>
      <c r="AN182" s="625"/>
      <c r="AO182" s="625"/>
      <c r="AP182" s="625"/>
      <c r="AQ182" s="625"/>
      <c r="AR182" s="625"/>
      <c r="AS182" s="625"/>
      <c r="AT182" s="625"/>
      <c r="AU182" s="625"/>
      <c r="AV182" s="625"/>
      <c r="AW182" s="625"/>
      <c r="AX182" s="625"/>
      <c r="AY182" s="625"/>
      <c r="AZ182" s="625"/>
      <c r="BA182" s="67">
        <v>170</v>
      </c>
      <c r="BB182" s="68">
        <f t="shared" si="52"/>
        <v>0</v>
      </c>
      <c r="BC182" s="192">
        <f t="shared" si="53"/>
        <v>0</v>
      </c>
      <c r="BD182" s="70">
        <f t="shared" si="51"/>
        <v>0</v>
      </c>
      <c r="BE182" s="70">
        <f t="shared" si="51"/>
        <v>0</v>
      </c>
      <c r="BF182" s="192"/>
      <c r="BG182" s="192"/>
      <c r="BH182" s="192"/>
      <c r="BI182" s="192"/>
      <c r="BJ182" s="192"/>
      <c r="BK182" s="192"/>
      <c r="BL182" s="192"/>
      <c r="BM182" s="192"/>
      <c r="BN182" s="192"/>
      <c r="BO182" s="192"/>
      <c r="BP182" s="192"/>
      <c r="BQ182" s="192"/>
      <c r="BR182" s="192"/>
      <c r="BS182" s="192"/>
      <c r="BT182" s="192"/>
      <c r="BU182" s="192"/>
      <c r="BV182" s="192"/>
      <c r="BW182" s="192"/>
      <c r="BX182" s="192"/>
      <c r="BY182" s="192"/>
      <c r="BZ182" s="192"/>
      <c r="CA182" s="192"/>
      <c r="CB182" s="192"/>
      <c r="CC182" s="192"/>
      <c r="CD182" s="192"/>
      <c r="CE182" s="192"/>
      <c r="CF182" s="192"/>
      <c r="CG182" s="192"/>
      <c r="CH182" s="192"/>
      <c r="CI182" s="796"/>
      <c r="CJ182" s="796"/>
      <c r="CK182" s="192"/>
      <c r="CL182" s="192"/>
      <c r="CM182" s="192"/>
      <c r="CN182" s="192"/>
      <c r="CO182" s="192"/>
      <c r="CP182" s="192"/>
      <c r="CQ182" s="192"/>
      <c r="CR182" s="192"/>
      <c r="CS182" s="192"/>
      <c r="CT182" s="192"/>
      <c r="CU182" s="192"/>
      <c r="CV182" s="192"/>
      <c r="CW182" s="192"/>
      <c r="CX182" s="192"/>
      <c r="CY182" s="192"/>
    </row>
    <row r="183" spans="1:103" ht="26.1" customHeight="1">
      <c r="A183" s="2125"/>
      <c r="B183" s="2128"/>
      <c r="C183" s="2128"/>
      <c r="D183" s="2128"/>
      <c r="E183" s="2128"/>
      <c r="F183" s="2128"/>
      <c r="G183" s="2128"/>
      <c r="H183" s="2124"/>
      <c r="I183" s="2124"/>
      <c r="J183" s="2124"/>
      <c r="K183" s="2124"/>
      <c r="L183" s="2124"/>
      <c r="M183" s="2124"/>
      <c r="N183" s="2125"/>
      <c r="O183" s="2128"/>
      <c r="P183" s="2128"/>
      <c r="Q183" s="2128"/>
      <c r="R183" s="2128"/>
      <c r="S183" s="2128"/>
      <c r="T183" s="2128"/>
      <c r="U183" s="2124"/>
      <c r="V183" s="2124"/>
      <c r="W183" s="2124"/>
      <c r="X183" s="2124"/>
      <c r="Y183" s="2124"/>
      <c r="Z183" s="2124"/>
      <c r="AA183" s="625"/>
      <c r="AB183" s="625"/>
      <c r="AC183" s="625"/>
      <c r="AD183" s="625"/>
      <c r="AE183" s="625"/>
      <c r="AF183" s="625"/>
      <c r="AG183" s="625"/>
      <c r="AH183" s="625"/>
      <c r="AI183" s="625"/>
      <c r="AJ183" s="625"/>
      <c r="AK183" s="625"/>
      <c r="AL183" s="625"/>
      <c r="AM183" s="625"/>
      <c r="AN183" s="625"/>
      <c r="AO183" s="625"/>
      <c r="AP183" s="625"/>
      <c r="AQ183" s="625"/>
      <c r="AR183" s="625"/>
      <c r="AS183" s="625"/>
      <c r="AT183" s="625"/>
      <c r="AU183" s="625"/>
      <c r="AV183" s="625"/>
      <c r="AW183" s="625"/>
      <c r="AX183" s="625"/>
      <c r="AY183" s="625"/>
      <c r="AZ183" s="625"/>
      <c r="BA183" s="67">
        <v>171</v>
      </c>
      <c r="BB183" s="68">
        <f>COUNTA(U141:V141)</f>
        <v>0</v>
      </c>
      <c r="BC183" s="192">
        <f>COUNTA(X141)</f>
        <v>0</v>
      </c>
      <c r="BD183" s="70">
        <f t="shared" ref="BD183:BE212" si="54">BB183-COUNTA(H141)</f>
        <v>0</v>
      </c>
      <c r="BE183" s="70">
        <f t="shared" si="54"/>
        <v>0</v>
      </c>
      <c r="BF183" s="840" t="s">
        <v>1363</v>
      </c>
      <c r="BG183" s="796" t="s">
        <v>1364</v>
      </c>
      <c r="BH183" s="796" t="s">
        <v>1365</v>
      </c>
      <c r="BI183" s="796" t="s">
        <v>1362</v>
      </c>
      <c r="BJ183" s="840" t="s">
        <v>1363</v>
      </c>
      <c r="BK183" s="796" t="s">
        <v>1364</v>
      </c>
      <c r="BL183" s="796" t="s">
        <v>1365</v>
      </c>
      <c r="BM183" s="796" t="s">
        <v>1362</v>
      </c>
      <c r="BN183" s="192"/>
      <c r="BO183" s="192"/>
      <c r="BP183" s="192"/>
      <c r="BQ183" s="192"/>
      <c r="BR183" s="192"/>
      <c r="BS183" s="192"/>
      <c r="BT183" s="192"/>
      <c r="BU183" s="192"/>
      <c r="BV183" s="192"/>
      <c r="BW183" s="192"/>
      <c r="BX183" s="192"/>
      <c r="BY183" s="192"/>
      <c r="BZ183" s="192"/>
      <c r="CA183" s="192"/>
      <c r="CB183" s="192"/>
      <c r="CC183" s="192"/>
      <c r="CD183" s="192"/>
      <c r="CE183" s="192"/>
      <c r="CF183" s="192"/>
      <c r="CG183" s="192"/>
      <c r="CH183" s="192"/>
      <c r="CI183" s="796"/>
      <c r="CJ183" s="796"/>
      <c r="CK183" s="192"/>
      <c r="CL183" s="192"/>
      <c r="CM183" s="192"/>
      <c r="CN183" s="192"/>
      <c r="CO183" s="192"/>
      <c r="CP183" s="192"/>
      <c r="CQ183" s="192"/>
      <c r="CR183" s="192"/>
      <c r="CS183" s="192"/>
      <c r="CT183" s="192"/>
      <c r="CU183" s="192"/>
      <c r="CV183" s="192"/>
      <c r="CW183" s="192"/>
      <c r="CX183" s="192"/>
      <c r="CY183" s="192"/>
    </row>
    <row r="184" spans="1:103" ht="24.95" customHeight="1">
      <c r="A184" s="866">
        <v>201</v>
      </c>
      <c r="B184" s="2075"/>
      <c r="C184" s="2075"/>
      <c r="D184" s="2075"/>
      <c r="E184" s="2075"/>
      <c r="F184" s="2075"/>
      <c r="G184" s="2075"/>
      <c r="H184" s="872"/>
      <c r="I184" s="872"/>
      <c r="J184" s="872"/>
      <c r="K184" s="2076"/>
      <c r="L184" s="2076"/>
      <c r="M184" s="2076"/>
      <c r="N184" s="866">
        <v>231</v>
      </c>
      <c r="O184" s="2075"/>
      <c r="P184" s="2075"/>
      <c r="Q184" s="2075"/>
      <c r="R184" s="2075"/>
      <c r="S184" s="2075"/>
      <c r="T184" s="2075"/>
      <c r="U184" s="872"/>
      <c r="V184" s="872"/>
      <c r="W184" s="872"/>
      <c r="X184" s="2076"/>
      <c r="Y184" s="2076"/>
      <c r="Z184" s="2076"/>
      <c r="AA184" s="625"/>
      <c r="AB184" s="625"/>
      <c r="AC184" s="625"/>
      <c r="AD184" s="625"/>
      <c r="AE184" s="625"/>
      <c r="AF184" s="625"/>
      <c r="AG184" s="625"/>
      <c r="AH184" s="625"/>
      <c r="AI184" s="625"/>
      <c r="AJ184" s="625"/>
      <c r="AK184" s="625"/>
      <c r="AL184" s="625"/>
      <c r="AM184" s="625"/>
      <c r="AN184" s="625"/>
      <c r="AO184" s="625"/>
      <c r="AP184" s="625"/>
      <c r="AQ184" s="625"/>
      <c r="AR184" s="625"/>
      <c r="AS184" s="625"/>
      <c r="AT184" s="625"/>
      <c r="AU184" s="625"/>
      <c r="AV184" s="625"/>
      <c r="AW184" s="625"/>
      <c r="AX184" s="625"/>
      <c r="AY184" s="625"/>
      <c r="AZ184" s="625"/>
      <c r="BA184" s="67">
        <v>172</v>
      </c>
      <c r="BB184" s="68">
        <f t="shared" ref="BB184:BB212" si="55">COUNTA(U142:V142)</f>
        <v>0</v>
      </c>
      <c r="BC184" s="192">
        <f t="shared" ref="BC184:BC212" si="56">COUNTA(X142)</f>
        <v>0</v>
      </c>
      <c r="BD184" s="70">
        <f t="shared" si="54"/>
        <v>0</v>
      </c>
      <c r="BE184" s="70">
        <f t="shared" si="54"/>
        <v>0</v>
      </c>
      <c r="BF184" s="840">
        <v>201</v>
      </c>
      <c r="BG184" s="192">
        <f>H184</f>
        <v>0</v>
      </c>
      <c r="BH184" s="192">
        <f>I184</f>
        <v>0</v>
      </c>
      <c r="BI184" s="192" t="b">
        <v>0</v>
      </c>
      <c r="BJ184" s="840">
        <v>231</v>
      </c>
      <c r="BK184" s="192"/>
      <c r="BL184" s="192"/>
      <c r="BM184" s="192" t="b">
        <v>0</v>
      </c>
      <c r="BN184" s="192"/>
      <c r="BO184" s="192"/>
      <c r="BP184" s="192"/>
      <c r="BQ184" s="192"/>
      <c r="BR184" s="192"/>
      <c r="BS184" s="192"/>
      <c r="BT184" s="192"/>
      <c r="BU184" s="192"/>
      <c r="BV184" s="192"/>
      <c r="BW184" s="192"/>
      <c r="BX184" s="192"/>
      <c r="BY184" s="192"/>
      <c r="BZ184" s="192"/>
      <c r="CA184" s="192"/>
      <c r="CB184" s="192"/>
      <c r="CC184" s="192"/>
      <c r="CD184" s="192"/>
      <c r="CE184" s="192"/>
      <c r="CF184" s="192"/>
      <c r="CG184" s="192"/>
      <c r="CH184" s="192"/>
      <c r="CI184" s="796"/>
      <c r="CJ184" s="796"/>
      <c r="CK184" s="192"/>
      <c r="CL184" s="192"/>
      <c r="CM184" s="192"/>
      <c r="CN184" s="192"/>
      <c r="CO184" s="192"/>
      <c r="CP184" s="192"/>
      <c r="CQ184" s="192"/>
      <c r="CR184" s="192"/>
      <c r="CS184" s="192"/>
      <c r="CT184" s="192"/>
      <c r="CU184" s="192"/>
      <c r="CV184" s="192"/>
      <c r="CW184" s="192"/>
      <c r="CX184" s="192"/>
      <c r="CY184" s="192"/>
    </row>
    <row r="185" spans="1:103" ht="24.95" customHeight="1">
      <c r="A185" s="866">
        <v>202</v>
      </c>
      <c r="B185" s="2075"/>
      <c r="C185" s="2075"/>
      <c r="D185" s="2075"/>
      <c r="E185" s="2075"/>
      <c r="F185" s="2075"/>
      <c r="G185" s="2075"/>
      <c r="H185" s="872"/>
      <c r="I185" s="872"/>
      <c r="J185" s="872"/>
      <c r="K185" s="2076"/>
      <c r="L185" s="2076"/>
      <c r="M185" s="2076"/>
      <c r="N185" s="866">
        <v>232</v>
      </c>
      <c r="O185" s="2075"/>
      <c r="P185" s="2075"/>
      <c r="Q185" s="2075"/>
      <c r="R185" s="2075"/>
      <c r="S185" s="2075"/>
      <c r="T185" s="2075"/>
      <c r="U185" s="872"/>
      <c r="V185" s="872"/>
      <c r="W185" s="872"/>
      <c r="X185" s="2076"/>
      <c r="Y185" s="2076"/>
      <c r="Z185" s="2076"/>
      <c r="AA185" s="625"/>
      <c r="AB185" s="625"/>
      <c r="AC185" s="625"/>
      <c r="AD185" s="625"/>
      <c r="AE185" s="625"/>
      <c r="AF185" s="625"/>
      <c r="AG185" s="625"/>
      <c r="AH185" s="625"/>
      <c r="AI185" s="625"/>
      <c r="AJ185" s="625"/>
      <c r="AK185" s="625"/>
      <c r="AL185" s="625"/>
      <c r="AM185" s="625"/>
      <c r="AN185" s="625"/>
      <c r="AO185" s="625"/>
      <c r="AP185" s="625"/>
      <c r="AQ185" s="625"/>
      <c r="AR185" s="625"/>
      <c r="AS185" s="625"/>
      <c r="AT185" s="625"/>
      <c r="AU185" s="625"/>
      <c r="AV185" s="625"/>
      <c r="AW185" s="625"/>
      <c r="AX185" s="625"/>
      <c r="AY185" s="625"/>
      <c r="AZ185" s="625"/>
      <c r="BA185" s="67">
        <v>173</v>
      </c>
      <c r="BB185" s="68">
        <f t="shared" si="55"/>
        <v>0</v>
      </c>
      <c r="BC185" s="192">
        <f t="shared" si="56"/>
        <v>0</v>
      </c>
      <c r="BD185" s="70">
        <f t="shared" si="54"/>
        <v>0</v>
      </c>
      <c r="BE185" s="70">
        <f t="shared" si="54"/>
        <v>0</v>
      </c>
      <c r="BF185" s="840">
        <v>202</v>
      </c>
      <c r="BG185" s="192">
        <f t="shared" ref="BG185:BG213" si="57">H185</f>
        <v>0</v>
      </c>
      <c r="BH185" s="192">
        <f t="shared" ref="BH185:BH213" si="58">I185</f>
        <v>0</v>
      </c>
      <c r="BI185" s="192" t="b">
        <v>0</v>
      </c>
      <c r="BJ185" s="840">
        <v>232</v>
      </c>
      <c r="BK185" s="192"/>
      <c r="BL185" s="192"/>
      <c r="BM185" s="192" t="b">
        <v>0</v>
      </c>
      <c r="BN185" s="192"/>
      <c r="BO185" s="192"/>
      <c r="BP185" s="192"/>
      <c r="BQ185" s="192"/>
      <c r="BR185" s="192"/>
      <c r="BS185" s="192"/>
      <c r="BT185" s="192"/>
      <c r="BU185" s="192"/>
      <c r="BV185" s="192"/>
      <c r="BW185" s="192"/>
      <c r="BX185" s="192"/>
      <c r="BY185" s="192"/>
      <c r="BZ185" s="192"/>
      <c r="CA185" s="192"/>
      <c r="CB185" s="192"/>
      <c r="CC185" s="192"/>
      <c r="CD185" s="192"/>
      <c r="CE185" s="192"/>
      <c r="CF185" s="192"/>
      <c r="CG185" s="192"/>
      <c r="CH185" s="192"/>
      <c r="CI185" s="796"/>
      <c r="CJ185" s="796"/>
      <c r="CK185" s="192"/>
      <c r="CL185" s="192"/>
      <c r="CM185" s="192"/>
      <c r="CN185" s="192"/>
      <c r="CO185" s="192"/>
      <c r="CP185" s="192"/>
      <c r="CQ185" s="192"/>
      <c r="CR185" s="192"/>
      <c r="CS185" s="192"/>
      <c r="CT185" s="192"/>
      <c r="CU185" s="192"/>
      <c r="CV185" s="192"/>
      <c r="CW185" s="192"/>
      <c r="CX185" s="192"/>
      <c r="CY185" s="192"/>
    </row>
    <row r="186" spans="1:103" ht="24.95" customHeight="1">
      <c r="A186" s="866">
        <v>203</v>
      </c>
      <c r="B186" s="2075"/>
      <c r="C186" s="2075"/>
      <c r="D186" s="2075"/>
      <c r="E186" s="2075"/>
      <c r="F186" s="2075"/>
      <c r="G186" s="2075"/>
      <c r="H186" s="872"/>
      <c r="I186" s="872"/>
      <c r="J186" s="872"/>
      <c r="K186" s="2076"/>
      <c r="L186" s="2076"/>
      <c r="M186" s="2076"/>
      <c r="N186" s="866">
        <v>233</v>
      </c>
      <c r="O186" s="2075"/>
      <c r="P186" s="2075"/>
      <c r="Q186" s="2075"/>
      <c r="R186" s="2075"/>
      <c r="S186" s="2075"/>
      <c r="T186" s="2075"/>
      <c r="U186" s="872"/>
      <c r="V186" s="872"/>
      <c r="W186" s="872"/>
      <c r="X186" s="2076"/>
      <c r="Y186" s="2076"/>
      <c r="Z186" s="2076"/>
      <c r="AA186" s="625"/>
      <c r="AB186" s="625"/>
      <c r="AC186" s="625"/>
      <c r="AD186" s="625"/>
      <c r="AE186" s="625"/>
      <c r="AF186" s="625"/>
      <c r="AG186" s="625"/>
      <c r="AH186" s="625"/>
      <c r="AI186" s="625"/>
      <c r="AJ186" s="625"/>
      <c r="AK186" s="625"/>
      <c r="AL186" s="625"/>
      <c r="AM186" s="625"/>
      <c r="AN186" s="625"/>
      <c r="AO186" s="625"/>
      <c r="AP186" s="625"/>
      <c r="AQ186" s="625"/>
      <c r="AR186" s="625"/>
      <c r="AS186" s="625"/>
      <c r="AT186" s="625"/>
      <c r="AU186" s="625"/>
      <c r="AV186" s="625"/>
      <c r="AW186" s="625"/>
      <c r="AX186" s="625"/>
      <c r="AY186" s="625"/>
      <c r="AZ186" s="625"/>
      <c r="BA186" s="67">
        <v>174</v>
      </c>
      <c r="BB186" s="68">
        <f t="shared" si="55"/>
        <v>0</v>
      </c>
      <c r="BC186" s="192">
        <f t="shared" si="56"/>
        <v>0</v>
      </c>
      <c r="BD186" s="70">
        <f t="shared" si="54"/>
        <v>0</v>
      </c>
      <c r="BE186" s="70">
        <f t="shared" si="54"/>
        <v>0</v>
      </c>
      <c r="BF186" s="840">
        <v>203</v>
      </c>
      <c r="BG186" s="192">
        <f t="shared" si="57"/>
        <v>0</v>
      </c>
      <c r="BH186" s="192">
        <f t="shared" si="58"/>
        <v>0</v>
      </c>
      <c r="BI186" s="192" t="b">
        <v>0</v>
      </c>
      <c r="BJ186" s="840">
        <v>233</v>
      </c>
      <c r="BK186" s="192"/>
      <c r="BL186" s="192"/>
      <c r="BM186" s="192" t="b">
        <v>0</v>
      </c>
      <c r="BN186" s="192"/>
      <c r="BO186" s="192"/>
      <c r="BP186" s="192"/>
      <c r="BQ186" s="192"/>
      <c r="BR186" s="192"/>
      <c r="BS186" s="192"/>
      <c r="BT186" s="192"/>
      <c r="BU186" s="192"/>
      <c r="BV186" s="192"/>
      <c r="BW186" s="192"/>
      <c r="BX186" s="192"/>
      <c r="BY186" s="192"/>
      <c r="BZ186" s="192"/>
      <c r="CA186" s="192"/>
      <c r="CB186" s="192"/>
      <c r="CC186" s="192"/>
      <c r="CD186" s="192"/>
      <c r="CE186" s="192"/>
      <c r="CF186" s="192"/>
      <c r="CG186" s="192"/>
      <c r="CH186" s="192"/>
      <c r="CI186" s="796"/>
      <c r="CJ186" s="796"/>
      <c r="CK186" s="192"/>
      <c r="CL186" s="192"/>
      <c r="CM186" s="192"/>
      <c r="CN186" s="192"/>
      <c r="CO186" s="192"/>
      <c r="CP186" s="192"/>
      <c r="CQ186" s="192"/>
      <c r="CR186" s="192"/>
      <c r="CS186" s="192"/>
      <c r="CT186" s="192"/>
      <c r="CU186" s="192"/>
      <c r="CV186" s="192"/>
      <c r="CW186" s="192"/>
      <c r="CX186" s="192"/>
      <c r="CY186" s="192"/>
    </row>
    <row r="187" spans="1:103" ht="24.95" customHeight="1">
      <c r="A187" s="866">
        <v>204</v>
      </c>
      <c r="B187" s="2075"/>
      <c r="C187" s="2075"/>
      <c r="D187" s="2075"/>
      <c r="E187" s="2075"/>
      <c r="F187" s="2075"/>
      <c r="G187" s="2075"/>
      <c r="H187" s="872"/>
      <c r="I187" s="872"/>
      <c r="J187" s="872"/>
      <c r="K187" s="2076"/>
      <c r="L187" s="2076"/>
      <c r="M187" s="2076"/>
      <c r="N187" s="866">
        <v>234</v>
      </c>
      <c r="O187" s="2075"/>
      <c r="P187" s="2075"/>
      <c r="Q187" s="2075"/>
      <c r="R187" s="2075"/>
      <c r="S187" s="2075"/>
      <c r="T187" s="2075"/>
      <c r="U187" s="872"/>
      <c r="V187" s="872"/>
      <c r="W187" s="872"/>
      <c r="X187" s="2076"/>
      <c r="Y187" s="2076"/>
      <c r="Z187" s="2076"/>
      <c r="AA187" s="625"/>
      <c r="AB187" s="625"/>
      <c r="AC187" s="625"/>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625"/>
      <c r="AY187" s="625"/>
      <c r="AZ187" s="625"/>
      <c r="BA187" s="67">
        <v>175</v>
      </c>
      <c r="BB187" s="68">
        <f t="shared" si="55"/>
        <v>0</v>
      </c>
      <c r="BC187" s="192">
        <f t="shared" si="56"/>
        <v>0</v>
      </c>
      <c r="BD187" s="70">
        <f t="shared" si="54"/>
        <v>0</v>
      </c>
      <c r="BE187" s="70">
        <f t="shared" si="54"/>
        <v>0</v>
      </c>
      <c r="BF187" s="840">
        <v>204</v>
      </c>
      <c r="BG187" s="192">
        <f t="shared" si="57"/>
        <v>0</v>
      </c>
      <c r="BH187" s="192">
        <f t="shared" si="58"/>
        <v>0</v>
      </c>
      <c r="BI187" s="192" t="b">
        <v>0</v>
      </c>
      <c r="BJ187" s="840">
        <v>234</v>
      </c>
      <c r="BK187" s="192"/>
      <c r="BL187" s="192"/>
      <c r="BM187" s="192" t="b">
        <v>0</v>
      </c>
      <c r="BN187" s="192"/>
      <c r="BO187" s="192"/>
      <c r="BP187" s="192"/>
      <c r="BQ187" s="192"/>
      <c r="BR187" s="192"/>
      <c r="BS187" s="192"/>
      <c r="BT187" s="192"/>
      <c r="BU187" s="192"/>
      <c r="BV187" s="192"/>
      <c r="BW187" s="192"/>
      <c r="BX187" s="192"/>
      <c r="BY187" s="192"/>
      <c r="BZ187" s="192"/>
      <c r="CA187" s="192"/>
      <c r="CB187" s="192"/>
      <c r="CC187" s="192"/>
      <c r="CD187" s="192"/>
      <c r="CE187" s="192"/>
      <c r="CF187" s="192"/>
      <c r="CG187" s="192"/>
      <c r="CH187" s="192"/>
      <c r="CI187" s="796"/>
      <c r="CJ187" s="796"/>
      <c r="CK187" s="192"/>
      <c r="CL187" s="192"/>
      <c r="CM187" s="192"/>
      <c r="CN187" s="192"/>
      <c r="CO187" s="192"/>
      <c r="CP187" s="192"/>
      <c r="CQ187" s="192"/>
      <c r="CR187" s="192"/>
      <c r="CS187" s="192"/>
      <c r="CT187" s="192"/>
      <c r="CU187" s="192"/>
      <c r="CV187" s="192"/>
      <c r="CW187" s="192"/>
      <c r="CX187" s="192"/>
      <c r="CY187" s="192"/>
    </row>
    <row r="188" spans="1:103" ht="24.95" customHeight="1">
      <c r="A188" s="866">
        <v>205</v>
      </c>
      <c r="B188" s="2075"/>
      <c r="C188" s="2075"/>
      <c r="D188" s="2075"/>
      <c r="E188" s="2075"/>
      <c r="F188" s="2075"/>
      <c r="G188" s="2075"/>
      <c r="H188" s="872"/>
      <c r="I188" s="872"/>
      <c r="J188" s="872"/>
      <c r="K188" s="2076"/>
      <c r="L188" s="2076"/>
      <c r="M188" s="2076"/>
      <c r="N188" s="866">
        <v>235</v>
      </c>
      <c r="O188" s="2075"/>
      <c r="P188" s="2075"/>
      <c r="Q188" s="2075"/>
      <c r="R188" s="2075"/>
      <c r="S188" s="2075"/>
      <c r="T188" s="2075"/>
      <c r="U188" s="872"/>
      <c r="V188" s="872"/>
      <c r="W188" s="872"/>
      <c r="X188" s="2076"/>
      <c r="Y188" s="2076"/>
      <c r="Z188" s="2076"/>
      <c r="AA188" s="625"/>
      <c r="AB188" s="625"/>
      <c r="AC188" s="625"/>
      <c r="AD188" s="625"/>
      <c r="AE188" s="625"/>
      <c r="AF188" s="625"/>
      <c r="AG188" s="625"/>
      <c r="AH188" s="625"/>
      <c r="AI188" s="625"/>
      <c r="AJ188" s="625"/>
      <c r="AK188" s="625"/>
      <c r="AL188" s="625"/>
      <c r="AM188" s="625"/>
      <c r="AN188" s="625"/>
      <c r="AO188" s="625"/>
      <c r="AP188" s="625"/>
      <c r="AQ188" s="625"/>
      <c r="AR188" s="625"/>
      <c r="AS188" s="625"/>
      <c r="AT188" s="625"/>
      <c r="AU188" s="625"/>
      <c r="AV188" s="625"/>
      <c r="AW188" s="625"/>
      <c r="AX188" s="625"/>
      <c r="AY188" s="625"/>
      <c r="AZ188" s="625"/>
      <c r="BA188" s="67">
        <v>176</v>
      </c>
      <c r="BB188" s="68">
        <f t="shared" si="55"/>
        <v>0</v>
      </c>
      <c r="BC188" s="192">
        <f t="shared" si="56"/>
        <v>0</v>
      </c>
      <c r="BD188" s="70">
        <f t="shared" si="54"/>
        <v>0</v>
      </c>
      <c r="BE188" s="70">
        <f t="shared" si="54"/>
        <v>0</v>
      </c>
      <c r="BF188" s="840">
        <v>205</v>
      </c>
      <c r="BG188" s="192">
        <f t="shared" si="57"/>
        <v>0</v>
      </c>
      <c r="BH188" s="192">
        <f t="shared" si="58"/>
        <v>0</v>
      </c>
      <c r="BI188" s="192" t="b">
        <v>0</v>
      </c>
      <c r="BJ188" s="840">
        <v>235</v>
      </c>
      <c r="BK188" s="192"/>
      <c r="BL188" s="192"/>
      <c r="BM188" s="192" t="b">
        <v>0</v>
      </c>
      <c r="BN188" s="192"/>
      <c r="BO188" s="192"/>
      <c r="BP188" s="192"/>
      <c r="BQ188" s="192"/>
      <c r="BR188" s="192"/>
      <c r="BS188" s="192"/>
      <c r="BT188" s="192"/>
      <c r="BU188" s="192"/>
      <c r="BV188" s="192"/>
      <c r="BW188" s="192"/>
      <c r="BX188" s="192"/>
      <c r="BY188" s="192"/>
      <c r="BZ188" s="192"/>
      <c r="CA188" s="192"/>
      <c r="CB188" s="192"/>
      <c r="CC188" s="192"/>
      <c r="CD188" s="192"/>
      <c r="CE188" s="192"/>
      <c r="CF188" s="192"/>
      <c r="CG188" s="192"/>
      <c r="CH188" s="192"/>
      <c r="CI188" s="796"/>
      <c r="CJ188" s="796"/>
      <c r="CK188" s="192"/>
      <c r="CL188" s="192"/>
      <c r="CM188" s="192"/>
      <c r="CN188" s="192"/>
      <c r="CO188" s="192"/>
      <c r="CP188" s="192"/>
      <c r="CQ188" s="192"/>
      <c r="CR188" s="192"/>
      <c r="CS188" s="192"/>
      <c r="CT188" s="192"/>
      <c r="CU188" s="192"/>
      <c r="CV188" s="192"/>
      <c r="CW188" s="192"/>
      <c r="CX188" s="192"/>
      <c r="CY188" s="192"/>
    </row>
    <row r="189" spans="1:103" ht="24.95" customHeight="1">
      <c r="A189" s="866">
        <v>206</v>
      </c>
      <c r="B189" s="2075"/>
      <c r="C189" s="2075"/>
      <c r="D189" s="2075"/>
      <c r="E189" s="2075"/>
      <c r="F189" s="2075"/>
      <c r="G189" s="2075"/>
      <c r="H189" s="872"/>
      <c r="I189" s="872"/>
      <c r="J189" s="872"/>
      <c r="K189" s="2076"/>
      <c r="L189" s="2076"/>
      <c r="M189" s="2076"/>
      <c r="N189" s="866">
        <v>236</v>
      </c>
      <c r="O189" s="2075"/>
      <c r="P189" s="2075"/>
      <c r="Q189" s="2075"/>
      <c r="R189" s="2075"/>
      <c r="S189" s="2075"/>
      <c r="T189" s="2075"/>
      <c r="U189" s="872"/>
      <c r="V189" s="872"/>
      <c r="W189" s="872"/>
      <c r="X189" s="2076"/>
      <c r="Y189" s="2076"/>
      <c r="Z189" s="2076"/>
      <c r="AA189" s="625"/>
      <c r="AB189" s="625"/>
      <c r="AC189" s="625"/>
      <c r="AD189" s="625"/>
      <c r="AE189" s="625"/>
      <c r="AF189" s="625"/>
      <c r="AG189" s="625"/>
      <c r="AH189" s="625"/>
      <c r="AI189" s="625"/>
      <c r="AJ189" s="625"/>
      <c r="AK189" s="625"/>
      <c r="AL189" s="625"/>
      <c r="AM189" s="625"/>
      <c r="AN189" s="625"/>
      <c r="AO189" s="625"/>
      <c r="AP189" s="625"/>
      <c r="AQ189" s="625"/>
      <c r="AR189" s="625"/>
      <c r="AS189" s="625"/>
      <c r="AT189" s="625"/>
      <c r="AU189" s="625"/>
      <c r="AV189" s="625"/>
      <c r="AW189" s="625"/>
      <c r="AX189" s="625"/>
      <c r="AY189" s="625"/>
      <c r="AZ189" s="625"/>
      <c r="BA189" s="67">
        <v>177</v>
      </c>
      <c r="BB189" s="68">
        <f t="shared" si="55"/>
        <v>0</v>
      </c>
      <c r="BC189" s="192">
        <f t="shared" si="56"/>
        <v>0</v>
      </c>
      <c r="BD189" s="70">
        <f t="shared" si="54"/>
        <v>0</v>
      </c>
      <c r="BE189" s="70">
        <f t="shared" si="54"/>
        <v>0</v>
      </c>
      <c r="BF189" s="840">
        <v>206</v>
      </c>
      <c r="BG189" s="192">
        <f t="shared" si="57"/>
        <v>0</v>
      </c>
      <c r="BH189" s="192">
        <f t="shared" si="58"/>
        <v>0</v>
      </c>
      <c r="BI189" s="192" t="b">
        <v>0</v>
      </c>
      <c r="BJ189" s="840">
        <v>236</v>
      </c>
      <c r="BK189" s="192"/>
      <c r="BL189" s="192"/>
      <c r="BM189" s="192" t="b">
        <v>0</v>
      </c>
      <c r="BN189" s="192"/>
      <c r="BO189" s="192"/>
      <c r="BP189" s="192"/>
      <c r="BQ189" s="192"/>
      <c r="BR189" s="192"/>
      <c r="BS189" s="192"/>
      <c r="BT189" s="192"/>
      <c r="BU189" s="192"/>
      <c r="BV189" s="192"/>
      <c r="BW189" s="192"/>
      <c r="BX189" s="192"/>
      <c r="BY189" s="192"/>
      <c r="BZ189" s="192"/>
      <c r="CA189" s="192"/>
      <c r="CB189" s="192"/>
      <c r="CC189" s="192"/>
      <c r="CD189" s="192"/>
      <c r="CE189" s="192"/>
      <c r="CF189" s="192"/>
      <c r="CG189" s="192"/>
      <c r="CH189" s="192"/>
      <c r="CI189" s="796"/>
      <c r="CJ189" s="796"/>
      <c r="CK189" s="192"/>
      <c r="CL189" s="192"/>
      <c r="CM189" s="192"/>
      <c r="CN189" s="192"/>
      <c r="CO189" s="192"/>
      <c r="CP189" s="192"/>
      <c r="CQ189" s="192"/>
      <c r="CR189" s="192"/>
      <c r="CS189" s="192"/>
      <c r="CT189" s="192"/>
      <c r="CU189" s="192"/>
      <c r="CV189" s="192"/>
      <c r="CW189" s="192"/>
      <c r="CX189" s="192"/>
      <c r="CY189" s="192"/>
    </row>
    <row r="190" spans="1:103" ht="24.95" customHeight="1">
      <c r="A190" s="866">
        <v>207</v>
      </c>
      <c r="B190" s="2075"/>
      <c r="C190" s="2075"/>
      <c r="D190" s="2075"/>
      <c r="E190" s="2075"/>
      <c r="F190" s="2075"/>
      <c r="G190" s="2075"/>
      <c r="H190" s="872"/>
      <c r="I190" s="872"/>
      <c r="J190" s="872"/>
      <c r="K190" s="2076"/>
      <c r="L190" s="2076"/>
      <c r="M190" s="2076"/>
      <c r="N190" s="866">
        <v>237</v>
      </c>
      <c r="O190" s="2075"/>
      <c r="P190" s="2075"/>
      <c r="Q190" s="2075"/>
      <c r="R190" s="2075"/>
      <c r="S190" s="2075"/>
      <c r="T190" s="2075"/>
      <c r="U190" s="872"/>
      <c r="V190" s="872"/>
      <c r="W190" s="872"/>
      <c r="X190" s="2076"/>
      <c r="Y190" s="2076"/>
      <c r="Z190" s="2076"/>
      <c r="AA190" s="625"/>
      <c r="AB190" s="625"/>
      <c r="AC190" s="625"/>
      <c r="AD190" s="625"/>
      <c r="AE190" s="625"/>
      <c r="AF190" s="625"/>
      <c r="AG190" s="625"/>
      <c r="AH190" s="625"/>
      <c r="AI190" s="625"/>
      <c r="AJ190" s="625"/>
      <c r="AK190" s="625"/>
      <c r="AL190" s="625"/>
      <c r="AM190" s="625"/>
      <c r="AN190" s="625"/>
      <c r="AO190" s="625"/>
      <c r="AP190" s="625"/>
      <c r="AQ190" s="625"/>
      <c r="AR190" s="625"/>
      <c r="AS190" s="625"/>
      <c r="AT190" s="625"/>
      <c r="AU190" s="625"/>
      <c r="AV190" s="625"/>
      <c r="AW190" s="625"/>
      <c r="AX190" s="625"/>
      <c r="AY190" s="625"/>
      <c r="AZ190" s="625"/>
      <c r="BA190" s="67">
        <v>178</v>
      </c>
      <c r="BB190" s="68">
        <f t="shared" si="55"/>
        <v>0</v>
      </c>
      <c r="BC190" s="192">
        <f t="shared" si="56"/>
        <v>0</v>
      </c>
      <c r="BD190" s="70">
        <f t="shared" si="54"/>
        <v>0</v>
      </c>
      <c r="BE190" s="70">
        <f t="shared" si="54"/>
        <v>0</v>
      </c>
      <c r="BF190" s="840">
        <v>207</v>
      </c>
      <c r="BG190" s="192">
        <f t="shared" si="57"/>
        <v>0</v>
      </c>
      <c r="BH190" s="192">
        <f t="shared" si="58"/>
        <v>0</v>
      </c>
      <c r="BI190" s="192" t="b">
        <v>0</v>
      </c>
      <c r="BJ190" s="840">
        <v>237</v>
      </c>
      <c r="BK190" s="192"/>
      <c r="BL190" s="192"/>
      <c r="BM190" s="192" t="b">
        <v>0</v>
      </c>
      <c r="BN190" s="192"/>
      <c r="BO190" s="192"/>
      <c r="BP190" s="192"/>
      <c r="BQ190" s="192"/>
      <c r="BR190" s="192"/>
      <c r="BS190" s="192"/>
      <c r="BT190" s="192"/>
      <c r="BU190" s="192"/>
      <c r="BV190" s="192"/>
      <c r="BW190" s="192"/>
      <c r="BX190" s="192"/>
      <c r="BY190" s="192"/>
      <c r="BZ190" s="192"/>
      <c r="CA190" s="192"/>
      <c r="CB190" s="192"/>
      <c r="CC190" s="192"/>
      <c r="CD190" s="192"/>
      <c r="CE190" s="192"/>
      <c r="CF190" s="192"/>
      <c r="CG190" s="192"/>
      <c r="CH190" s="192"/>
      <c r="CI190" s="796"/>
      <c r="CJ190" s="796"/>
      <c r="CK190" s="192"/>
      <c r="CL190" s="192"/>
      <c r="CM190" s="192"/>
      <c r="CN190" s="192"/>
      <c r="CO190" s="192"/>
      <c r="CP190" s="192"/>
      <c r="CQ190" s="192"/>
      <c r="CR190" s="192"/>
      <c r="CS190" s="192"/>
      <c r="CT190" s="192"/>
      <c r="CU190" s="192"/>
      <c r="CV190" s="192"/>
      <c r="CW190" s="192"/>
      <c r="CX190" s="192"/>
      <c r="CY190" s="192"/>
    </row>
    <row r="191" spans="1:103" ht="24.95" customHeight="1">
      <c r="A191" s="866">
        <v>208</v>
      </c>
      <c r="B191" s="2075"/>
      <c r="C191" s="2075"/>
      <c r="D191" s="2075"/>
      <c r="E191" s="2075"/>
      <c r="F191" s="2075"/>
      <c r="G191" s="2075"/>
      <c r="H191" s="872"/>
      <c r="I191" s="872"/>
      <c r="J191" s="872"/>
      <c r="K191" s="2076"/>
      <c r="L191" s="2076"/>
      <c r="M191" s="2076"/>
      <c r="N191" s="866">
        <v>238</v>
      </c>
      <c r="O191" s="2075"/>
      <c r="P191" s="2075"/>
      <c r="Q191" s="2075"/>
      <c r="R191" s="2075"/>
      <c r="S191" s="2075"/>
      <c r="T191" s="2075"/>
      <c r="U191" s="872"/>
      <c r="V191" s="872"/>
      <c r="W191" s="872"/>
      <c r="X191" s="2076"/>
      <c r="Y191" s="2076"/>
      <c r="Z191" s="2076"/>
      <c r="AA191" s="625"/>
      <c r="AB191" s="625"/>
      <c r="AC191" s="625"/>
      <c r="AD191" s="625"/>
      <c r="AE191" s="625"/>
      <c r="AF191" s="625"/>
      <c r="AG191" s="625"/>
      <c r="AH191" s="625"/>
      <c r="AI191" s="625"/>
      <c r="AJ191" s="625"/>
      <c r="AK191" s="625"/>
      <c r="AL191" s="625"/>
      <c r="AM191" s="625"/>
      <c r="AN191" s="625"/>
      <c r="AO191" s="625"/>
      <c r="AP191" s="625"/>
      <c r="AQ191" s="625"/>
      <c r="AR191" s="625"/>
      <c r="AS191" s="625"/>
      <c r="AT191" s="625"/>
      <c r="AU191" s="625"/>
      <c r="AV191" s="625"/>
      <c r="AW191" s="625"/>
      <c r="AX191" s="625"/>
      <c r="AY191" s="625"/>
      <c r="AZ191" s="625"/>
      <c r="BA191" s="67">
        <v>179</v>
      </c>
      <c r="BB191" s="68">
        <f t="shared" si="55"/>
        <v>0</v>
      </c>
      <c r="BC191" s="192">
        <f t="shared" si="56"/>
        <v>0</v>
      </c>
      <c r="BD191" s="70">
        <f t="shared" si="54"/>
        <v>0</v>
      </c>
      <c r="BE191" s="70">
        <f t="shared" si="54"/>
        <v>0</v>
      </c>
      <c r="BF191" s="840">
        <v>208</v>
      </c>
      <c r="BG191" s="192">
        <f t="shared" si="57"/>
        <v>0</v>
      </c>
      <c r="BH191" s="192">
        <f t="shared" si="58"/>
        <v>0</v>
      </c>
      <c r="BI191" s="192" t="b">
        <v>0</v>
      </c>
      <c r="BJ191" s="840">
        <v>238</v>
      </c>
      <c r="BK191" s="192"/>
      <c r="BL191" s="192"/>
      <c r="BM191" s="192" t="b">
        <v>0</v>
      </c>
      <c r="BN191" s="192"/>
      <c r="BO191" s="192"/>
      <c r="BP191" s="192"/>
      <c r="BQ191" s="192"/>
      <c r="BR191" s="192"/>
      <c r="BS191" s="192"/>
      <c r="BT191" s="192"/>
      <c r="BU191" s="192"/>
      <c r="BV191" s="192"/>
      <c r="BW191" s="192"/>
      <c r="BX191" s="192"/>
      <c r="BY191" s="192"/>
      <c r="BZ191" s="192"/>
      <c r="CA191" s="192"/>
      <c r="CB191" s="192"/>
      <c r="CC191" s="192"/>
      <c r="CD191" s="192"/>
      <c r="CE191" s="192"/>
      <c r="CF191" s="192"/>
      <c r="CG191" s="192"/>
      <c r="CH191" s="192"/>
      <c r="CI191" s="796"/>
      <c r="CJ191" s="796"/>
      <c r="CK191" s="192"/>
      <c r="CL191" s="192"/>
      <c r="CM191" s="192"/>
      <c r="CN191" s="192"/>
      <c r="CO191" s="192"/>
      <c r="CP191" s="192"/>
      <c r="CQ191" s="192"/>
      <c r="CR191" s="192"/>
      <c r="CS191" s="192"/>
      <c r="CT191" s="192"/>
      <c r="CU191" s="192"/>
      <c r="CV191" s="192"/>
      <c r="CW191" s="192"/>
      <c r="CX191" s="192"/>
      <c r="CY191" s="192"/>
    </row>
    <row r="192" spans="1:103" ht="24.95" customHeight="1">
      <c r="A192" s="866">
        <v>209</v>
      </c>
      <c r="B192" s="2075"/>
      <c r="C192" s="2075"/>
      <c r="D192" s="2075"/>
      <c r="E192" s="2075"/>
      <c r="F192" s="2075"/>
      <c r="G192" s="2075"/>
      <c r="H192" s="872"/>
      <c r="I192" s="872"/>
      <c r="J192" s="872"/>
      <c r="K192" s="2076"/>
      <c r="L192" s="2076"/>
      <c r="M192" s="2076"/>
      <c r="N192" s="866">
        <v>239</v>
      </c>
      <c r="O192" s="2075"/>
      <c r="P192" s="2075"/>
      <c r="Q192" s="2075"/>
      <c r="R192" s="2075"/>
      <c r="S192" s="2075"/>
      <c r="T192" s="2075"/>
      <c r="U192" s="872"/>
      <c r="V192" s="872"/>
      <c r="W192" s="872"/>
      <c r="X192" s="2076"/>
      <c r="Y192" s="2076"/>
      <c r="Z192" s="2076"/>
      <c r="AA192" s="625"/>
      <c r="AB192" s="625"/>
      <c r="AC192" s="625"/>
      <c r="AD192" s="625"/>
      <c r="AE192" s="625"/>
      <c r="AF192" s="625"/>
      <c r="AG192" s="625"/>
      <c r="AH192" s="625"/>
      <c r="AI192" s="625"/>
      <c r="AJ192" s="625"/>
      <c r="AK192" s="625"/>
      <c r="AL192" s="625"/>
      <c r="AM192" s="625"/>
      <c r="AN192" s="625"/>
      <c r="AO192" s="625"/>
      <c r="AP192" s="625"/>
      <c r="AQ192" s="625"/>
      <c r="AR192" s="625"/>
      <c r="AS192" s="625"/>
      <c r="AT192" s="625"/>
      <c r="AU192" s="625"/>
      <c r="AV192" s="625"/>
      <c r="AW192" s="625"/>
      <c r="AX192" s="625"/>
      <c r="AY192" s="625"/>
      <c r="AZ192" s="625"/>
      <c r="BA192" s="67">
        <v>180</v>
      </c>
      <c r="BB192" s="68">
        <f t="shared" si="55"/>
        <v>0</v>
      </c>
      <c r="BC192" s="192">
        <f t="shared" si="56"/>
        <v>0</v>
      </c>
      <c r="BD192" s="70">
        <f t="shared" si="54"/>
        <v>0</v>
      </c>
      <c r="BE192" s="70">
        <f t="shared" si="54"/>
        <v>0</v>
      </c>
      <c r="BF192" s="840">
        <v>209</v>
      </c>
      <c r="BG192" s="192">
        <f t="shared" si="57"/>
        <v>0</v>
      </c>
      <c r="BH192" s="192">
        <f t="shared" si="58"/>
        <v>0</v>
      </c>
      <c r="BI192" s="192" t="b">
        <v>0</v>
      </c>
      <c r="BJ192" s="840">
        <v>239</v>
      </c>
      <c r="BK192" s="192"/>
      <c r="BL192" s="192"/>
      <c r="BM192" s="192" t="b">
        <v>0</v>
      </c>
      <c r="BN192" s="192"/>
      <c r="BO192" s="192"/>
      <c r="BP192" s="192"/>
      <c r="BQ192" s="192"/>
      <c r="BR192" s="192"/>
      <c r="BS192" s="192"/>
      <c r="BT192" s="192"/>
      <c r="BU192" s="192"/>
      <c r="BV192" s="192"/>
      <c r="BW192" s="192"/>
      <c r="BX192" s="192"/>
      <c r="BY192" s="192"/>
      <c r="BZ192" s="192"/>
      <c r="CA192" s="192"/>
      <c r="CB192" s="192"/>
      <c r="CC192" s="192"/>
      <c r="CD192" s="192"/>
      <c r="CE192" s="192"/>
      <c r="CF192" s="192"/>
      <c r="CG192" s="192"/>
      <c r="CH192" s="192"/>
      <c r="CI192" s="796"/>
      <c r="CJ192" s="796"/>
      <c r="CK192" s="192"/>
      <c r="CL192" s="192"/>
      <c r="CM192" s="192"/>
      <c r="CN192" s="192"/>
      <c r="CO192" s="192"/>
      <c r="CP192" s="192"/>
      <c r="CQ192" s="192"/>
      <c r="CR192" s="192"/>
      <c r="CS192" s="192"/>
      <c r="CT192" s="192"/>
      <c r="CU192" s="192"/>
      <c r="CV192" s="192"/>
      <c r="CW192" s="192"/>
      <c r="CX192" s="192"/>
      <c r="CY192" s="192"/>
    </row>
    <row r="193" spans="1:103" ht="24.95" customHeight="1">
      <c r="A193" s="866">
        <v>210</v>
      </c>
      <c r="B193" s="2075"/>
      <c r="C193" s="2075"/>
      <c r="D193" s="2075"/>
      <c r="E193" s="2075"/>
      <c r="F193" s="2075"/>
      <c r="G193" s="2075"/>
      <c r="H193" s="872"/>
      <c r="I193" s="872"/>
      <c r="J193" s="872"/>
      <c r="K193" s="2076"/>
      <c r="L193" s="2076"/>
      <c r="M193" s="2076"/>
      <c r="N193" s="866">
        <v>240</v>
      </c>
      <c r="O193" s="2075"/>
      <c r="P193" s="2075"/>
      <c r="Q193" s="2075"/>
      <c r="R193" s="2075"/>
      <c r="S193" s="2075"/>
      <c r="T193" s="2075"/>
      <c r="U193" s="872"/>
      <c r="V193" s="872"/>
      <c r="W193" s="872"/>
      <c r="X193" s="2076"/>
      <c r="Y193" s="2076"/>
      <c r="Z193" s="2076"/>
      <c r="AA193" s="625"/>
      <c r="AB193" s="625"/>
      <c r="AC193" s="625"/>
      <c r="AD193" s="625"/>
      <c r="AE193" s="625"/>
      <c r="AF193" s="625"/>
      <c r="AG193" s="625"/>
      <c r="AH193" s="625"/>
      <c r="AI193" s="625"/>
      <c r="AJ193" s="625"/>
      <c r="AK193" s="625"/>
      <c r="AL193" s="625"/>
      <c r="AM193" s="625"/>
      <c r="AN193" s="625"/>
      <c r="AO193" s="625"/>
      <c r="AP193" s="625"/>
      <c r="AQ193" s="625"/>
      <c r="AR193" s="625"/>
      <c r="AS193" s="625"/>
      <c r="AT193" s="625"/>
      <c r="AU193" s="625"/>
      <c r="AV193" s="625"/>
      <c r="AW193" s="625"/>
      <c r="AX193" s="625"/>
      <c r="AY193" s="625"/>
      <c r="AZ193" s="625"/>
      <c r="BA193" s="67">
        <v>181</v>
      </c>
      <c r="BB193" s="68">
        <f t="shared" si="55"/>
        <v>0</v>
      </c>
      <c r="BC193" s="192">
        <f t="shared" si="56"/>
        <v>0</v>
      </c>
      <c r="BD193" s="70">
        <f t="shared" si="54"/>
        <v>0</v>
      </c>
      <c r="BE193" s="70">
        <f t="shared" si="54"/>
        <v>0</v>
      </c>
      <c r="BF193" s="840">
        <v>210</v>
      </c>
      <c r="BG193" s="192">
        <f t="shared" si="57"/>
        <v>0</v>
      </c>
      <c r="BH193" s="192">
        <f t="shared" si="58"/>
        <v>0</v>
      </c>
      <c r="BI193" s="192" t="b">
        <v>0</v>
      </c>
      <c r="BJ193" s="840">
        <v>240</v>
      </c>
      <c r="BK193" s="192"/>
      <c r="BL193" s="192"/>
      <c r="BM193" s="192" t="b">
        <v>0</v>
      </c>
      <c r="BN193" s="192"/>
      <c r="BO193" s="192"/>
      <c r="BP193" s="192"/>
      <c r="BQ193" s="192"/>
      <c r="BR193" s="192"/>
      <c r="BS193" s="192"/>
      <c r="BT193" s="192"/>
      <c r="BU193" s="192"/>
      <c r="BV193" s="192"/>
      <c r="BW193" s="192"/>
      <c r="BX193" s="192"/>
      <c r="BY193" s="192"/>
      <c r="BZ193" s="192"/>
      <c r="CA193" s="192"/>
      <c r="CB193" s="192"/>
      <c r="CC193" s="192"/>
      <c r="CD193" s="192"/>
      <c r="CE193" s="192"/>
      <c r="CF193" s="192"/>
      <c r="CG193" s="192"/>
      <c r="CH193" s="192"/>
      <c r="CI193" s="796"/>
      <c r="CJ193" s="796"/>
      <c r="CK193" s="192"/>
      <c r="CL193" s="192"/>
      <c r="CM193" s="192"/>
      <c r="CN193" s="192"/>
      <c r="CO193" s="192"/>
      <c r="CP193" s="192"/>
      <c r="CQ193" s="192"/>
      <c r="CR193" s="192"/>
      <c r="CS193" s="192"/>
      <c r="CT193" s="192"/>
      <c r="CU193" s="192"/>
      <c r="CV193" s="192"/>
      <c r="CW193" s="192"/>
      <c r="CX193" s="192"/>
      <c r="CY193" s="192"/>
    </row>
    <row r="194" spans="1:103" ht="24.95" customHeight="1">
      <c r="A194" s="866">
        <v>211</v>
      </c>
      <c r="B194" s="2075"/>
      <c r="C194" s="2075"/>
      <c r="D194" s="2075"/>
      <c r="E194" s="2075"/>
      <c r="F194" s="2075"/>
      <c r="G194" s="2075"/>
      <c r="H194" s="872"/>
      <c r="I194" s="872"/>
      <c r="J194" s="872"/>
      <c r="K194" s="2076"/>
      <c r="L194" s="2076"/>
      <c r="M194" s="2076"/>
      <c r="N194" s="866">
        <v>241</v>
      </c>
      <c r="O194" s="2075"/>
      <c r="P194" s="2075"/>
      <c r="Q194" s="2075"/>
      <c r="R194" s="2075"/>
      <c r="S194" s="2075"/>
      <c r="T194" s="2075"/>
      <c r="U194" s="872"/>
      <c r="V194" s="872"/>
      <c r="W194" s="872"/>
      <c r="X194" s="2076"/>
      <c r="Y194" s="2076"/>
      <c r="Z194" s="2076"/>
      <c r="AA194" s="625"/>
      <c r="AB194" s="625"/>
      <c r="AC194" s="625"/>
      <c r="AD194" s="625"/>
      <c r="AE194" s="625"/>
      <c r="AF194" s="625"/>
      <c r="AG194" s="625"/>
      <c r="AH194" s="625"/>
      <c r="AI194" s="625"/>
      <c r="AJ194" s="625"/>
      <c r="AK194" s="625"/>
      <c r="AL194" s="625"/>
      <c r="AM194" s="625"/>
      <c r="AN194" s="625"/>
      <c r="AO194" s="625"/>
      <c r="AP194" s="625"/>
      <c r="AQ194" s="625"/>
      <c r="AR194" s="625"/>
      <c r="AS194" s="625"/>
      <c r="AT194" s="625"/>
      <c r="AU194" s="625"/>
      <c r="AV194" s="625"/>
      <c r="AW194" s="625"/>
      <c r="AX194" s="625"/>
      <c r="AY194" s="625"/>
      <c r="AZ194" s="625"/>
      <c r="BA194" s="67">
        <v>182</v>
      </c>
      <c r="BB194" s="68">
        <f t="shared" si="55"/>
        <v>0</v>
      </c>
      <c r="BC194" s="192">
        <f t="shared" si="56"/>
        <v>0</v>
      </c>
      <c r="BD194" s="70">
        <f t="shared" si="54"/>
        <v>0</v>
      </c>
      <c r="BE194" s="70">
        <f t="shared" si="54"/>
        <v>0</v>
      </c>
      <c r="BF194" s="840">
        <v>211</v>
      </c>
      <c r="BG194" s="192">
        <f t="shared" si="57"/>
        <v>0</v>
      </c>
      <c r="BH194" s="192">
        <f t="shared" si="58"/>
        <v>0</v>
      </c>
      <c r="BI194" s="192" t="b">
        <v>0</v>
      </c>
      <c r="BJ194" s="840">
        <v>241</v>
      </c>
      <c r="BK194" s="192"/>
      <c r="BL194" s="192"/>
      <c r="BM194" s="192" t="b">
        <v>0</v>
      </c>
      <c r="BN194" s="192"/>
      <c r="BO194" s="192"/>
      <c r="BP194" s="192"/>
      <c r="BQ194" s="192"/>
      <c r="BR194" s="192"/>
      <c r="BS194" s="192"/>
      <c r="BT194" s="192"/>
      <c r="BU194" s="192"/>
      <c r="BV194" s="192"/>
      <c r="BW194" s="192"/>
      <c r="BX194" s="192"/>
      <c r="BY194" s="192"/>
      <c r="BZ194" s="192"/>
      <c r="CA194" s="192"/>
      <c r="CB194" s="192"/>
      <c r="CC194" s="192"/>
      <c r="CD194" s="192"/>
      <c r="CE194" s="192"/>
      <c r="CF194" s="192"/>
      <c r="CG194" s="192"/>
      <c r="CH194" s="192"/>
      <c r="CI194" s="796"/>
      <c r="CJ194" s="796"/>
      <c r="CK194" s="192"/>
      <c r="CL194" s="192"/>
      <c r="CM194" s="192"/>
      <c r="CN194" s="192"/>
      <c r="CO194" s="192"/>
      <c r="CP194" s="192"/>
      <c r="CQ194" s="192"/>
      <c r="CR194" s="192"/>
      <c r="CS194" s="192"/>
      <c r="CT194" s="192"/>
      <c r="CU194" s="192"/>
      <c r="CV194" s="192"/>
      <c r="CW194" s="192"/>
      <c r="CX194" s="192"/>
      <c r="CY194" s="192"/>
    </row>
    <row r="195" spans="1:103" ht="24.95" customHeight="1">
      <c r="A195" s="866">
        <v>212</v>
      </c>
      <c r="B195" s="2075"/>
      <c r="C195" s="2075"/>
      <c r="D195" s="2075"/>
      <c r="E195" s="2075"/>
      <c r="F195" s="2075"/>
      <c r="G195" s="2075"/>
      <c r="H195" s="872"/>
      <c r="I195" s="872"/>
      <c r="J195" s="872"/>
      <c r="K195" s="2076"/>
      <c r="L195" s="2076"/>
      <c r="M195" s="2076"/>
      <c r="N195" s="866">
        <v>242</v>
      </c>
      <c r="O195" s="2075"/>
      <c r="P195" s="2075"/>
      <c r="Q195" s="2075"/>
      <c r="R195" s="2075"/>
      <c r="S195" s="2075"/>
      <c r="T195" s="2075"/>
      <c r="U195" s="872"/>
      <c r="V195" s="872"/>
      <c r="W195" s="872"/>
      <c r="X195" s="2076"/>
      <c r="Y195" s="2076"/>
      <c r="Z195" s="2076"/>
      <c r="AA195" s="625"/>
      <c r="AB195" s="625"/>
      <c r="AC195" s="625"/>
      <c r="AD195" s="625"/>
      <c r="AE195" s="625"/>
      <c r="AF195" s="625"/>
      <c r="AG195" s="625"/>
      <c r="AH195" s="625"/>
      <c r="AI195" s="625"/>
      <c r="AJ195" s="625"/>
      <c r="AK195" s="625"/>
      <c r="AL195" s="625"/>
      <c r="AM195" s="625"/>
      <c r="AN195" s="625"/>
      <c r="AO195" s="625"/>
      <c r="AP195" s="625"/>
      <c r="AQ195" s="625"/>
      <c r="AR195" s="625"/>
      <c r="AS195" s="625"/>
      <c r="AT195" s="625"/>
      <c r="AU195" s="625"/>
      <c r="AV195" s="625"/>
      <c r="AW195" s="625"/>
      <c r="AX195" s="625"/>
      <c r="AY195" s="625"/>
      <c r="AZ195" s="625"/>
      <c r="BA195" s="67">
        <v>183</v>
      </c>
      <c r="BB195" s="68">
        <f t="shared" si="55"/>
        <v>0</v>
      </c>
      <c r="BC195" s="192">
        <f t="shared" si="56"/>
        <v>0</v>
      </c>
      <c r="BD195" s="70">
        <f t="shared" si="54"/>
        <v>0</v>
      </c>
      <c r="BE195" s="70">
        <f t="shared" si="54"/>
        <v>0</v>
      </c>
      <c r="BF195" s="840">
        <v>212</v>
      </c>
      <c r="BG195" s="192">
        <f t="shared" si="57"/>
        <v>0</v>
      </c>
      <c r="BH195" s="192">
        <f t="shared" si="58"/>
        <v>0</v>
      </c>
      <c r="BI195" s="192" t="b">
        <v>0</v>
      </c>
      <c r="BJ195" s="840">
        <v>242</v>
      </c>
      <c r="BK195" s="192"/>
      <c r="BL195" s="192"/>
      <c r="BM195" s="192" t="b">
        <v>0</v>
      </c>
      <c r="BN195" s="192"/>
      <c r="BO195" s="192"/>
      <c r="BP195" s="192"/>
      <c r="BQ195" s="192"/>
      <c r="BR195" s="192"/>
      <c r="BS195" s="192"/>
      <c r="BT195" s="192"/>
      <c r="BU195" s="192"/>
      <c r="BV195" s="192"/>
      <c r="BW195" s="192"/>
      <c r="BX195" s="192"/>
      <c r="BY195" s="192"/>
      <c r="BZ195" s="192"/>
      <c r="CA195" s="192"/>
      <c r="CB195" s="192"/>
      <c r="CC195" s="192"/>
      <c r="CD195" s="192"/>
      <c r="CE195" s="192"/>
      <c r="CF195" s="192"/>
      <c r="CG195" s="192"/>
      <c r="CH195" s="192"/>
      <c r="CI195" s="796"/>
      <c r="CJ195" s="796"/>
      <c r="CK195" s="192"/>
      <c r="CL195" s="192"/>
      <c r="CM195" s="192"/>
      <c r="CN195" s="192"/>
      <c r="CO195" s="192"/>
      <c r="CP195" s="192"/>
      <c r="CQ195" s="192"/>
      <c r="CR195" s="192"/>
      <c r="CS195" s="192"/>
      <c r="CT195" s="192"/>
      <c r="CU195" s="192"/>
      <c r="CV195" s="192"/>
      <c r="CW195" s="192"/>
      <c r="CX195" s="192"/>
      <c r="CY195" s="192"/>
    </row>
    <row r="196" spans="1:103" ht="24.95" customHeight="1">
      <c r="A196" s="866">
        <v>213</v>
      </c>
      <c r="B196" s="2075"/>
      <c r="C196" s="2075"/>
      <c r="D196" s="2075"/>
      <c r="E196" s="2075"/>
      <c r="F196" s="2075"/>
      <c r="G196" s="2075"/>
      <c r="H196" s="872"/>
      <c r="I196" s="872"/>
      <c r="J196" s="872"/>
      <c r="K196" s="2076"/>
      <c r="L196" s="2076"/>
      <c r="M196" s="2076"/>
      <c r="N196" s="866">
        <v>243</v>
      </c>
      <c r="O196" s="2075"/>
      <c r="P196" s="2075"/>
      <c r="Q196" s="2075"/>
      <c r="R196" s="2075"/>
      <c r="S196" s="2075"/>
      <c r="T196" s="2075"/>
      <c r="U196" s="872"/>
      <c r="V196" s="872"/>
      <c r="W196" s="872"/>
      <c r="X196" s="2076"/>
      <c r="Y196" s="2076"/>
      <c r="Z196" s="2076"/>
      <c r="AA196" s="192"/>
      <c r="AB196" s="192"/>
      <c r="AC196" s="192"/>
      <c r="AD196" s="192"/>
      <c r="AE196" s="192"/>
      <c r="AF196" s="192"/>
      <c r="AG196" s="192"/>
      <c r="AH196" s="192"/>
      <c r="AI196" s="192"/>
      <c r="AJ196" s="192"/>
      <c r="AK196" s="192"/>
      <c r="AL196" s="192"/>
      <c r="AM196" s="192"/>
      <c r="AN196" s="192"/>
      <c r="AO196" s="192"/>
      <c r="AP196" s="192"/>
      <c r="AQ196" s="192"/>
      <c r="AR196" s="192"/>
      <c r="AS196" s="192"/>
      <c r="AT196" s="192"/>
      <c r="AU196" s="192"/>
      <c r="AV196" s="192"/>
      <c r="AW196" s="192"/>
      <c r="AX196" s="192"/>
      <c r="AY196" s="192"/>
      <c r="AZ196" s="192"/>
      <c r="BA196" s="67">
        <v>184</v>
      </c>
      <c r="BB196" s="68">
        <f t="shared" si="55"/>
        <v>0</v>
      </c>
      <c r="BC196" s="192">
        <f t="shared" si="56"/>
        <v>0</v>
      </c>
      <c r="BD196" s="70">
        <f t="shared" si="54"/>
        <v>0</v>
      </c>
      <c r="BE196" s="70">
        <f t="shared" si="54"/>
        <v>0</v>
      </c>
      <c r="BF196" s="840">
        <v>213</v>
      </c>
      <c r="BG196" s="192">
        <f t="shared" si="57"/>
        <v>0</v>
      </c>
      <c r="BH196" s="192">
        <f t="shared" si="58"/>
        <v>0</v>
      </c>
      <c r="BI196" s="192" t="b">
        <v>0</v>
      </c>
      <c r="BJ196" s="840">
        <v>243</v>
      </c>
      <c r="BK196" s="192"/>
      <c r="BL196" s="192"/>
      <c r="BM196" s="192" t="b">
        <v>0</v>
      </c>
      <c r="BN196" s="192"/>
      <c r="BO196" s="192"/>
      <c r="BP196" s="192"/>
      <c r="BQ196" s="192"/>
      <c r="BR196" s="192"/>
      <c r="BS196" s="192"/>
      <c r="BT196" s="192"/>
      <c r="BU196" s="192"/>
      <c r="BV196" s="192"/>
      <c r="BW196" s="192"/>
      <c r="BX196" s="192"/>
      <c r="BY196" s="192"/>
      <c r="BZ196" s="192"/>
      <c r="CA196" s="192"/>
      <c r="CB196" s="192"/>
      <c r="CC196" s="192"/>
      <c r="CD196" s="192"/>
      <c r="CE196" s="192"/>
      <c r="CF196" s="192"/>
      <c r="CG196" s="192"/>
      <c r="CH196" s="192"/>
      <c r="CI196" s="796"/>
      <c r="CJ196" s="796"/>
      <c r="CK196" s="192"/>
      <c r="CL196" s="192"/>
      <c r="CM196" s="192"/>
      <c r="CN196" s="192"/>
      <c r="CO196" s="192"/>
      <c r="CP196" s="192"/>
      <c r="CQ196" s="192"/>
      <c r="CR196" s="192"/>
      <c r="CS196" s="192"/>
      <c r="CT196" s="192"/>
      <c r="CU196" s="192"/>
      <c r="CV196" s="192"/>
      <c r="CW196" s="192"/>
      <c r="CX196" s="192"/>
      <c r="CY196" s="192"/>
    </row>
    <row r="197" spans="1:103" ht="24.95" customHeight="1">
      <c r="A197" s="866">
        <v>214</v>
      </c>
      <c r="B197" s="2075"/>
      <c r="C197" s="2075"/>
      <c r="D197" s="2075"/>
      <c r="E197" s="2075"/>
      <c r="F197" s="2075"/>
      <c r="G197" s="2075"/>
      <c r="H197" s="872"/>
      <c r="I197" s="872"/>
      <c r="J197" s="872"/>
      <c r="K197" s="2076"/>
      <c r="L197" s="2076"/>
      <c r="M197" s="2076"/>
      <c r="N197" s="866">
        <v>244</v>
      </c>
      <c r="O197" s="2075"/>
      <c r="P197" s="2075"/>
      <c r="Q197" s="2075"/>
      <c r="R197" s="2075"/>
      <c r="S197" s="2075"/>
      <c r="T197" s="2075"/>
      <c r="U197" s="872"/>
      <c r="V197" s="872"/>
      <c r="W197" s="872"/>
      <c r="X197" s="2076"/>
      <c r="Y197" s="2076"/>
      <c r="Z197" s="2076"/>
      <c r="AA197" s="192"/>
      <c r="AB197" s="192"/>
      <c r="AC197" s="192"/>
      <c r="AD197" s="192"/>
      <c r="AE197" s="192"/>
      <c r="AF197" s="192"/>
      <c r="AG197" s="192"/>
      <c r="AH197" s="192"/>
      <c r="AI197" s="192"/>
      <c r="AJ197" s="192"/>
      <c r="AK197" s="192"/>
      <c r="AL197" s="192"/>
      <c r="AM197" s="192"/>
      <c r="AN197" s="192"/>
      <c r="AO197" s="192"/>
      <c r="AP197" s="192"/>
      <c r="AQ197" s="192"/>
      <c r="AR197" s="192"/>
      <c r="AS197" s="192"/>
      <c r="AT197" s="192"/>
      <c r="AU197" s="192"/>
      <c r="AV197" s="192"/>
      <c r="AW197" s="192"/>
      <c r="AX197" s="192"/>
      <c r="AY197" s="192"/>
      <c r="AZ197" s="192"/>
      <c r="BA197" s="67">
        <v>185</v>
      </c>
      <c r="BB197" s="68">
        <f t="shared" si="55"/>
        <v>0</v>
      </c>
      <c r="BC197" s="192">
        <f t="shared" si="56"/>
        <v>0</v>
      </c>
      <c r="BD197" s="70">
        <f t="shared" si="54"/>
        <v>0</v>
      </c>
      <c r="BE197" s="70">
        <f t="shared" si="54"/>
        <v>0</v>
      </c>
      <c r="BF197" s="840">
        <v>214</v>
      </c>
      <c r="BG197" s="192">
        <f t="shared" si="57"/>
        <v>0</v>
      </c>
      <c r="BH197" s="192">
        <f t="shared" si="58"/>
        <v>0</v>
      </c>
      <c r="BI197" s="192" t="b">
        <v>0</v>
      </c>
      <c r="BJ197" s="840">
        <v>244</v>
      </c>
      <c r="BK197" s="192"/>
      <c r="BL197" s="192"/>
      <c r="BM197" s="192" t="b">
        <v>0</v>
      </c>
      <c r="BN197" s="192"/>
      <c r="BO197" s="192"/>
      <c r="BP197" s="192"/>
      <c r="BQ197" s="192"/>
      <c r="BR197" s="192"/>
      <c r="BS197" s="192"/>
      <c r="BT197" s="192"/>
      <c r="BU197" s="192"/>
      <c r="BV197" s="192"/>
      <c r="BW197" s="192"/>
      <c r="BX197" s="192"/>
      <c r="BY197" s="192"/>
      <c r="BZ197" s="192"/>
      <c r="CA197" s="192"/>
      <c r="CB197" s="192"/>
      <c r="CC197" s="192"/>
      <c r="CD197" s="192"/>
      <c r="CE197" s="192"/>
      <c r="CF197" s="192"/>
      <c r="CG197" s="192"/>
      <c r="CH197" s="192"/>
      <c r="CI197" s="796"/>
      <c r="CJ197" s="796"/>
      <c r="CK197" s="192"/>
      <c r="CL197" s="192"/>
      <c r="CM197" s="192"/>
      <c r="CN197" s="192"/>
      <c r="CO197" s="192"/>
      <c r="CP197" s="192"/>
      <c r="CQ197" s="192"/>
      <c r="CR197" s="192"/>
      <c r="CS197" s="192"/>
      <c r="CT197" s="192"/>
      <c r="CU197" s="192"/>
      <c r="CV197" s="192"/>
      <c r="CW197" s="192"/>
      <c r="CX197" s="192"/>
      <c r="CY197" s="192"/>
    </row>
    <row r="198" spans="1:103" ht="24.95" customHeight="1">
      <c r="A198" s="866">
        <v>215</v>
      </c>
      <c r="B198" s="2075"/>
      <c r="C198" s="2075"/>
      <c r="D198" s="2075"/>
      <c r="E198" s="2075"/>
      <c r="F198" s="2075"/>
      <c r="G198" s="2075"/>
      <c r="H198" s="872"/>
      <c r="I198" s="872"/>
      <c r="J198" s="872"/>
      <c r="K198" s="2076"/>
      <c r="L198" s="2076"/>
      <c r="M198" s="2076"/>
      <c r="N198" s="866">
        <v>245</v>
      </c>
      <c r="O198" s="2075"/>
      <c r="P198" s="2075"/>
      <c r="Q198" s="2075"/>
      <c r="R198" s="2075"/>
      <c r="S198" s="2075"/>
      <c r="T198" s="2075"/>
      <c r="U198" s="872"/>
      <c r="V198" s="872"/>
      <c r="W198" s="872"/>
      <c r="X198" s="2076"/>
      <c r="Y198" s="2076"/>
      <c r="Z198" s="2076"/>
      <c r="AA198" s="192"/>
      <c r="AB198" s="192"/>
      <c r="AC198" s="192"/>
      <c r="AD198" s="192"/>
      <c r="AE198" s="192"/>
      <c r="AF198" s="192"/>
      <c r="AG198" s="192"/>
      <c r="AH198" s="192"/>
      <c r="AI198" s="192"/>
      <c r="AJ198" s="192"/>
      <c r="AK198" s="192"/>
      <c r="AL198" s="192"/>
      <c r="AM198" s="192"/>
      <c r="AN198" s="192"/>
      <c r="AO198" s="192"/>
      <c r="AP198" s="192"/>
      <c r="AQ198" s="192"/>
      <c r="AR198" s="192"/>
      <c r="AS198" s="192"/>
      <c r="AT198" s="192"/>
      <c r="AU198" s="192"/>
      <c r="AV198" s="192"/>
      <c r="AW198" s="192"/>
      <c r="AX198" s="192"/>
      <c r="AY198" s="192"/>
      <c r="AZ198" s="192"/>
      <c r="BA198" s="67">
        <v>186</v>
      </c>
      <c r="BB198" s="68">
        <f t="shared" si="55"/>
        <v>0</v>
      </c>
      <c r="BC198" s="192">
        <f t="shared" si="56"/>
        <v>0</v>
      </c>
      <c r="BD198" s="70">
        <f t="shared" si="54"/>
        <v>0</v>
      </c>
      <c r="BE198" s="70">
        <f t="shared" si="54"/>
        <v>0</v>
      </c>
      <c r="BF198" s="840">
        <v>215</v>
      </c>
      <c r="BG198" s="192">
        <f t="shared" si="57"/>
        <v>0</v>
      </c>
      <c r="BH198" s="192">
        <f t="shared" si="58"/>
        <v>0</v>
      </c>
      <c r="BI198" s="192" t="b">
        <v>0</v>
      </c>
      <c r="BJ198" s="840">
        <v>245</v>
      </c>
      <c r="BK198" s="192"/>
      <c r="BL198" s="192"/>
      <c r="BM198" s="192" t="b">
        <v>0</v>
      </c>
      <c r="BN198" s="192"/>
      <c r="BO198" s="192"/>
      <c r="BP198" s="192"/>
      <c r="BQ198" s="192"/>
      <c r="BR198" s="192"/>
      <c r="BS198" s="192"/>
      <c r="BT198" s="192"/>
      <c r="BU198" s="192"/>
      <c r="BV198" s="192"/>
      <c r="BW198" s="192"/>
      <c r="BX198" s="192"/>
      <c r="BY198" s="192"/>
      <c r="BZ198" s="192"/>
      <c r="CA198" s="192"/>
      <c r="CB198" s="192"/>
      <c r="CC198" s="192"/>
      <c r="CD198" s="192"/>
      <c r="CE198" s="192"/>
      <c r="CF198" s="192"/>
      <c r="CG198" s="192"/>
      <c r="CH198" s="192"/>
      <c r="CI198" s="796"/>
      <c r="CJ198" s="796"/>
      <c r="CK198" s="192"/>
      <c r="CL198" s="192"/>
      <c r="CM198" s="192"/>
      <c r="CN198" s="192"/>
      <c r="CO198" s="192"/>
      <c r="CP198" s="192"/>
      <c r="CQ198" s="192"/>
      <c r="CR198" s="192"/>
      <c r="CS198" s="192"/>
      <c r="CT198" s="192"/>
      <c r="CU198" s="192"/>
      <c r="CV198" s="192"/>
      <c r="CW198" s="192"/>
      <c r="CX198" s="192"/>
      <c r="CY198" s="192"/>
    </row>
    <row r="199" spans="1:103" ht="24.95" customHeight="1">
      <c r="A199" s="866">
        <v>216</v>
      </c>
      <c r="B199" s="2075"/>
      <c r="C199" s="2075"/>
      <c r="D199" s="2075"/>
      <c r="E199" s="2075"/>
      <c r="F199" s="2075"/>
      <c r="G199" s="2075"/>
      <c r="H199" s="872"/>
      <c r="I199" s="872"/>
      <c r="J199" s="872"/>
      <c r="K199" s="2076"/>
      <c r="L199" s="2076"/>
      <c r="M199" s="2076"/>
      <c r="N199" s="866">
        <v>246</v>
      </c>
      <c r="O199" s="2075"/>
      <c r="P199" s="2075"/>
      <c r="Q199" s="2075"/>
      <c r="R199" s="2075"/>
      <c r="S199" s="2075"/>
      <c r="T199" s="2075"/>
      <c r="U199" s="872"/>
      <c r="V199" s="872"/>
      <c r="W199" s="872"/>
      <c r="X199" s="2076"/>
      <c r="Y199" s="2076"/>
      <c r="Z199" s="2076"/>
      <c r="AA199" s="192"/>
      <c r="AB199" s="192"/>
      <c r="AC199" s="192"/>
      <c r="AD199" s="192"/>
      <c r="AE199" s="192"/>
      <c r="AF199" s="192"/>
      <c r="AG199" s="192"/>
      <c r="AH199" s="192"/>
      <c r="AI199" s="192"/>
      <c r="AJ199" s="192"/>
      <c r="AK199" s="192"/>
      <c r="AL199" s="192"/>
      <c r="AM199" s="192"/>
      <c r="AN199" s="192"/>
      <c r="AO199" s="192"/>
      <c r="AP199" s="192"/>
      <c r="AQ199" s="192"/>
      <c r="AR199" s="192"/>
      <c r="AS199" s="192"/>
      <c r="AT199" s="192"/>
      <c r="AU199" s="192"/>
      <c r="AV199" s="192"/>
      <c r="AW199" s="192"/>
      <c r="AX199" s="192"/>
      <c r="AY199" s="192"/>
      <c r="AZ199" s="192"/>
      <c r="BA199" s="67">
        <v>187</v>
      </c>
      <c r="BB199" s="68">
        <f t="shared" si="55"/>
        <v>0</v>
      </c>
      <c r="BC199" s="192">
        <f t="shared" si="56"/>
        <v>0</v>
      </c>
      <c r="BD199" s="70">
        <f t="shared" si="54"/>
        <v>0</v>
      </c>
      <c r="BE199" s="70">
        <f t="shared" si="54"/>
        <v>0</v>
      </c>
      <c r="BF199" s="840">
        <v>216</v>
      </c>
      <c r="BG199" s="192">
        <f t="shared" si="57"/>
        <v>0</v>
      </c>
      <c r="BH199" s="192">
        <f t="shared" si="58"/>
        <v>0</v>
      </c>
      <c r="BI199" s="192" t="b">
        <v>0</v>
      </c>
      <c r="BJ199" s="840">
        <v>246</v>
      </c>
      <c r="BK199" s="192"/>
      <c r="BL199" s="192"/>
      <c r="BM199" s="192" t="b">
        <v>0</v>
      </c>
      <c r="BN199" s="192"/>
      <c r="BO199" s="192"/>
      <c r="BP199" s="192"/>
      <c r="BQ199" s="192"/>
      <c r="BR199" s="192"/>
      <c r="BS199" s="192"/>
      <c r="BT199" s="192"/>
      <c r="BU199" s="192"/>
      <c r="BV199" s="192"/>
      <c r="BW199" s="192"/>
      <c r="BX199" s="192"/>
      <c r="BY199" s="192"/>
      <c r="BZ199" s="192"/>
      <c r="CA199" s="192"/>
      <c r="CB199" s="192"/>
      <c r="CC199" s="192"/>
      <c r="CD199" s="192"/>
      <c r="CE199" s="192"/>
      <c r="CF199" s="192"/>
      <c r="CG199" s="192"/>
      <c r="CH199" s="192"/>
      <c r="CI199" s="796"/>
      <c r="CJ199" s="796"/>
      <c r="CK199" s="192"/>
      <c r="CL199" s="192"/>
      <c r="CM199" s="192"/>
      <c r="CN199" s="192"/>
      <c r="CO199" s="192"/>
      <c r="CP199" s="192"/>
      <c r="CQ199" s="192"/>
      <c r="CR199" s="192"/>
      <c r="CS199" s="192"/>
      <c r="CT199" s="192"/>
      <c r="CU199" s="192"/>
      <c r="CV199" s="192"/>
      <c r="CW199" s="192"/>
      <c r="CX199" s="192"/>
      <c r="CY199" s="192"/>
    </row>
    <row r="200" spans="1:103" ht="24.95" customHeight="1">
      <c r="A200" s="866">
        <v>217</v>
      </c>
      <c r="B200" s="2075"/>
      <c r="C200" s="2075"/>
      <c r="D200" s="2075"/>
      <c r="E200" s="2075"/>
      <c r="F200" s="2075"/>
      <c r="G200" s="2075"/>
      <c r="H200" s="872"/>
      <c r="I200" s="872"/>
      <c r="J200" s="872"/>
      <c r="K200" s="2076"/>
      <c r="L200" s="2076"/>
      <c r="M200" s="2076"/>
      <c r="N200" s="866">
        <v>247</v>
      </c>
      <c r="O200" s="2075"/>
      <c r="P200" s="2075"/>
      <c r="Q200" s="2075"/>
      <c r="R200" s="2075"/>
      <c r="S200" s="2075"/>
      <c r="T200" s="2075"/>
      <c r="U200" s="872"/>
      <c r="V200" s="872"/>
      <c r="W200" s="872"/>
      <c r="X200" s="2076"/>
      <c r="Y200" s="2076"/>
      <c r="Z200" s="2076"/>
      <c r="AA200" s="192"/>
      <c r="AB200" s="192"/>
      <c r="AC200" s="192"/>
      <c r="AD200" s="192"/>
      <c r="AE200" s="192"/>
      <c r="AF200" s="192"/>
      <c r="AG200" s="192"/>
      <c r="AH200" s="192"/>
      <c r="AI200" s="192"/>
      <c r="AJ200" s="192"/>
      <c r="AK200" s="192"/>
      <c r="AL200" s="192"/>
      <c r="AM200" s="192"/>
      <c r="AN200" s="192"/>
      <c r="AO200" s="192"/>
      <c r="AP200" s="192"/>
      <c r="AQ200" s="192"/>
      <c r="AR200" s="192"/>
      <c r="AS200" s="192"/>
      <c r="AT200" s="192"/>
      <c r="AU200" s="192"/>
      <c r="AV200" s="192"/>
      <c r="AW200" s="192"/>
      <c r="AX200" s="192"/>
      <c r="AY200" s="192"/>
      <c r="AZ200" s="192"/>
      <c r="BA200" s="67">
        <v>188</v>
      </c>
      <c r="BB200" s="68">
        <f t="shared" si="55"/>
        <v>0</v>
      </c>
      <c r="BC200" s="192">
        <f t="shared" si="56"/>
        <v>0</v>
      </c>
      <c r="BD200" s="70">
        <f t="shared" si="54"/>
        <v>0</v>
      </c>
      <c r="BE200" s="70">
        <f t="shared" si="54"/>
        <v>0</v>
      </c>
      <c r="BF200" s="840">
        <v>217</v>
      </c>
      <c r="BG200" s="192">
        <f t="shared" si="57"/>
        <v>0</v>
      </c>
      <c r="BH200" s="192">
        <f t="shared" si="58"/>
        <v>0</v>
      </c>
      <c r="BI200" s="192" t="b">
        <v>0</v>
      </c>
      <c r="BJ200" s="840">
        <v>247</v>
      </c>
      <c r="BK200" s="192"/>
      <c r="BL200" s="192"/>
      <c r="BM200" s="192" t="b">
        <v>0</v>
      </c>
      <c r="BN200" s="192"/>
      <c r="BO200" s="192"/>
      <c r="BP200" s="192"/>
      <c r="BQ200" s="192"/>
      <c r="BR200" s="192"/>
      <c r="BS200" s="192"/>
      <c r="BT200" s="192"/>
      <c r="BU200" s="192"/>
      <c r="BV200" s="192"/>
      <c r="BW200" s="192"/>
      <c r="BX200" s="192"/>
      <c r="BY200" s="192"/>
      <c r="BZ200" s="192"/>
      <c r="CA200" s="192"/>
      <c r="CB200" s="192"/>
      <c r="CC200" s="192"/>
      <c r="CD200" s="192"/>
      <c r="CE200" s="192"/>
      <c r="CF200" s="192"/>
      <c r="CG200" s="192"/>
      <c r="CH200" s="192"/>
      <c r="CI200" s="796"/>
      <c r="CJ200" s="796"/>
      <c r="CK200" s="192"/>
      <c r="CL200" s="192"/>
      <c r="CM200" s="192"/>
      <c r="CN200" s="192"/>
      <c r="CO200" s="192"/>
      <c r="CP200" s="192"/>
      <c r="CQ200" s="192"/>
      <c r="CR200" s="192"/>
      <c r="CS200" s="192"/>
      <c r="CT200" s="192"/>
      <c r="CU200" s="192"/>
      <c r="CV200" s="192"/>
      <c r="CW200" s="192"/>
      <c r="CX200" s="192"/>
      <c r="CY200" s="192"/>
    </row>
    <row r="201" spans="1:103" ht="24.95" customHeight="1">
      <c r="A201" s="866">
        <v>218</v>
      </c>
      <c r="B201" s="2075"/>
      <c r="C201" s="2075"/>
      <c r="D201" s="2075"/>
      <c r="E201" s="2075"/>
      <c r="F201" s="2075"/>
      <c r="G201" s="2075"/>
      <c r="H201" s="872"/>
      <c r="I201" s="872"/>
      <c r="J201" s="872"/>
      <c r="K201" s="2076"/>
      <c r="L201" s="2076"/>
      <c r="M201" s="2076"/>
      <c r="N201" s="866">
        <v>248</v>
      </c>
      <c r="O201" s="2075"/>
      <c r="P201" s="2075"/>
      <c r="Q201" s="2075"/>
      <c r="R201" s="2075"/>
      <c r="S201" s="2075"/>
      <c r="T201" s="2075"/>
      <c r="U201" s="872"/>
      <c r="V201" s="872"/>
      <c r="W201" s="872"/>
      <c r="X201" s="2076"/>
      <c r="Y201" s="2076"/>
      <c r="Z201" s="2076"/>
      <c r="AA201" s="192"/>
      <c r="AB201" s="192"/>
      <c r="AC201" s="192"/>
      <c r="AD201" s="192"/>
      <c r="AE201" s="192"/>
      <c r="AF201" s="192"/>
      <c r="AG201" s="192"/>
      <c r="AH201" s="192"/>
      <c r="AI201" s="192"/>
      <c r="AJ201" s="192"/>
      <c r="AK201" s="192"/>
      <c r="AL201" s="192"/>
      <c r="AM201" s="192"/>
      <c r="AN201" s="192"/>
      <c r="AO201" s="192"/>
      <c r="AP201" s="192"/>
      <c r="AQ201" s="192"/>
      <c r="AR201" s="192"/>
      <c r="AS201" s="192"/>
      <c r="AT201" s="192"/>
      <c r="AU201" s="192"/>
      <c r="AV201" s="192"/>
      <c r="AW201" s="192"/>
      <c r="AX201" s="192"/>
      <c r="AY201" s="192"/>
      <c r="AZ201" s="192"/>
      <c r="BA201" s="67">
        <v>189</v>
      </c>
      <c r="BB201" s="68">
        <f t="shared" si="55"/>
        <v>0</v>
      </c>
      <c r="BC201" s="192">
        <f t="shared" si="56"/>
        <v>0</v>
      </c>
      <c r="BD201" s="70">
        <f t="shared" si="54"/>
        <v>0</v>
      </c>
      <c r="BE201" s="70">
        <f t="shared" si="54"/>
        <v>0</v>
      </c>
      <c r="BF201" s="840">
        <v>218</v>
      </c>
      <c r="BG201" s="192">
        <f t="shared" si="57"/>
        <v>0</v>
      </c>
      <c r="BH201" s="192">
        <f t="shared" si="58"/>
        <v>0</v>
      </c>
      <c r="BI201" s="192" t="b">
        <v>0</v>
      </c>
      <c r="BJ201" s="840">
        <v>248</v>
      </c>
      <c r="BK201" s="192"/>
      <c r="BL201" s="192"/>
      <c r="BM201" s="192" t="b">
        <v>0</v>
      </c>
      <c r="BN201" s="192"/>
      <c r="BO201" s="192"/>
      <c r="BP201" s="192"/>
      <c r="BQ201" s="192"/>
      <c r="BR201" s="192"/>
      <c r="BS201" s="192"/>
      <c r="BT201" s="192"/>
      <c r="BU201" s="192"/>
      <c r="BV201" s="192"/>
      <c r="BW201" s="192"/>
      <c r="BX201" s="192"/>
      <c r="BY201" s="192"/>
      <c r="BZ201" s="192"/>
      <c r="CA201" s="192"/>
      <c r="CB201" s="192"/>
      <c r="CC201" s="192"/>
      <c r="CD201" s="192"/>
      <c r="CE201" s="192"/>
      <c r="CF201" s="192"/>
      <c r="CG201" s="192"/>
      <c r="CH201" s="192"/>
      <c r="CI201" s="796"/>
      <c r="CJ201" s="796"/>
      <c r="CK201" s="192"/>
      <c r="CL201" s="192"/>
      <c r="CM201" s="192"/>
      <c r="CN201" s="192"/>
      <c r="CO201" s="192"/>
      <c r="CP201" s="192"/>
      <c r="CQ201" s="192"/>
      <c r="CR201" s="192"/>
      <c r="CS201" s="192"/>
      <c r="CT201" s="192"/>
      <c r="CU201" s="192"/>
      <c r="CV201" s="192"/>
      <c r="CW201" s="192"/>
      <c r="CX201" s="192"/>
      <c r="CY201" s="192"/>
    </row>
    <row r="202" spans="1:103" ht="24.95" customHeight="1">
      <c r="A202" s="866">
        <v>219</v>
      </c>
      <c r="B202" s="2075"/>
      <c r="C202" s="2075"/>
      <c r="D202" s="2075"/>
      <c r="E202" s="2075"/>
      <c r="F202" s="2075"/>
      <c r="G202" s="2075"/>
      <c r="H202" s="872"/>
      <c r="I202" s="872"/>
      <c r="J202" s="872"/>
      <c r="K202" s="2076"/>
      <c r="L202" s="2076"/>
      <c r="M202" s="2076"/>
      <c r="N202" s="866">
        <v>249</v>
      </c>
      <c r="O202" s="2075"/>
      <c r="P202" s="2075"/>
      <c r="Q202" s="2075"/>
      <c r="R202" s="2075"/>
      <c r="S202" s="2075"/>
      <c r="T202" s="2075"/>
      <c r="U202" s="872"/>
      <c r="V202" s="872"/>
      <c r="W202" s="872"/>
      <c r="X202" s="2076"/>
      <c r="Y202" s="2076"/>
      <c r="Z202" s="2076"/>
      <c r="AA202" s="192"/>
      <c r="AB202" s="192"/>
      <c r="AC202" s="192"/>
      <c r="AD202" s="192"/>
      <c r="AE202" s="192"/>
      <c r="AF202" s="192"/>
      <c r="AG202" s="192"/>
      <c r="AH202" s="192"/>
      <c r="AI202" s="192"/>
      <c r="AJ202" s="192"/>
      <c r="AK202" s="192"/>
      <c r="AL202" s="192"/>
      <c r="AM202" s="192"/>
      <c r="AN202" s="192"/>
      <c r="AO202" s="192"/>
      <c r="AP202" s="192"/>
      <c r="AQ202" s="192"/>
      <c r="AR202" s="192"/>
      <c r="AS202" s="192"/>
      <c r="AT202" s="192"/>
      <c r="AU202" s="192"/>
      <c r="AV202" s="192"/>
      <c r="AW202" s="192"/>
      <c r="AX202" s="192"/>
      <c r="AY202" s="192"/>
      <c r="AZ202" s="192"/>
      <c r="BA202" s="67">
        <v>190</v>
      </c>
      <c r="BB202" s="68">
        <f t="shared" si="55"/>
        <v>0</v>
      </c>
      <c r="BC202" s="192">
        <f t="shared" si="56"/>
        <v>0</v>
      </c>
      <c r="BD202" s="70">
        <f t="shared" si="54"/>
        <v>0</v>
      </c>
      <c r="BE202" s="70">
        <f t="shared" si="54"/>
        <v>0</v>
      </c>
      <c r="BF202" s="840">
        <v>219</v>
      </c>
      <c r="BG202" s="192">
        <f t="shared" si="57"/>
        <v>0</v>
      </c>
      <c r="BH202" s="192">
        <f t="shared" si="58"/>
        <v>0</v>
      </c>
      <c r="BI202" s="192" t="b">
        <v>0</v>
      </c>
      <c r="BJ202" s="840">
        <v>249</v>
      </c>
      <c r="BK202" s="192"/>
      <c r="BL202" s="192"/>
      <c r="BM202" s="192" t="b">
        <v>0</v>
      </c>
      <c r="BN202" s="192"/>
      <c r="BO202" s="192"/>
      <c r="BP202" s="192"/>
      <c r="BQ202" s="192"/>
      <c r="BR202" s="192"/>
      <c r="BS202" s="192"/>
      <c r="BT202" s="192"/>
      <c r="BU202" s="192"/>
      <c r="BV202" s="192"/>
      <c r="BW202" s="192"/>
      <c r="BX202" s="192"/>
      <c r="BY202" s="192"/>
      <c r="BZ202" s="192"/>
      <c r="CA202" s="192"/>
      <c r="CB202" s="192"/>
      <c r="CC202" s="192"/>
      <c r="CD202" s="192"/>
      <c r="CE202" s="192"/>
      <c r="CF202" s="192"/>
      <c r="CG202" s="192"/>
      <c r="CH202" s="192"/>
      <c r="CI202" s="796"/>
      <c r="CJ202" s="796"/>
      <c r="CK202" s="192"/>
      <c r="CL202" s="192"/>
      <c r="CM202" s="192"/>
      <c r="CN202" s="192"/>
      <c r="CO202" s="192"/>
      <c r="CP202" s="192"/>
      <c r="CQ202" s="192"/>
      <c r="CR202" s="192"/>
      <c r="CS202" s="192"/>
      <c r="CT202" s="192"/>
      <c r="CU202" s="192"/>
      <c r="CV202" s="192"/>
      <c r="CW202" s="192"/>
      <c r="CX202" s="192"/>
      <c r="CY202" s="192"/>
    </row>
    <row r="203" spans="1:103" ht="24.95" customHeight="1">
      <c r="A203" s="866">
        <v>220</v>
      </c>
      <c r="B203" s="2075"/>
      <c r="C203" s="2075"/>
      <c r="D203" s="2075"/>
      <c r="E203" s="2075"/>
      <c r="F203" s="2075"/>
      <c r="G203" s="2075"/>
      <c r="H203" s="872"/>
      <c r="I203" s="872"/>
      <c r="J203" s="872"/>
      <c r="K203" s="2076"/>
      <c r="L203" s="2076"/>
      <c r="M203" s="2076"/>
      <c r="N203" s="866">
        <v>250</v>
      </c>
      <c r="O203" s="2075"/>
      <c r="P203" s="2075"/>
      <c r="Q203" s="2075"/>
      <c r="R203" s="2075"/>
      <c r="S203" s="2075"/>
      <c r="T203" s="2075"/>
      <c r="U203" s="872"/>
      <c r="V203" s="872"/>
      <c r="W203" s="872"/>
      <c r="X203" s="2076"/>
      <c r="Y203" s="2076"/>
      <c r="Z203" s="2076"/>
      <c r="AA203" s="192"/>
      <c r="AB203" s="192"/>
      <c r="AC203" s="192"/>
      <c r="AD203" s="192"/>
      <c r="AE203" s="192"/>
      <c r="AF203" s="192"/>
      <c r="AG203" s="192"/>
      <c r="AH203" s="192"/>
      <c r="AI203" s="192"/>
      <c r="AJ203" s="192"/>
      <c r="AK203" s="192"/>
      <c r="AL203" s="192"/>
      <c r="AM203" s="192"/>
      <c r="AN203" s="192"/>
      <c r="AO203" s="192"/>
      <c r="AP203" s="192"/>
      <c r="AQ203" s="192"/>
      <c r="AR203" s="192"/>
      <c r="AS203" s="192"/>
      <c r="AT203" s="192"/>
      <c r="AU203" s="192"/>
      <c r="AV203" s="192"/>
      <c r="AW203" s="192"/>
      <c r="AX203" s="192"/>
      <c r="AY203" s="192"/>
      <c r="AZ203" s="192"/>
      <c r="BA203" s="67">
        <v>191</v>
      </c>
      <c r="BB203" s="68">
        <f t="shared" si="55"/>
        <v>0</v>
      </c>
      <c r="BC203" s="192">
        <f t="shared" si="56"/>
        <v>0</v>
      </c>
      <c r="BD203" s="70">
        <f t="shared" si="54"/>
        <v>0</v>
      </c>
      <c r="BE203" s="70">
        <f t="shared" si="54"/>
        <v>0</v>
      </c>
      <c r="BF203" s="840">
        <v>220</v>
      </c>
      <c r="BG203" s="192">
        <f t="shared" si="57"/>
        <v>0</v>
      </c>
      <c r="BH203" s="192">
        <f t="shared" si="58"/>
        <v>0</v>
      </c>
      <c r="BI203" s="192" t="b">
        <v>0</v>
      </c>
      <c r="BJ203" s="840">
        <v>250</v>
      </c>
      <c r="BK203" s="192"/>
      <c r="BL203" s="192"/>
      <c r="BM203" s="192" t="b">
        <v>0</v>
      </c>
      <c r="BN203" s="192"/>
      <c r="BO203" s="192"/>
      <c r="BP203" s="192"/>
      <c r="BQ203" s="192"/>
      <c r="BR203" s="192"/>
      <c r="BS203" s="192"/>
      <c r="BT203" s="192"/>
      <c r="BU203" s="192"/>
      <c r="BV203" s="192"/>
      <c r="BW203" s="192"/>
      <c r="BX203" s="192"/>
      <c r="BY203" s="192"/>
      <c r="BZ203" s="192"/>
      <c r="CA203" s="192"/>
      <c r="CB203" s="192"/>
      <c r="CC203" s="192"/>
      <c r="CD203" s="192"/>
      <c r="CE203" s="192"/>
      <c r="CF203" s="192"/>
      <c r="CG203" s="192"/>
      <c r="CH203" s="192"/>
      <c r="CI203" s="796"/>
      <c r="CJ203" s="796"/>
      <c r="CK203" s="192"/>
      <c r="CL203" s="192"/>
      <c r="CM203" s="192"/>
      <c r="CN203" s="192"/>
      <c r="CO203" s="192"/>
      <c r="CP203" s="192"/>
      <c r="CQ203" s="192"/>
      <c r="CR203" s="192"/>
      <c r="CS203" s="192"/>
      <c r="CT203" s="192"/>
      <c r="CU203" s="192"/>
      <c r="CV203" s="192"/>
      <c r="CW203" s="192"/>
      <c r="CX203" s="192"/>
      <c r="CY203" s="192"/>
    </row>
    <row r="204" spans="1:103" ht="24.95" customHeight="1">
      <c r="A204" s="866">
        <v>221</v>
      </c>
      <c r="B204" s="2075"/>
      <c r="C204" s="2075"/>
      <c r="D204" s="2075"/>
      <c r="E204" s="2075"/>
      <c r="F204" s="2075"/>
      <c r="G204" s="2075"/>
      <c r="H204" s="872"/>
      <c r="I204" s="872"/>
      <c r="J204" s="872"/>
      <c r="K204" s="2076"/>
      <c r="L204" s="2076"/>
      <c r="M204" s="2076"/>
      <c r="N204" s="866">
        <v>251</v>
      </c>
      <c r="O204" s="2075"/>
      <c r="P204" s="2075"/>
      <c r="Q204" s="2075"/>
      <c r="R204" s="2075"/>
      <c r="S204" s="2075"/>
      <c r="T204" s="2075"/>
      <c r="U204" s="872"/>
      <c r="V204" s="872"/>
      <c r="W204" s="872"/>
      <c r="X204" s="2076"/>
      <c r="Y204" s="2076"/>
      <c r="Z204" s="2076"/>
      <c r="AA204" s="192"/>
      <c r="AB204" s="192"/>
      <c r="AC204" s="192"/>
      <c r="AD204" s="192"/>
      <c r="AE204" s="192"/>
      <c r="AF204" s="192"/>
      <c r="AG204" s="192"/>
      <c r="AH204" s="192"/>
      <c r="AI204" s="192"/>
      <c r="AJ204" s="192"/>
      <c r="AK204" s="192"/>
      <c r="AL204" s="192"/>
      <c r="AM204" s="192"/>
      <c r="AN204" s="192"/>
      <c r="AO204" s="192"/>
      <c r="AP204" s="192"/>
      <c r="AQ204" s="192"/>
      <c r="AR204" s="192"/>
      <c r="AS204" s="192"/>
      <c r="AT204" s="192"/>
      <c r="AU204" s="192"/>
      <c r="AV204" s="192"/>
      <c r="AW204" s="192"/>
      <c r="AX204" s="192"/>
      <c r="AY204" s="192"/>
      <c r="AZ204" s="192"/>
      <c r="BA204" s="67">
        <v>192</v>
      </c>
      <c r="BB204" s="68">
        <f t="shared" si="55"/>
        <v>0</v>
      </c>
      <c r="BC204" s="192">
        <f t="shared" si="56"/>
        <v>0</v>
      </c>
      <c r="BD204" s="70">
        <f t="shared" si="54"/>
        <v>0</v>
      </c>
      <c r="BE204" s="70">
        <f t="shared" si="54"/>
        <v>0</v>
      </c>
      <c r="BF204" s="840">
        <v>221</v>
      </c>
      <c r="BG204" s="192">
        <f t="shared" si="57"/>
        <v>0</v>
      </c>
      <c r="BH204" s="192">
        <f t="shared" si="58"/>
        <v>0</v>
      </c>
      <c r="BI204" s="192" t="b">
        <v>0</v>
      </c>
      <c r="BJ204" s="840">
        <v>251</v>
      </c>
      <c r="BK204" s="192"/>
      <c r="BL204" s="192"/>
      <c r="BM204" s="192" t="b">
        <v>0</v>
      </c>
      <c r="BN204" s="192"/>
      <c r="BO204" s="192"/>
      <c r="BP204" s="192"/>
      <c r="BQ204" s="192"/>
      <c r="BR204" s="192"/>
      <c r="BS204" s="192"/>
      <c r="BT204" s="192"/>
      <c r="BU204" s="192"/>
      <c r="BV204" s="192"/>
      <c r="BW204" s="192"/>
      <c r="BX204" s="192"/>
      <c r="BY204" s="192"/>
      <c r="BZ204" s="192"/>
      <c r="CA204" s="192"/>
      <c r="CB204" s="192"/>
      <c r="CC204" s="192"/>
      <c r="CD204" s="192"/>
      <c r="CE204" s="192"/>
      <c r="CF204" s="192"/>
      <c r="CG204" s="192"/>
      <c r="CH204" s="192"/>
      <c r="CI204" s="796"/>
      <c r="CJ204" s="796"/>
      <c r="CK204" s="192"/>
      <c r="CL204" s="192"/>
      <c r="CM204" s="192"/>
      <c r="CN204" s="192"/>
      <c r="CO204" s="192"/>
      <c r="CP204" s="192"/>
      <c r="CQ204" s="192"/>
      <c r="CR204" s="192"/>
      <c r="CS204" s="192"/>
      <c r="CT204" s="192"/>
      <c r="CU204" s="192"/>
      <c r="CV204" s="192"/>
      <c r="CW204" s="192"/>
      <c r="CX204" s="192"/>
      <c r="CY204" s="192"/>
    </row>
    <row r="205" spans="1:103" ht="24.95" customHeight="1">
      <c r="A205" s="866">
        <v>222</v>
      </c>
      <c r="B205" s="2075"/>
      <c r="C205" s="2075"/>
      <c r="D205" s="2075"/>
      <c r="E205" s="2075"/>
      <c r="F205" s="2075"/>
      <c r="G205" s="2075"/>
      <c r="H205" s="872"/>
      <c r="I205" s="872"/>
      <c r="J205" s="872"/>
      <c r="K205" s="2076"/>
      <c r="L205" s="2076"/>
      <c r="M205" s="2076"/>
      <c r="N205" s="866">
        <v>252</v>
      </c>
      <c r="O205" s="2075"/>
      <c r="P205" s="2075"/>
      <c r="Q205" s="2075"/>
      <c r="R205" s="2075"/>
      <c r="S205" s="2075"/>
      <c r="T205" s="2075"/>
      <c r="U205" s="872"/>
      <c r="V205" s="872"/>
      <c r="W205" s="872"/>
      <c r="X205" s="2076"/>
      <c r="Y205" s="2076"/>
      <c r="Z205" s="2076"/>
      <c r="AA205" s="192"/>
      <c r="AB205" s="192"/>
      <c r="AC205" s="192"/>
      <c r="AD205" s="192"/>
      <c r="AE205" s="192"/>
      <c r="AF205" s="192"/>
      <c r="AG205" s="192"/>
      <c r="AH205" s="192"/>
      <c r="AI205" s="192"/>
      <c r="AJ205" s="192"/>
      <c r="AK205" s="192"/>
      <c r="AL205" s="192"/>
      <c r="AM205" s="192"/>
      <c r="AN205" s="192"/>
      <c r="AO205" s="192"/>
      <c r="AP205" s="192"/>
      <c r="AQ205" s="192"/>
      <c r="AR205" s="192"/>
      <c r="AS205" s="192"/>
      <c r="AT205" s="192"/>
      <c r="AU205" s="192"/>
      <c r="AV205" s="192"/>
      <c r="AW205" s="192"/>
      <c r="AX205" s="192"/>
      <c r="AY205" s="192"/>
      <c r="AZ205" s="192"/>
      <c r="BA205" s="67">
        <v>193</v>
      </c>
      <c r="BB205" s="68">
        <f t="shared" si="55"/>
        <v>0</v>
      </c>
      <c r="BC205" s="192">
        <f t="shared" si="56"/>
        <v>0</v>
      </c>
      <c r="BD205" s="70">
        <f t="shared" si="54"/>
        <v>0</v>
      </c>
      <c r="BE205" s="70">
        <f t="shared" si="54"/>
        <v>0</v>
      </c>
      <c r="BF205" s="840">
        <v>222</v>
      </c>
      <c r="BG205" s="192">
        <f t="shared" si="57"/>
        <v>0</v>
      </c>
      <c r="BH205" s="192">
        <f t="shared" si="58"/>
        <v>0</v>
      </c>
      <c r="BI205" s="192" t="b">
        <v>0</v>
      </c>
      <c r="BJ205" s="840">
        <v>252</v>
      </c>
      <c r="BK205" s="192"/>
      <c r="BL205" s="192"/>
      <c r="BM205" s="192" t="b">
        <v>0</v>
      </c>
      <c r="BN205" s="192"/>
      <c r="BO205" s="192"/>
      <c r="BP205" s="192"/>
      <c r="BQ205" s="192"/>
      <c r="BR205" s="192"/>
      <c r="BS205" s="192"/>
      <c r="BT205" s="192"/>
      <c r="BU205" s="192"/>
      <c r="BV205" s="192"/>
      <c r="BW205" s="192"/>
      <c r="BX205" s="192"/>
      <c r="BY205" s="192"/>
      <c r="BZ205" s="192"/>
      <c r="CA205" s="192"/>
      <c r="CB205" s="192"/>
      <c r="CC205" s="192"/>
      <c r="CD205" s="192"/>
      <c r="CE205" s="192"/>
      <c r="CF205" s="192"/>
      <c r="CG205" s="192"/>
      <c r="CH205" s="192"/>
      <c r="CI205" s="796"/>
      <c r="CJ205" s="796"/>
      <c r="CK205" s="192"/>
      <c r="CL205" s="192"/>
      <c r="CM205" s="192"/>
      <c r="CN205" s="192"/>
      <c r="CO205" s="192"/>
      <c r="CP205" s="192"/>
      <c r="CQ205" s="192"/>
      <c r="CR205" s="192"/>
      <c r="CS205" s="192"/>
      <c r="CT205" s="192"/>
      <c r="CU205" s="192"/>
      <c r="CV205" s="192"/>
      <c r="CW205" s="192"/>
      <c r="CX205" s="192"/>
      <c r="CY205" s="192"/>
    </row>
    <row r="206" spans="1:103" ht="24.95" customHeight="1">
      <c r="A206" s="866">
        <v>223</v>
      </c>
      <c r="B206" s="2075"/>
      <c r="C206" s="2075"/>
      <c r="D206" s="2075"/>
      <c r="E206" s="2075"/>
      <c r="F206" s="2075"/>
      <c r="G206" s="2075"/>
      <c r="H206" s="872"/>
      <c r="I206" s="872"/>
      <c r="J206" s="872"/>
      <c r="K206" s="2076"/>
      <c r="L206" s="2076"/>
      <c r="M206" s="2076"/>
      <c r="N206" s="866">
        <v>253</v>
      </c>
      <c r="O206" s="2075"/>
      <c r="P206" s="2075"/>
      <c r="Q206" s="2075"/>
      <c r="R206" s="2075"/>
      <c r="S206" s="2075"/>
      <c r="T206" s="2075"/>
      <c r="U206" s="872"/>
      <c r="V206" s="872"/>
      <c r="W206" s="872"/>
      <c r="X206" s="2076"/>
      <c r="Y206" s="2076"/>
      <c r="Z206" s="2076"/>
      <c r="AA206" s="192"/>
      <c r="AB206" s="192"/>
      <c r="AC206" s="192"/>
      <c r="AD206" s="192"/>
      <c r="AE206" s="192"/>
      <c r="AF206" s="192"/>
      <c r="AG206" s="192"/>
      <c r="AH206" s="192"/>
      <c r="AI206" s="192"/>
      <c r="AJ206" s="192"/>
      <c r="AK206" s="192"/>
      <c r="AL206" s="192"/>
      <c r="AM206" s="192"/>
      <c r="AN206" s="192"/>
      <c r="AO206" s="192"/>
      <c r="AP206" s="192"/>
      <c r="AQ206" s="192"/>
      <c r="AR206" s="192"/>
      <c r="AS206" s="192"/>
      <c r="AT206" s="192"/>
      <c r="AU206" s="192"/>
      <c r="AV206" s="192"/>
      <c r="AW206" s="192"/>
      <c r="AX206" s="192"/>
      <c r="AY206" s="192"/>
      <c r="AZ206" s="192"/>
      <c r="BA206" s="67">
        <v>194</v>
      </c>
      <c r="BB206" s="68">
        <f t="shared" si="55"/>
        <v>0</v>
      </c>
      <c r="BC206" s="192">
        <f t="shared" si="56"/>
        <v>0</v>
      </c>
      <c r="BD206" s="70">
        <f t="shared" si="54"/>
        <v>0</v>
      </c>
      <c r="BE206" s="70">
        <f t="shared" si="54"/>
        <v>0</v>
      </c>
      <c r="BF206" s="840">
        <v>223</v>
      </c>
      <c r="BG206" s="192">
        <f t="shared" si="57"/>
        <v>0</v>
      </c>
      <c r="BH206" s="192">
        <f t="shared" si="58"/>
        <v>0</v>
      </c>
      <c r="BI206" s="192" t="b">
        <v>0</v>
      </c>
      <c r="BJ206" s="840">
        <v>253</v>
      </c>
      <c r="BK206" s="192"/>
      <c r="BL206" s="192"/>
      <c r="BM206" s="192" t="b">
        <v>0</v>
      </c>
      <c r="BN206" s="192"/>
      <c r="BO206" s="192"/>
      <c r="BP206" s="192"/>
      <c r="BQ206" s="192"/>
      <c r="BR206" s="192"/>
      <c r="BS206" s="192"/>
      <c r="BT206" s="192"/>
      <c r="BU206" s="192"/>
      <c r="BV206" s="192"/>
      <c r="BW206" s="192"/>
      <c r="BX206" s="192"/>
      <c r="BY206" s="192"/>
      <c r="BZ206" s="192"/>
      <c r="CA206" s="192"/>
      <c r="CB206" s="192"/>
      <c r="CC206" s="192"/>
      <c r="CD206" s="192"/>
      <c r="CE206" s="192"/>
      <c r="CF206" s="192"/>
      <c r="CG206" s="192"/>
      <c r="CH206" s="192"/>
      <c r="CI206" s="796"/>
      <c r="CJ206" s="796"/>
      <c r="CK206" s="192"/>
      <c r="CL206" s="192"/>
      <c r="CM206" s="192"/>
      <c r="CN206" s="192"/>
      <c r="CO206" s="192"/>
      <c r="CP206" s="192"/>
      <c r="CQ206" s="192"/>
      <c r="CR206" s="192"/>
      <c r="CS206" s="192"/>
      <c r="CT206" s="192"/>
      <c r="CU206" s="192"/>
      <c r="CV206" s="192"/>
      <c r="CW206" s="192"/>
      <c r="CX206" s="192"/>
      <c r="CY206" s="192"/>
    </row>
    <row r="207" spans="1:103" ht="24.95" customHeight="1">
      <c r="A207" s="866">
        <v>224</v>
      </c>
      <c r="B207" s="2075"/>
      <c r="C207" s="2075"/>
      <c r="D207" s="2075"/>
      <c r="E207" s="2075"/>
      <c r="F207" s="2075"/>
      <c r="G207" s="2075"/>
      <c r="H207" s="872"/>
      <c r="I207" s="872"/>
      <c r="J207" s="872"/>
      <c r="K207" s="2076"/>
      <c r="L207" s="2076"/>
      <c r="M207" s="2076"/>
      <c r="N207" s="866">
        <v>254</v>
      </c>
      <c r="O207" s="2075"/>
      <c r="P207" s="2075"/>
      <c r="Q207" s="2075"/>
      <c r="R207" s="2075"/>
      <c r="S207" s="2075"/>
      <c r="T207" s="2075"/>
      <c r="U207" s="872"/>
      <c r="V207" s="872"/>
      <c r="W207" s="872"/>
      <c r="X207" s="2076"/>
      <c r="Y207" s="2076"/>
      <c r="Z207" s="2076"/>
      <c r="AA207" s="192"/>
      <c r="AB207" s="192"/>
      <c r="AC207" s="192"/>
      <c r="AD207" s="192"/>
      <c r="AE207" s="192"/>
      <c r="AF207" s="192"/>
      <c r="AG207" s="192"/>
      <c r="AH207" s="192"/>
      <c r="AI207" s="192"/>
      <c r="AJ207" s="192"/>
      <c r="AK207" s="192"/>
      <c r="AL207" s="192"/>
      <c r="AM207" s="192"/>
      <c r="AN207" s="192"/>
      <c r="AO207" s="192"/>
      <c r="AP207" s="192"/>
      <c r="AQ207" s="192"/>
      <c r="AR207" s="192"/>
      <c r="AS207" s="192"/>
      <c r="AT207" s="192"/>
      <c r="AU207" s="192"/>
      <c r="AV207" s="192"/>
      <c r="AW207" s="192"/>
      <c r="AX207" s="192"/>
      <c r="AY207" s="192"/>
      <c r="AZ207" s="192"/>
      <c r="BA207" s="67">
        <v>195</v>
      </c>
      <c r="BB207" s="68">
        <f t="shared" si="55"/>
        <v>0</v>
      </c>
      <c r="BC207" s="192">
        <f t="shared" si="56"/>
        <v>0</v>
      </c>
      <c r="BD207" s="70">
        <f t="shared" si="54"/>
        <v>0</v>
      </c>
      <c r="BE207" s="70">
        <f t="shared" si="54"/>
        <v>0</v>
      </c>
      <c r="BF207" s="840">
        <v>224</v>
      </c>
      <c r="BG207" s="192">
        <f t="shared" si="57"/>
        <v>0</v>
      </c>
      <c r="BH207" s="192">
        <f t="shared" si="58"/>
        <v>0</v>
      </c>
      <c r="BI207" s="192" t="b">
        <v>0</v>
      </c>
      <c r="BJ207" s="840">
        <v>254</v>
      </c>
      <c r="BK207" s="192"/>
      <c r="BL207" s="192"/>
      <c r="BM207" s="192" t="b">
        <v>0</v>
      </c>
      <c r="BN207" s="192"/>
      <c r="BO207" s="192"/>
      <c r="BP207" s="192"/>
      <c r="BQ207" s="192"/>
      <c r="BR207" s="192"/>
      <c r="BS207" s="192"/>
      <c r="BT207" s="192"/>
      <c r="BU207" s="192"/>
      <c r="BV207" s="192"/>
      <c r="BW207" s="192"/>
      <c r="BX207" s="192"/>
      <c r="BY207" s="192"/>
      <c r="BZ207" s="192"/>
      <c r="CA207" s="192"/>
      <c r="CB207" s="192"/>
      <c r="CC207" s="192"/>
      <c r="CD207" s="192"/>
      <c r="CE207" s="192"/>
      <c r="CF207" s="192"/>
      <c r="CG207" s="192"/>
      <c r="CH207" s="192"/>
      <c r="CI207" s="796"/>
      <c r="CJ207" s="796"/>
      <c r="CK207" s="192"/>
      <c r="CL207" s="192"/>
      <c r="CM207" s="192"/>
      <c r="CN207" s="192"/>
      <c r="CO207" s="192"/>
      <c r="CP207" s="192"/>
      <c r="CQ207" s="192"/>
      <c r="CR207" s="192"/>
      <c r="CS207" s="192"/>
      <c r="CT207" s="192"/>
      <c r="CU207" s="192"/>
      <c r="CV207" s="192"/>
      <c r="CW207" s="192"/>
      <c r="CX207" s="192"/>
      <c r="CY207" s="192"/>
    </row>
    <row r="208" spans="1:103" ht="24.95" customHeight="1">
      <c r="A208" s="866">
        <v>225</v>
      </c>
      <c r="B208" s="2075"/>
      <c r="C208" s="2075"/>
      <c r="D208" s="2075"/>
      <c r="E208" s="2075"/>
      <c r="F208" s="2075"/>
      <c r="G208" s="2075"/>
      <c r="H208" s="872"/>
      <c r="I208" s="872"/>
      <c r="J208" s="872"/>
      <c r="K208" s="2076"/>
      <c r="L208" s="2076"/>
      <c r="M208" s="2076"/>
      <c r="N208" s="866">
        <v>255</v>
      </c>
      <c r="O208" s="2075"/>
      <c r="P208" s="2075"/>
      <c r="Q208" s="2075"/>
      <c r="R208" s="2075"/>
      <c r="S208" s="2075"/>
      <c r="T208" s="2075"/>
      <c r="U208" s="872"/>
      <c r="V208" s="872"/>
      <c r="W208" s="872"/>
      <c r="X208" s="2076"/>
      <c r="Y208" s="2076"/>
      <c r="Z208" s="2076"/>
      <c r="AA208" s="192"/>
      <c r="AB208" s="192"/>
      <c r="AC208" s="192"/>
      <c r="AD208" s="192"/>
      <c r="AE208" s="192"/>
      <c r="AF208" s="192"/>
      <c r="AG208" s="192"/>
      <c r="AH208" s="192"/>
      <c r="AI208" s="192"/>
      <c r="AJ208" s="192"/>
      <c r="AK208" s="192"/>
      <c r="AL208" s="192"/>
      <c r="AM208" s="192"/>
      <c r="AN208" s="192"/>
      <c r="AO208" s="192"/>
      <c r="AP208" s="192"/>
      <c r="AQ208" s="192"/>
      <c r="AR208" s="192"/>
      <c r="AS208" s="192"/>
      <c r="AT208" s="192"/>
      <c r="AU208" s="192"/>
      <c r="AV208" s="192"/>
      <c r="AW208" s="192"/>
      <c r="AX208" s="192"/>
      <c r="AY208" s="192"/>
      <c r="AZ208" s="192"/>
      <c r="BA208" s="67">
        <v>196</v>
      </c>
      <c r="BB208" s="68">
        <f t="shared" si="55"/>
        <v>0</v>
      </c>
      <c r="BC208" s="192">
        <f t="shared" si="56"/>
        <v>0</v>
      </c>
      <c r="BD208" s="70">
        <f t="shared" si="54"/>
        <v>0</v>
      </c>
      <c r="BE208" s="70">
        <f t="shared" si="54"/>
        <v>0</v>
      </c>
      <c r="BF208" s="840">
        <v>225</v>
      </c>
      <c r="BG208" s="192">
        <f t="shared" si="57"/>
        <v>0</v>
      </c>
      <c r="BH208" s="192">
        <f t="shared" si="58"/>
        <v>0</v>
      </c>
      <c r="BI208" s="192" t="b">
        <v>0</v>
      </c>
      <c r="BJ208" s="840">
        <v>255</v>
      </c>
      <c r="BK208" s="192"/>
      <c r="BL208" s="192"/>
      <c r="BM208" s="192" t="b">
        <v>0</v>
      </c>
      <c r="BN208" s="192"/>
      <c r="BO208" s="192"/>
      <c r="BP208" s="192"/>
      <c r="BQ208" s="192"/>
      <c r="BR208" s="192"/>
      <c r="BS208" s="192"/>
      <c r="BT208" s="192"/>
      <c r="BU208" s="192"/>
      <c r="BV208" s="192"/>
      <c r="BW208" s="192"/>
      <c r="BX208" s="192"/>
      <c r="BY208" s="192"/>
      <c r="BZ208" s="192"/>
      <c r="CA208" s="192"/>
      <c r="CB208" s="192"/>
      <c r="CC208" s="192"/>
      <c r="CD208" s="192"/>
      <c r="CE208" s="192"/>
      <c r="CF208" s="192"/>
      <c r="CG208" s="192"/>
      <c r="CH208" s="192"/>
      <c r="CI208" s="796"/>
      <c r="CJ208" s="796"/>
      <c r="CK208" s="192"/>
      <c r="CL208" s="192"/>
      <c r="CM208" s="192"/>
      <c r="CN208" s="192"/>
      <c r="CO208" s="192"/>
      <c r="CP208" s="192"/>
      <c r="CQ208" s="192"/>
      <c r="CR208" s="192"/>
      <c r="CS208" s="192"/>
      <c r="CT208" s="192"/>
      <c r="CU208" s="192"/>
      <c r="CV208" s="192"/>
      <c r="CW208" s="192"/>
      <c r="CX208" s="192"/>
      <c r="CY208" s="192"/>
    </row>
    <row r="209" spans="1:103" ht="24.95" customHeight="1">
      <c r="A209" s="866">
        <v>226</v>
      </c>
      <c r="B209" s="2075"/>
      <c r="C209" s="2075"/>
      <c r="D209" s="2075"/>
      <c r="E209" s="2075"/>
      <c r="F209" s="2075"/>
      <c r="G209" s="2075"/>
      <c r="H209" s="872"/>
      <c r="I209" s="872"/>
      <c r="J209" s="872"/>
      <c r="K209" s="2076"/>
      <c r="L209" s="2076"/>
      <c r="M209" s="2076"/>
      <c r="N209" s="866">
        <v>256</v>
      </c>
      <c r="O209" s="2075"/>
      <c r="P209" s="2075"/>
      <c r="Q209" s="2075"/>
      <c r="R209" s="2075"/>
      <c r="S209" s="2075"/>
      <c r="T209" s="2075"/>
      <c r="U209" s="872"/>
      <c r="V209" s="872"/>
      <c r="W209" s="872"/>
      <c r="X209" s="2076"/>
      <c r="Y209" s="2076"/>
      <c r="Z209" s="2076"/>
      <c r="AA209" s="192"/>
      <c r="AB209" s="192"/>
      <c r="AC209" s="192"/>
      <c r="AD209" s="192"/>
      <c r="AE209" s="192"/>
      <c r="AF209" s="192"/>
      <c r="AG209" s="192"/>
      <c r="AH209" s="192"/>
      <c r="AI209" s="192"/>
      <c r="AJ209" s="192"/>
      <c r="AK209" s="192"/>
      <c r="AL209" s="192"/>
      <c r="AM209" s="192"/>
      <c r="AN209" s="192"/>
      <c r="AO209" s="192"/>
      <c r="AP209" s="192"/>
      <c r="AQ209" s="192"/>
      <c r="AR209" s="192"/>
      <c r="AS209" s="192"/>
      <c r="AT209" s="192"/>
      <c r="AU209" s="192"/>
      <c r="AV209" s="192"/>
      <c r="AW209" s="192"/>
      <c r="AX209" s="192"/>
      <c r="AY209" s="192"/>
      <c r="AZ209" s="192"/>
      <c r="BA209" s="67">
        <v>197</v>
      </c>
      <c r="BB209" s="68">
        <f t="shared" si="55"/>
        <v>0</v>
      </c>
      <c r="BC209" s="192">
        <f t="shared" si="56"/>
        <v>0</v>
      </c>
      <c r="BD209" s="70">
        <f t="shared" si="54"/>
        <v>0</v>
      </c>
      <c r="BE209" s="70">
        <f t="shared" si="54"/>
        <v>0</v>
      </c>
      <c r="BF209" s="840">
        <v>226</v>
      </c>
      <c r="BG209" s="192">
        <f t="shared" si="57"/>
        <v>0</v>
      </c>
      <c r="BH209" s="192">
        <f t="shared" si="58"/>
        <v>0</v>
      </c>
      <c r="BI209" s="192" t="b">
        <v>0</v>
      </c>
      <c r="BJ209" s="840">
        <v>256</v>
      </c>
      <c r="BK209" s="192"/>
      <c r="BL209" s="192"/>
      <c r="BM209" s="192" t="b">
        <v>0</v>
      </c>
      <c r="BN209" s="192"/>
      <c r="BO209" s="192"/>
      <c r="BP209" s="192"/>
      <c r="BQ209" s="192"/>
      <c r="BR209" s="192"/>
      <c r="BS209" s="192"/>
      <c r="BT209" s="192"/>
      <c r="BU209" s="192"/>
      <c r="BV209" s="192"/>
      <c r="BW209" s="192"/>
      <c r="BX209" s="192"/>
      <c r="BY209" s="192"/>
      <c r="BZ209" s="192"/>
      <c r="CA209" s="192"/>
      <c r="CB209" s="192"/>
      <c r="CC209" s="192"/>
      <c r="CD209" s="192"/>
      <c r="CE209" s="192"/>
      <c r="CF209" s="192"/>
      <c r="CG209" s="192"/>
      <c r="CH209" s="192"/>
      <c r="CI209" s="796"/>
      <c r="CJ209" s="796"/>
      <c r="CK209" s="192"/>
      <c r="CL209" s="192"/>
      <c r="CM209" s="192"/>
      <c r="CN209" s="192"/>
      <c r="CO209" s="192"/>
      <c r="CP209" s="192"/>
      <c r="CQ209" s="192"/>
      <c r="CR209" s="192"/>
      <c r="CS209" s="192"/>
      <c r="CT209" s="192"/>
      <c r="CU209" s="192"/>
      <c r="CV209" s="192"/>
      <c r="CW209" s="192"/>
      <c r="CX209" s="192"/>
      <c r="CY209" s="192"/>
    </row>
    <row r="210" spans="1:103" ht="24.95" customHeight="1">
      <c r="A210" s="866">
        <v>227</v>
      </c>
      <c r="B210" s="2075"/>
      <c r="C210" s="2075"/>
      <c r="D210" s="2075"/>
      <c r="E210" s="2075"/>
      <c r="F210" s="2075"/>
      <c r="G210" s="2075"/>
      <c r="H210" s="872"/>
      <c r="I210" s="872"/>
      <c r="J210" s="872"/>
      <c r="K210" s="2076"/>
      <c r="L210" s="2076"/>
      <c r="M210" s="2076"/>
      <c r="N210" s="866">
        <v>257</v>
      </c>
      <c r="O210" s="2075"/>
      <c r="P210" s="2075"/>
      <c r="Q210" s="2075"/>
      <c r="R210" s="2075"/>
      <c r="S210" s="2075"/>
      <c r="T210" s="2075"/>
      <c r="U210" s="872"/>
      <c r="V210" s="872"/>
      <c r="W210" s="872"/>
      <c r="X210" s="2076"/>
      <c r="Y210" s="2076"/>
      <c r="Z210" s="2076"/>
      <c r="AA210" s="192"/>
      <c r="AB210" s="192"/>
      <c r="AC210" s="192"/>
      <c r="AD210" s="192"/>
      <c r="AE210" s="192"/>
      <c r="AF210" s="192"/>
      <c r="AG210" s="192"/>
      <c r="AH210" s="192"/>
      <c r="AI210" s="192"/>
      <c r="AJ210" s="192"/>
      <c r="AK210" s="192"/>
      <c r="AL210" s="192"/>
      <c r="AM210" s="192"/>
      <c r="AN210" s="192"/>
      <c r="AO210" s="192"/>
      <c r="AP210" s="192"/>
      <c r="AQ210" s="192"/>
      <c r="AR210" s="192"/>
      <c r="AS210" s="192"/>
      <c r="AT210" s="192"/>
      <c r="AU210" s="192"/>
      <c r="AV210" s="192"/>
      <c r="AW210" s="192"/>
      <c r="AX210" s="192"/>
      <c r="AY210" s="192"/>
      <c r="AZ210" s="192"/>
      <c r="BA210" s="67">
        <v>198</v>
      </c>
      <c r="BB210" s="68">
        <f t="shared" si="55"/>
        <v>0</v>
      </c>
      <c r="BC210" s="192">
        <f t="shared" si="56"/>
        <v>0</v>
      </c>
      <c r="BD210" s="70">
        <f t="shared" si="54"/>
        <v>0</v>
      </c>
      <c r="BE210" s="70">
        <f t="shared" si="54"/>
        <v>0</v>
      </c>
      <c r="BF210" s="840">
        <v>227</v>
      </c>
      <c r="BG210" s="192">
        <f t="shared" si="57"/>
        <v>0</v>
      </c>
      <c r="BH210" s="192">
        <f t="shared" si="58"/>
        <v>0</v>
      </c>
      <c r="BI210" s="192" t="b">
        <v>0</v>
      </c>
      <c r="BJ210" s="840">
        <v>257</v>
      </c>
      <c r="BK210" s="192"/>
      <c r="BL210" s="192"/>
      <c r="BM210" s="192" t="b">
        <v>0</v>
      </c>
      <c r="BN210" s="192"/>
      <c r="BO210" s="192"/>
      <c r="BP210" s="192"/>
      <c r="BQ210" s="192"/>
      <c r="BR210" s="192"/>
      <c r="BS210" s="192"/>
      <c r="BT210" s="192"/>
      <c r="BU210" s="192"/>
      <c r="BV210" s="192"/>
      <c r="BW210" s="192"/>
      <c r="BX210" s="192"/>
      <c r="BY210" s="192"/>
      <c r="BZ210" s="192"/>
      <c r="CA210" s="192"/>
      <c r="CB210" s="192"/>
      <c r="CC210" s="192"/>
      <c r="CD210" s="192"/>
      <c r="CE210" s="192"/>
      <c r="CF210" s="192"/>
      <c r="CG210" s="192"/>
      <c r="CH210" s="192"/>
      <c r="CI210" s="796"/>
      <c r="CJ210" s="796"/>
      <c r="CK210" s="192"/>
      <c r="CL210" s="192"/>
      <c r="CM210" s="192"/>
      <c r="CN210" s="192"/>
      <c r="CO210" s="192"/>
      <c r="CP210" s="192"/>
      <c r="CQ210" s="192"/>
      <c r="CR210" s="192"/>
      <c r="CS210" s="192"/>
      <c r="CT210" s="192"/>
      <c r="CU210" s="192"/>
      <c r="CV210" s="192"/>
      <c r="CW210" s="192"/>
      <c r="CX210" s="192"/>
      <c r="CY210" s="192"/>
    </row>
    <row r="211" spans="1:103" ht="24.95" customHeight="1">
      <c r="A211" s="866">
        <v>228</v>
      </c>
      <c r="B211" s="2075"/>
      <c r="C211" s="2075"/>
      <c r="D211" s="2075"/>
      <c r="E211" s="2075"/>
      <c r="F211" s="2075"/>
      <c r="G211" s="2075"/>
      <c r="H211" s="872"/>
      <c r="I211" s="872"/>
      <c r="J211" s="872"/>
      <c r="K211" s="2076"/>
      <c r="L211" s="2076"/>
      <c r="M211" s="2076"/>
      <c r="N211" s="866">
        <v>258</v>
      </c>
      <c r="O211" s="2075"/>
      <c r="P211" s="2075"/>
      <c r="Q211" s="2075"/>
      <c r="R211" s="2075"/>
      <c r="S211" s="2075"/>
      <c r="T211" s="2075"/>
      <c r="U211" s="872"/>
      <c r="V211" s="872"/>
      <c r="W211" s="872"/>
      <c r="X211" s="2076"/>
      <c r="Y211" s="2076"/>
      <c r="Z211" s="2076"/>
      <c r="AA211" s="192"/>
      <c r="AB211" s="192"/>
      <c r="AC211" s="192"/>
      <c r="AD211" s="192"/>
      <c r="AE211" s="192"/>
      <c r="AF211" s="192"/>
      <c r="AG211" s="192"/>
      <c r="AH211" s="192"/>
      <c r="AI211" s="192"/>
      <c r="AJ211" s="192"/>
      <c r="AK211" s="192"/>
      <c r="AL211" s="192"/>
      <c r="AM211" s="192"/>
      <c r="AN211" s="192"/>
      <c r="AO211" s="192"/>
      <c r="AP211" s="192"/>
      <c r="AQ211" s="192"/>
      <c r="AR211" s="192"/>
      <c r="AS211" s="192"/>
      <c r="AT211" s="192"/>
      <c r="AU211" s="192"/>
      <c r="AV211" s="192"/>
      <c r="AW211" s="192"/>
      <c r="AX211" s="192"/>
      <c r="AY211" s="192"/>
      <c r="AZ211" s="192"/>
      <c r="BA211" s="67">
        <v>199</v>
      </c>
      <c r="BB211" s="68">
        <f t="shared" si="55"/>
        <v>0</v>
      </c>
      <c r="BC211" s="192">
        <f t="shared" si="56"/>
        <v>0</v>
      </c>
      <c r="BD211" s="70">
        <f t="shared" si="54"/>
        <v>0</v>
      </c>
      <c r="BE211" s="70">
        <f t="shared" si="54"/>
        <v>0</v>
      </c>
      <c r="BF211" s="840">
        <v>228</v>
      </c>
      <c r="BG211" s="192">
        <f t="shared" si="57"/>
        <v>0</v>
      </c>
      <c r="BH211" s="192">
        <f t="shared" si="58"/>
        <v>0</v>
      </c>
      <c r="BI211" s="192" t="b">
        <v>0</v>
      </c>
      <c r="BJ211" s="840">
        <v>258</v>
      </c>
      <c r="BK211" s="192"/>
      <c r="BL211" s="192"/>
      <c r="BM211" s="192" t="b">
        <v>0</v>
      </c>
      <c r="BN211" s="192"/>
      <c r="BO211" s="192"/>
      <c r="BP211" s="192"/>
      <c r="BQ211" s="192"/>
      <c r="BR211" s="192"/>
      <c r="BS211" s="192"/>
      <c r="BT211" s="192"/>
      <c r="BU211" s="192"/>
      <c r="BV211" s="192"/>
      <c r="BW211" s="192"/>
      <c r="BX211" s="192"/>
      <c r="BY211" s="192"/>
      <c r="BZ211" s="192"/>
      <c r="CA211" s="192"/>
      <c r="CB211" s="192"/>
      <c r="CC211" s="192"/>
      <c r="CD211" s="192"/>
      <c r="CE211" s="192"/>
      <c r="CF211" s="192"/>
      <c r="CG211" s="192"/>
      <c r="CH211" s="192"/>
      <c r="CI211" s="796"/>
      <c r="CJ211" s="796"/>
      <c r="CK211" s="192"/>
      <c r="CL211" s="192"/>
      <c r="CM211" s="192"/>
      <c r="CN211" s="192"/>
      <c r="CO211" s="192"/>
      <c r="CP211" s="192"/>
      <c r="CQ211" s="192"/>
      <c r="CR211" s="192"/>
      <c r="CS211" s="192"/>
      <c r="CT211" s="192"/>
      <c r="CU211" s="192"/>
      <c r="CV211" s="192"/>
      <c r="CW211" s="192"/>
      <c r="CX211" s="192"/>
      <c r="CY211" s="192"/>
    </row>
    <row r="212" spans="1:103" ht="24.95" customHeight="1">
      <c r="A212" s="866">
        <v>229</v>
      </c>
      <c r="B212" s="2075"/>
      <c r="C212" s="2075"/>
      <c r="D212" s="2075"/>
      <c r="E212" s="2075"/>
      <c r="F212" s="2075"/>
      <c r="G212" s="2075"/>
      <c r="H212" s="872"/>
      <c r="I212" s="872"/>
      <c r="J212" s="872"/>
      <c r="K212" s="2076"/>
      <c r="L212" s="2076"/>
      <c r="M212" s="2076"/>
      <c r="N212" s="866">
        <v>259</v>
      </c>
      <c r="O212" s="2075"/>
      <c r="P212" s="2075"/>
      <c r="Q212" s="2075"/>
      <c r="R212" s="2075"/>
      <c r="S212" s="2075"/>
      <c r="T212" s="2075"/>
      <c r="U212" s="872"/>
      <c r="V212" s="872"/>
      <c r="W212" s="872"/>
      <c r="X212" s="2076"/>
      <c r="Y212" s="2076"/>
      <c r="Z212" s="2076"/>
      <c r="AA212" s="192"/>
      <c r="AB212" s="192"/>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192"/>
      <c r="AZ212" s="192"/>
      <c r="BA212" s="67">
        <v>200</v>
      </c>
      <c r="BB212" s="68">
        <f t="shared" si="55"/>
        <v>0</v>
      </c>
      <c r="BC212" s="192">
        <f t="shared" si="56"/>
        <v>0</v>
      </c>
      <c r="BD212" s="70">
        <f t="shared" si="54"/>
        <v>0</v>
      </c>
      <c r="BE212" s="70">
        <f t="shared" si="54"/>
        <v>0</v>
      </c>
      <c r="BF212" s="840">
        <v>229</v>
      </c>
      <c r="BG212" s="192">
        <f t="shared" si="57"/>
        <v>0</v>
      </c>
      <c r="BH212" s="192">
        <f t="shared" si="58"/>
        <v>0</v>
      </c>
      <c r="BI212" s="192" t="b">
        <v>0</v>
      </c>
      <c r="BJ212" s="840">
        <v>259</v>
      </c>
      <c r="BK212" s="192"/>
      <c r="BL212" s="192"/>
      <c r="BM212" s="192" t="b">
        <v>0</v>
      </c>
      <c r="BN212" s="192"/>
      <c r="BO212" s="192"/>
      <c r="BP212" s="192"/>
      <c r="BQ212" s="192"/>
      <c r="BR212" s="192"/>
      <c r="BS212" s="192"/>
      <c r="BT212" s="192"/>
      <c r="BU212" s="192"/>
      <c r="BV212" s="192"/>
      <c r="BW212" s="192"/>
      <c r="BX212" s="192"/>
      <c r="BY212" s="192"/>
      <c r="BZ212" s="192"/>
      <c r="CA212" s="192"/>
      <c r="CB212" s="192"/>
      <c r="CC212" s="192"/>
      <c r="CD212" s="192"/>
      <c r="CE212" s="192"/>
      <c r="CF212" s="192"/>
      <c r="CG212" s="192"/>
      <c r="CH212" s="192"/>
      <c r="CI212" s="796"/>
      <c r="CJ212" s="796"/>
      <c r="CK212" s="192"/>
      <c r="CL212" s="192"/>
      <c r="CM212" s="192"/>
      <c r="CN212" s="192"/>
      <c r="CO212" s="192"/>
      <c r="CP212" s="192"/>
      <c r="CQ212" s="192"/>
      <c r="CR212" s="192"/>
      <c r="CS212" s="192"/>
      <c r="CT212" s="192"/>
      <c r="CU212" s="192"/>
      <c r="CV212" s="192"/>
      <c r="CW212" s="192"/>
      <c r="CX212" s="192"/>
      <c r="CY212" s="192"/>
    </row>
    <row r="213" spans="1:103" ht="24.95" customHeight="1">
      <c r="A213" s="866">
        <v>230</v>
      </c>
      <c r="B213" s="2075"/>
      <c r="C213" s="2075"/>
      <c r="D213" s="2075"/>
      <c r="E213" s="2075"/>
      <c r="F213" s="2075"/>
      <c r="G213" s="2075"/>
      <c r="H213" s="872"/>
      <c r="I213" s="872"/>
      <c r="J213" s="872"/>
      <c r="K213" s="2076"/>
      <c r="L213" s="2076"/>
      <c r="M213" s="2076"/>
      <c r="N213" s="866">
        <v>260</v>
      </c>
      <c r="O213" s="2075"/>
      <c r="P213" s="2075"/>
      <c r="Q213" s="2075"/>
      <c r="R213" s="2075"/>
      <c r="S213" s="2075"/>
      <c r="T213" s="2075"/>
      <c r="U213" s="872"/>
      <c r="V213" s="872"/>
      <c r="W213" s="872"/>
      <c r="X213" s="2076"/>
      <c r="Y213" s="2076"/>
      <c r="Z213" s="2076"/>
      <c r="AA213" s="192"/>
      <c r="AB213" s="192"/>
      <c r="AC213" s="192"/>
      <c r="AD213" s="192"/>
      <c r="AE213" s="192"/>
      <c r="AF213" s="192"/>
      <c r="AG213" s="192"/>
      <c r="AH213" s="192"/>
      <c r="AI213" s="192"/>
      <c r="AJ213" s="192"/>
      <c r="AK213" s="192"/>
      <c r="AL213" s="192"/>
      <c r="AM213" s="192"/>
      <c r="AN213" s="192"/>
      <c r="AO213" s="192"/>
      <c r="AP213" s="192"/>
      <c r="AQ213" s="192"/>
      <c r="AR213" s="192"/>
      <c r="AS213" s="192"/>
      <c r="AT213" s="192"/>
      <c r="AU213" s="192"/>
      <c r="AV213" s="192"/>
      <c r="AW213" s="192"/>
      <c r="AX213" s="192"/>
      <c r="AY213" s="192"/>
      <c r="AZ213" s="192"/>
      <c r="BA213" s="67">
        <v>201</v>
      </c>
      <c r="BB213" s="68">
        <f>COUNTA(H184:I184)</f>
        <v>0</v>
      </c>
      <c r="BC213" s="192">
        <f>COUNTA(X184)</f>
        <v>0</v>
      </c>
      <c r="BD213" s="70">
        <f t="shared" ref="BD213:BE242" si="59">BB213-COUNTA(H184)</f>
        <v>0</v>
      </c>
      <c r="BE213" s="70">
        <f t="shared" si="59"/>
        <v>0</v>
      </c>
      <c r="BF213" s="840">
        <v>230</v>
      </c>
      <c r="BG213" s="192">
        <f t="shared" si="57"/>
        <v>0</v>
      </c>
      <c r="BH213" s="192">
        <f t="shared" si="58"/>
        <v>0</v>
      </c>
      <c r="BI213" s="192" t="b">
        <v>0</v>
      </c>
      <c r="BJ213" s="840">
        <v>260</v>
      </c>
      <c r="BK213" s="192"/>
      <c r="BL213" s="192"/>
      <c r="BM213" s="192" t="b">
        <v>0</v>
      </c>
      <c r="BN213" s="192"/>
      <c r="BO213" s="192"/>
      <c r="BP213" s="192"/>
      <c r="BQ213" s="192"/>
      <c r="BR213" s="192"/>
      <c r="BS213" s="192"/>
      <c r="BT213" s="192"/>
      <c r="BU213" s="192"/>
      <c r="BV213" s="192"/>
      <c r="BW213" s="192"/>
      <c r="BX213" s="192"/>
      <c r="BY213" s="192"/>
      <c r="BZ213" s="192"/>
      <c r="CA213" s="192"/>
      <c r="CB213" s="192"/>
      <c r="CC213" s="192"/>
      <c r="CD213" s="192"/>
      <c r="CE213" s="192"/>
      <c r="CF213" s="192"/>
      <c r="CG213" s="192"/>
      <c r="CH213" s="192"/>
      <c r="CI213" s="796"/>
      <c r="CJ213" s="796"/>
      <c r="CK213" s="192"/>
      <c r="CL213" s="192"/>
      <c r="CM213" s="192"/>
      <c r="CN213" s="192"/>
      <c r="CO213" s="192"/>
      <c r="CP213" s="192"/>
      <c r="CQ213" s="192"/>
      <c r="CR213" s="192"/>
      <c r="CS213" s="192"/>
      <c r="CT213" s="192"/>
      <c r="CU213" s="192"/>
      <c r="CV213" s="192"/>
      <c r="CW213" s="192"/>
      <c r="CX213" s="192"/>
      <c r="CY213" s="192"/>
    </row>
    <row r="214" spans="1:103" s="43" customFormat="1" ht="24.95" customHeight="1">
      <c r="A214" s="866"/>
      <c r="B214" s="867"/>
      <c r="C214" s="867"/>
      <c r="D214" s="867"/>
      <c r="E214" s="867"/>
      <c r="F214" s="867"/>
      <c r="G214" s="867"/>
      <c r="H214" s="868"/>
      <c r="I214" s="868"/>
      <c r="J214" s="868"/>
      <c r="K214" s="868"/>
      <c r="L214" s="869"/>
      <c r="M214" s="869"/>
      <c r="N214" s="866"/>
      <c r="O214" s="867"/>
      <c r="P214" s="867"/>
      <c r="Q214" s="867"/>
      <c r="R214" s="867"/>
      <c r="S214" s="867"/>
      <c r="T214" s="867"/>
      <c r="U214" s="868"/>
      <c r="V214" s="868"/>
      <c r="W214" s="868"/>
      <c r="X214" s="868"/>
      <c r="Y214" s="869"/>
      <c r="Z214" s="869"/>
      <c r="AA214" s="192"/>
      <c r="AB214" s="192"/>
      <c r="AC214" s="192"/>
      <c r="AD214" s="192"/>
      <c r="AE214" s="192"/>
      <c r="AF214" s="192"/>
      <c r="AG214" s="192"/>
      <c r="AH214" s="192"/>
      <c r="AI214" s="192"/>
      <c r="AJ214" s="192"/>
      <c r="AK214" s="192"/>
      <c r="AL214" s="192"/>
      <c r="AM214" s="192"/>
      <c r="AN214" s="192"/>
      <c r="AO214" s="192"/>
      <c r="AP214" s="192"/>
      <c r="AQ214" s="192"/>
      <c r="AR214" s="192"/>
      <c r="AS214" s="192"/>
      <c r="AT214" s="192"/>
      <c r="AU214" s="192"/>
      <c r="AV214" s="192"/>
      <c r="AW214" s="192"/>
      <c r="AX214" s="192"/>
      <c r="AY214" s="192"/>
      <c r="AZ214" s="192"/>
      <c r="BA214" s="67">
        <v>202</v>
      </c>
      <c r="BB214" s="68">
        <f t="shared" ref="BB214:BB242" si="60">COUNTA(H185:I185)</f>
        <v>0</v>
      </c>
      <c r="BC214" s="192">
        <f t="shared" ref="BC214:BC242" si="61">COUNTA(X185)</f>
        <v>0</v>
      </c>
      <c r="BD214" s="70">
        <f t="shared" si="59"/>
        <v>0</v>
      </c>
      <c r="BE214" s="70">
        <f t="shared" si="59"/>
        <v>0</v>
      </c>
      <c r="BF214" s="192"/>
      <c r="BG214" s="192"/>
      <c r="BH214" s="192"/>
      <c r="BI214" s="192"/>
      <c r="BJ214" s="192"/>
      <c r="BK214" s="192"/>
      <c r="BL214" s="192"/>
      <c r="BM214" s="192"/>
      <c r="BN214" s="192"/>
      <c r="BO214" s="192"/>
      <c r="BP214" s="192"/>
      <c r="BQ214" s="192"/>
      <c r="BR214" s="192"/>
      <c r="BS214" s="192"/>
      <c r="BT214" s="192"/>
      <c r="BU214" s="192"/>
      <c r="BV214" s="192"/>
      <c r="BW214" s="192"/>
      <c r="BX214" s="192"/>
      <c r="BY214" s="192"/>
      <c r="BZ214" s="192"/>
      <c r="CA214" s="192"/>
      <c r="CB214" s="192"/>
      <c r="CC214" s="192"/>
      <c r="CD214" s="192"/>
      <c r="CE214" s="192"/>
      <c r="CF214" s="192"/>
      <c r="CG214" s="192"/>
      <c r="CH214" s="192"/>
      <c r="CI214" s="796"/>
      <c r="CJ214" s="796"/>
      <c r="CK214" s="192"/>
      <c r="CL214" s="192"/>
      <c r="CM214" s="192"/>
      <c r="CN214" s="192"/>
      <c r="CO214" s="192"/>
      <c r="CP214" s="192"/>
      <c r="CQ214" s="192"/>
      <c r="CR214" s="192"/>
      <c r="CS214" s="192"/>
      <c r="CT214" s="192"/>
      <c r="CU214" s="192"/>
      <c r="CV214" s="192"/>
      <c r="CW214" s="192"/>
      <c r="CX214" s="192"/>
      <c r="CY214" s="192"/>
    </row>
    <row r="215" spans="1:103" ht="23.25">
      <c r="A215" s="2131" t="s">
        <v>473</v>
      </c>
      <c r="B215" s="2131"/>
      <c r="C215" s="2131"/>
      <c r="D215" s="2131"/>
      <c r="E215" s="2131"/>
      <c r="F215" s="2131"/>
      <c r="G215" s="2131"/>
      <c r="H215" s="2131"/>
      <c r="I215" s="2131"/>
      <c r="J215" s="2131"/>
      <c r="K215" s="2131"/>
      <c r="L215" s="2131"/>
      <c r="M215" s="2131"/>
      <c r="N215" s="2131"/>
      <c r="O215" s="2131"/>
      <c r="P215" s="2131"/>
      <c r="Q215" s="2131"/>
      <c r="R215" s="2131"/>
      <c r="S215" s="2131"/>
      <c r="T215" s="2131"/>
      <c r="U215" s="2131"/>
      <c r="V215" s="2131"/>
      <c r="W215" s="2131"/>
      <c r="X215" s="2131"/>
      <c r="Y215" s="2131"/>
      <c r="Z215" s="2131"/>
      <c r="AA215" s="870"/>
      <c r="AB215" s="870"/>
      <c r="AC215" s="870"/>
      <c r="AD215" s="870"/>
      <c r="AE215" s="870"/>
      <c r="AF215" s="870"/>
      <c r="AG215" s="870"/>
      <c r="AH215" s="870"/>
      <c r="AI215" s="870"/>
      <c r="AJ215" s="870"/>
      <c r="AK215" s="870"/>
      <c r="AL215" s="870"/>
      <c r="AM215" s="870"/>
      <c r="AN215" s="870"/>
      <c r="AO215" s="870"/>
      <c r="AP215" s="870"/>
      <c r="AQ215" s="870"/>
      <c r="AR215" s="870"/>
      <c r="AS215" s="870"/>
      <c r="AT215" s="870"/>
      <c r="AU215" s="870"/>
      <c r="AV215" s="870"/>
      <c r="AW215" s="870"/>
      <c r="AX215" s="870"/>
      <c r="AY215" s="870"/>
      <c r="AZ215" s="870"/>
      <c r="BA215" s="67">
        <v>203</v>
      </c>
      <c r="BB215" s="68">
        <f t="shared" si="60"/>
        <v>0</v>
      </c>
      <c r="BC215" s="192">
        <f t="shared" si="61"/>
        <v>0</v>
      </c>
      <c r="BD215" s="70">
        <f t="shared" si="59"/>
        <v>0</v>
      </c>
      <c r="BE215" s="70">
        <f t="shared" si="59"/>
        <v>0</v>
      </c>
      <c r="BF215" s="192"/>
      <c r="BG215" s="192"/>
      <c r="BH215" s="192"/>
      <c r="BI215" s="192"/>
      <c r="BJ215" s="192"/>
      <c r="BK215" s="192"/>
      <c r="BL215" s="192"/>
      <c r="BM215" s="192"/>
      <c r="BN215" s="192"/>
      <c r="BO215" s="192"/>
      <c r="BP215" s="192"/>
      <c r="BQ215" s="192"/>
      <c r="BR215" s="192"/>
      <c r="BS215" s="192"/>
      <c r="BT215" s="192"/>
      <c r="BU215" s="192"/>
      <c r="BV215" s="192"/>
      <c r="BW215" s="192"/>
      <c r="BX215" s="192"/>
      <c r="BY215" s="192"/>
      <c r="BZ215" s="192"/>
      <c r="CA215" s="192"/>
      <c r="CB215" s="192"/>
      <c r="CC215" s="192"/>
      <c r="CD215" s="192"/>
      <c r="CE215" s="192"/>
      <c r="CF215" s="192"/>
      <c r="CG215" s="192"/>
      <c r="CH215" s="192"/>
      <c r="CI215" s="796"/>
      <c r="CJ215" s="796"/>
      <c r="CK215" s="192"/>
      <c r="CL215" s="192"/>
      <c r="CM215" s="192"/>
      <c r="CN215" s="192"/>
      <c r="CO215" s="192"/>
      <c r="CP215" s="192"/>
      <c r="CQ215" s="192"/>
      <c r="CR215" s="192"/>
      <c r="CS215" s="192"/>
      <c r="CT215" s="192"/>
      <c r="CU215" s="192"/>
      <c r="CV215" s="192"/>
      <c r="CW215" s="192"/>
      <c r="CX215" s="192"/>
      <c r="CY215" s="192"/>
    </row>
    <row r="216" spans="1:103" ht="23.25">
      <c r="A216" s="859">
        <f>COUNTIFS(K227:K256,"a",H227:H256,"&gt;0")</f>
        <v>0</v>
      </c>
      <c r="B216" s="859">
        <f>COUNTIFS(X227:X256,"a",U227:U256,"&gt;0")</f>
        <v>0</v>
      </c>
      <c r="C216" s="859">
        <f>COUNTIFS(K227:K256,"b",H227:H256,"&gt;0")</f>
        <v>0</v>
      </c>
      <c r="D216" s="859">
        <f>COUNTIFS(X227:X256,"b",U227:U256,"&gt;0")</f>
        <v>0</v>
      </c>
      <c r="E216" s="859">
        <f>COUNTIFS(K227:K256,"c",H227:H256,"&gt;0")</f>
        <v>0</v>
      </c>
      <c r="F216" s="859">
        <f>COUNTIFS(X227:X256,"c",U227:U256,"&gt;0")</f>
        <v>0</v>
      </c>
      <c r="G216" s="859">
        <f>COUNTIFS(K227:K256,"d",H227:H256,"&gt;0")</f>
        <v>0</v>
      </c>
      <c r="H216" s="859">
        <f>COUNTIFS(X227:X256,"d",U227:U256,"&gt;0")</f>
        <v>0</v>
      </c>
      <c r="I216" s="859">
        <f>COUNTIFS(K227:K256,"e",H227:H256,"&gt;0")</f>
        <v>0</v>
      </c>
      <c r="J216" s="859">
        <f>COUNTIFS(X227:X256,"e",U227:U256,"&gt;0")</f>
        <v>0</v>
      </c>
      <c r="K216" s="859">
        <f>COUNTIFS(K227:K256,"f",H227:H256,"&gt;0")</f>
        <v>0</v>
      </c>
      <c r="L216" s="859">
        <f>COUNTIFS(X227:X256,"f",U227:U256,"&gt;0")</f>
        <v>0</v>
      </c>
      <c r="M216" s="859">
        <f>COUNTIFS(K227:K256,"g",H227:H256,"&gt;0")</f>
        <v>0</v>
      </c>
      <c r="N216" s="859">
        <f>COUNTIFS(X227:X256,"g",U227:U256,"&gt;0")</f>
        <v>0</v>
      </c>
      <c r="O216" s="859">
        <f>COUNTIFS(K227:K256,"h",H227:H256,"&gt;0")</f>
        <v>0</v>
      </c>
      <c r="P216" s="859">
        <f>COUNTIFS(X227:X256,"h",U227:U256,"&gt;0")</f>
        <v>0</v>
      </c>
      <c r="Q216" s="859">
        <f>COUNTIFS(K227:K256,"i",H227:H256,"&gt;0")</f>
        <v>0</v>
      </c>
      <c r="R216" s="859">
        <f>COUNTIFS(X227:X256,"i",U227:U256,"&gt;0")</f>
        <v>0</v>
      </c>
      <c r="S216" s="860">
        <f>SUM(A216:R216)</f>
        <v>0</v>
      </c>
      <c r="T216" s="860"/>
      <c r="U216" s="860"/>
      <c r="V216" s="860"/>
      <c r="W216" s="2131" t="s">
        <v>474</v>
      </c>
      <c r="X216" s="2131"/>
      <c r="Y216" s="2131">
        <v>6</v>
      </c>
      <c r="Z216" s="2131"/>
      <c r="AA216" s="870"/>
      <c r="AB216" s="870"/>
      <c r="AC216" s="870"/>
      <c r="AD216" s="870"/>
      <c r="AE216" s="870"/>
      <c r="AF216" s="870"/>
      <c r="AG216" s="870"/>
      <c r="AH216" s="870"/>
      <c r="AI216" s="870"/>
      <c r="AJ216" s="870"/>
      <c r="AK216" s="870"/>
      <c r="AL216" s="870"/>
      <c r="AM216" s="870"/>
      <c r="AN216" s="870"/>
      <c r="AO216" s="870"/>
      <c r="AP216" s="870"/>
      <c r="AQ216" s="870"/>
      <c r="AR216" s="870"/>
      <c r="AS216" s="870"/>
      <c r="AT216" s="870"/>
      <c r="AU216" s="870"/>
      <c r="AV216" s="870"/>
      <c r="AW216" s="870"/>
      <c r="AX216" s="870"/>
      <c r="AY216" s="870"/>
      <c r="AZ216" s="870"/>
      <c r="BA216" s="67">
        <v>204</v>
      </c>
      <c r="BB216" s="68">
        <f t="shared" si="60"/>
        <v>0</v>
      </c>
      <c r="BC216" s="192">
        <f t="shared" si="61"/>
        <v>0</v>
      </c>
      <c r="BD216" s="70">
        <f t="shared" si="59"/>
        <v>0</v>
      </c>
      <c r="BE216" s="70">
        <f t="shared" si="59"/>
        <v>0</v>
      </c>
      <c r="BF216" s="192"/>
      <c r="BG216" s="192"/>
      <c r="BH216" s="192"/>
      <c r="BI216" s="192"/>
      <c r="BJ216" s="192"/>
      <c r="BK216" s="192"/>
      <c r="BL216" s="192"/>
      <c r="BM216" s="192"/>
      <c r="BN216" s="192"/>
      <c r="BO216" s="192"/>
      <c r="BP216" s="192"/>
      <c r="BQ216" s="192"/>
      <c r="BR216" s="192"/>
      <c r="BS216" s="192"/>
      <c r="BT216" s="192"/>
      <c r="BU216" s="192"/>
      <c r="BV216" s="192"/>
      <c r="BW216" s="192"/>
      <c r="BX216" s="192"/>
      <c r="BY216" s="192"/>
      <c r="BZ216" s="192"/>
      <c r="CA216" s="192"/>
      <c r="CB216" s="192"/>
      <c r="CC216" s="192"/>
      <c r="CD216" s="192"/>
      <c r="CE216" s="192"/>
      <c r="CF216" s="192"/>
      <c r="CG216" s="192"/>
      <c r="CH216" s="192"/>
      <c r="CI216" s="796"/>
      <c r="CJ216" s="796"/>
      <c r="CK216" s="192"/>
      <c r="CL216" s="192"/>
      <c r="CM216" s="192"/>
      <c r="CN216" s="192"/>
      <c r="CO216" s="192"/>
      <c r="CP216" s="192"/>
      <c r="CQ216" s="192"/>
      <c r="CR216" s="192"/>
      <c r="CS216" s="192"/>
      <c r="CT216" s="192"/>
      <c r="CU216" s="192"/>
      <c r="CV216" s="192"/>
      <c r="CW216" s="192"/>
      <c r="CX216" s="192"/>
      <c r="CY216" s="192"/>
    </row>
    <row r="217" spans="1:103" s="43" customFormat="1" ht="23.25">
      <c r="A217" s="859">
        <f>COUNTIFS(K227:K256,"a",I227:I256,"&gt;0")</f>
        <v>0</v>
      </c>
      <c r="B217" s="859">
        <f>COUNTIFS(X227:X256,"a",V227:V256,"&gt;0")</f>
        <v>0</v>
      </c>
      <c r="C217" s="859">
        <f>COUNTIFS(K227:K256,"b",I227:I256,"&gt;0")</f>
        <v>0</v>
      </c>
      <c r="D217" s="859">
        <f>COUNTIFS(X227:X256,"b",V227:V256,"&gt;0")</f>
        <v>0</v>
      </c>
      <c r="E217" s="859">
        <f>COUNTIFS(K227:K256,"c",I227:I256,"&gt;0")</f>
        <v>0</v>
      </c>
      <c r="F217" s="859">
        <f>COUNTIFS(X227:X256,"c",V227:V256,"&gt;0")</f>
        <v>0</v>
      </c>
      <c r="G217" s="859">
        <f>COUNTIFS(K227:K256,"d",I227:I256,"&gt;0")</f>
        <v>0</v>
      </c>
      <c r="H217" s="859">
        <f>COUNTIFS(X227:X256,"d",V227:V256,"&gt;0")</f>
        <v>0</v>
      </c>
      <c r="I217" s="859">
        <f>COUNTIFS(K227:K256,"e",I227:I256,"&gt;0")</f>
        <v>0</v>
      </c>
      <c r="J217" s="859">
        <f>COUNTIFS(X227:X256,"e",V227:V256,"&gt;0")</f>
        <v>0</v>
      </c>
      <c r="K217" s="859">
        <f>COUNTIFS(K227:K256,"f",I227:I256,"&gt;0")</f>
        <v>0</v>
      </c>
      <c r="L217" s="859">
        <f>COUNTIFS(X227:X256,"f",V227:V256,"&gt;0")</f>
        <v>0</v>
      </c>
      <c r="M217" s="859">
        <f>COUNTIFS(K227:K256,"g",I227:I256,"&gt;0")</f>
        <v>0</v>
      </c>
      <c r="N217" s="859">
        <f>COUNTIFS(X227:X256,"g",V227:V256,"&gt;0")</f>
        <v>0</v>
      </c>
      <c r="O217" s="859">
        <f>COUNTIFS(K227:K256,"h",I227:I256,"&gt;0")</f>
        <v>0</v>
      </c>
      <c r="P217" s="859">
        <f>COUNTIFS(X227:X256,"h",V227:V256,"&gt;0")</f>
        <v>0</v>
      </c>
      <c r="Q217" s="859">
        <f>COUNTIFS(K227:K256,"i",I227:I256,"&gt;0")</f>
        <v>0</v>
      </c>
      <c r="R217" s="859">
        <f>COUNTIFS(X227:X256,"i",V227:V256,"&gt;0")</f>
        <v>0</v>
      </c>
      <c r="S217" s="860">
        <f>SUM(A217:R217)</f>
        <v>0</v>
      </c>
      <c r="T217" s="860"/>
      <c r="U217" s="860"/>
      <c r="V217" s="860"/>
      <c r="W217" s="861"/>
      <c r="X217" s="861"/>
      <c r="Y217" s="861"/>
      <c r="Z217" s="861"/>
      <c r="AA217" s="870"/>
      <c r="AB217" s="870"/>
      <c r="AC217" s="870"/>
      <c r="AD217" s="870"/>
      <c r="AE217" s="870"/>
      <c r="AF217" s="870"/>
      <c r="AG217" s="870"/>
      <c r="AH217" s="870"/>
      <c r="AI217" s="870"/>
      <c r="AJ217" s="870"/>
      <c r="AK217" s="870"/>
      <c r="AL217" s="870"/>
      <c r="AM217" s="870"/>
      <c r="AN217" s="870"/>
      <c r="AO217" s="870"/>
      <c r="AP217" s="870"/>
      <c r="AQ217" s="870"/>
      <c r="AR217" s="870"/>
      <c r="AS217" s="870"/>
      <c r="AT217" s="870"/>
      <c r="AU217" s="870"/>
      <c r="AV217" s="870"/>
      <c r="AW217" s="870"/>
      <c r="AX217" s="870"/>
      <c r="AY217" s="870"/>
      <c r="AZ217" s="870"/>
      <c r="BA217" s="67">
        <v>205</v>
      </c>
      <c r="BB217" s="68">
        <f t="shared" si="60"/>
        <v>0</v>
      </c>
      <c r="BC217" s="192">
        <f t="shared" si="61"/>
        <v>0</v>
      </c>
      <c r="BD217" s="70">
        <f t="shared" si="59"/>
        <v>0</v>
      </c>
      <c r="BE217" s="70">
        <f t="shared" si="59"/>
        <v>0</v>
      </c>
      <c r="BF217" s="192"/>
      <c r="BG217" s="192"/>
      <c r="BH217" s="192"/>
      <c r="BI217" s="192"/>
      <c r="BJ217" s="192"/>
      <c r="BK217" s="192"/>
      <c r="BL217" s="192"/>
      <c r="BM217" s="192"/>
      <c r="BN217" s="192"/>
      <c r="BO217" s="192"/>
      <c r="BP217" s="192"/>
      <c r="BQ217" s="192"/>
      <c r="BR217" s="192"/>
      <c r="BS217" s="192"/>
      <c r="BT217" s="192"/>
      <c r="BU217" s="192"/>
      <c r="BV217" s="192"/>
      <c r="BW217" s="192"/>
      <c r="BX217" s="192"/>
      <c r="BY217" s="192"/>
      <c r="BZ217" s="192"/>
      <c r="CA217" s="192"/>
      <c r="CB217" s="192"/>
      <c r="CC217" s="192"/>
      <c r="CD217" s="192"/>
      <c r="CE217" s="192"/>
      <c r="CF217" s="192"/>
      <c r="CG217" s="192"/>
      <c r="CH217" s="192"/>
      <c r="CI217" s="796"/>
      <c r="CJ217" s="796"/>
      <c r="CK217" s="192"/>
      <c r="CL217" s="192"/>
      <c r="CM217" s="192"/>
      <c r="CN217" s="192"/>
      <c r="CO217" s="192"/>
      <c r="CP217" s="192"/>
      <c r="CQ217" s="192"/>
      <c r="CR217" s="192"/>
      <c r="CS217" s="192"/>
      <c r="CT217" s="192"/>
      <c r="CU217" s="192"/>
      <c r="CV217" s="192"/>
      <c r="CW217" s="192"/>
      <c r="CX217" s="192"/>
      <c r="CY217" s="192"/>
    </row>
    <row r="218" spans="1:103" ht="36" customHeight="1">
      <c r="A218" s="2130" t="s">
        <v>84</v>
      </c>
      <c r="B218" s="2130"/>
      <c r="C218" s="2126">
        <f>C175</f>
        <v>0</v>
      </c>
      <c r="D218" s="2126"/>
      <c r="E218" s="2126"/>
      <c r="F218" s="2126"/>
      <c r="G218" s="2126"/>
      <c r="H218" s="2126"/>
      <c r="I218" s="2126"/>
      <c r="J218" s="2126"/>
      <c r="K218" s="2126"/>
      <c r="L218" s="2126"/>
      <c r="M218" s="2126"/>
      <c r="N218" s="2126"/>
      <c r="O218" s="2126"/>
      <c r="P218" s="2126"/>
      <c r="Q218" s="2126"/>
      <c r="R218" s="2126"/>
      <c r="S218" s="2126"/>
      <c r="T218" s="2126"/>
      <c r="U218" s="862"/>
      <c r="V218" s="862"/>
      <c r="W218" s="862"/>
      <c r="X218" s="862"/>
      <c r="Y218" s="862"/>
      <c r="Z218" s="862"/>
      <c r="AA218" s="870"/>
      <c r="AB218" s="870"/>
      <c r="AC218" s="870"/>
      <c r="AD218" s="870"/>
      <c r="AE218" s="870"/>
      <c r="AF218" s="870"/>
      <c r="AG218" s="870"/>
      <c r="AH218" s="870"/>
      <c r="AI218" s="870"/>
      <c r="AJ218" s="870"/>
      <c r="AK218" s="870"/>
      <c r="AL218" s="870"/>
      <c r="AM218" s="870"/>
      <c r="AN218" s="870"/>
      <c r="AO218" s="870"/>
      <c r="AP218" s="870"/>
      <c r="AQ218" s="870"/>
      <c r="AR218" s="870"/>
      <c r="AS218" s="870"/>
      <c r="AT218" s="870"/>
      <c r="AU218" s="870"/>
      <c r="AV218" s="870"/>
      <c r="AW218" s="870"/>
      <c r="AX218" s="870"/>
      <c r="AY218" s="870"/>
      <c r="AZ218" s="870"/>
      <c r="BA218" s="67">
        <v>206</v>
      </c>
      <c r="BB218" s="68">
        <f t="shared" si="60"/>
        <v>0</v>
      </c>
      <c r="BC218" s="192">
        <f t="shared" si="61"/>
        <v>0</v>
      </c>
      <c r="BD218" s="70">
        <f t="shared" si="59"/>
        <v>0</v>
      </c>
      <c r="BE218" s="70">
        <f t="shared" si="59"/>
        <v>0</v>
      </c>
      <c r="BF218" s="192"/>
      <c r="BG218" s="192"/>
      <c r="BH218" s="192"/>
      <c r="BI218" s="192"/>
      <c r="BJ218" s="192"/>
      <c r="BK218" s="192"/>
      <c r="BL218" s="192"/>
      <c r="BM218" s="192"/>
      <c r="BN218" s="192"/>
      <c r="BO218" s="192"/>
      <c r="BP218" s="192"/>
      <c r="BQ218" s="192"/>
      <c r="BR218" s="192"/>
      <c r="BS218" s="192"/>
      <c r="BT218" s="192"/>
      <c r="BU218" s="192"/>
      <c r="BV218" s="192"/>
      <c r="BW218" s="192"/>
      <c r="BX218" s="192"/>
      <c r="BY218" s="192"/>
      <c r="BZ218" s="192"/>
      <c r="CA218" s="192"/>
      <c r="CB218" s="192"/>
      <c r="CC218" s="192"/>
      <c r="CD218" s="192"/>
      <c r="CE218" s="192"/>
      <c r="CF218" s="192"/>
      <c r="CG218" s="192"/>
      <c r="CH218" s="192"/>
      <c r="CI218" s="796"/>
      <c r="CJ218" s="796"/>
      <c r="CK218" s="192"/>
      <c r="CL218" s="192"/>
      <c r="CM218" s="192"/>
      <c r="CN218" s="192"/>
      <c r="CO218" s="192"/>
      <c r="CP218" s="192"/>
      <c r="CQ218" s="192"/>
      <c r="CR218" s="192"/>
      <c r="CS218" s="192"/>
      <c r="CT218" s="192"/>
      <c r="CU218" s="192"/>
      <c r="CV218" s="192"/>
      <c r="CW218" s="192"/>
      <c r="CX218" s="192"/>
      <c r="CY218" s="192"/>
    </row>
    <row r="219" spans="1:103" ht="15" customHeight="1">
      <c r="A219" s="2130" t="s">
        <v>82</v>
      </c>
      <c r="B219" s="2130"/>
      <c r="C219" s="2126">
        <f>C176</f>
        <v>0</v>
      </c>
      <c r="D219" s="2126"/>
      <c r="E219" s="2125" t="s">
        <v>16</v>
      </c>
      <c r="F219" s="2126">
        <f>F176</f>
        <v>0</v>
      </c>
      <c r="G219" s="2125" t="s">
        <v>15</v>
      </c>
      <c r="H219" s="2126">
        <f>H176</f>
        <v>0</v>
      </c>
      <c r="I219" s="2125" t="s">
        <v>14</v>
      </c>
      <c r="J219" s="2125" t="s">
        <v>471</v>
      </c>
      <c r="K219" s="2126">
        <f>K176</f>
        <v>0</v>
      </c>
      <c r="L219" s="2125" t="s">
        <v>467</v>
      </c>
      <c r="M219" s="2125" t="s">
        <v>35</v>
      </c>
      <c r="N219" s="2126">
        <f>N176</f>
        <v>0</v>
      </c>
      <c r="O219" s="2125" t="s">
        <v>15</v>
      </c>
      <c r="P219" s="2126">
        <f>P176</f>
        <v>0</v>
      </c>
      <c r="Q219" s="2125" t="s">
        <v>14</v>
      </c>
      <c r="R219" s="2125" t="s">
        <v>471</v>
      </c>
      <c r="S219" s="2126">
        <f>S176</f>
        <v>0</v>
      </c>
      <c r="T219" s="2125" t="s">
        <v>475</v>
      </c>
      <c r="U219" s="2125"/>
      <c r="V219" s="2125"/>
      <c r="W219" s="863">
        <f>W176</f>
        <v>0</v>
      </c>
      <c r="X219" s="859" t="s">
        <v>46</v>
      </c>
      <c r="Y219" s="863" t="str">
        <f>Y176</f>
        <v/>
      </c>
      <c r="Z219" s="859" t="s">
        <v>14</v>
      </c>
      <c r="AA219" s="871"/>
      <c r="AB219" s="871"/>
      <c r="AC219" s="871"/>
      <c r="AD219" s="871"/>
      <c r="AE219" s="871"/>
      <c r="AF219" s="871"/>
      <c r="AG219" s="871"/>
      <c r="AH219" s="871"/>
      <c r="AI219" s="871"/>
      <c r="AJ219" s="871"/>
      <c r="AK219" s="871"/>
      <c r="AL219" s="871"/>
      <c r="AM219" s="871"/>
      <c r="AN219" s="871"/>
      <c r="AO219" s="871"/>
      <c r="AP219" s="871"/>
      <c r="AQ219" s="871"/>
      <c r="AR219" s="871"/>
      <c r="AS219" s="871"/>
      <c r="AT219" s="871"/>
      <c r="AU219" s="871"/>
      <c r="AV219" s="871"/>
      <c r="AW219" s="871"/>
      <c r="AX219" s="871"/>
      <c r="AY219" s="871"/>
      <c r="AZ219" s="871"/>
      <c r="BA219" s="67">
        <v>207</v>
      </c>
      <c r="BB219" s="68">
        <f t="shared" si="60"/>
        <v>0</v>
      </c>
      <c r="BC219" s="192">
        <f t="shared" si="61"/>
        <v>0</v>
      </c>
      <c r="BD219" s="70">
        <f t="shared" si="59"/>
        <v>0</v>
      </c>
      <c r="BE219" s="70">
        <f t="shared" si="59"/>
        <v>0</v>
      </c>
      <c r="BF219" s="192"/>
      <c r="BG219" s="192"/>
      <c r="BH219" s="192"/>
      <c r="BI219" s="192"/>
      <c r="BJ219" s="192"/>
      <c r="BK219" s="192"/>
      <c r="BL219" s="192"/>
      <c r="BM219" s="192"/>
      <c r="BN219" s="192"/>
      <c r="BO219" s="192"/>
      <c r="BP219" s="192"/>
      <c r="BQ219" s="192"/>
      <c r="BR219" s="192"/>
      <c r="BS219" s="192"/>
      <c r="BT219" s="192"/>
      <c r="BU219" s="192"/>
      <c r="BV219" s="192"/>
      <c r="BW219" s="192"/>
      <c r="BX219" s="192"/>
      <c r="BY219" s="192"/>
      <c r="BZ219" s="192"/>
      <c r="CA219" s="192"/>
      <c r="CB219" s="192"/>
      <c r="CC219" s="192"/>
      <c r="CD219" s="192"/>
      <c r="CE219" s="192"/>
      <c r="CF219" s="192"/>
      <c r="CG219" s="192"/>
      <c r="CH219" s="192"/>
      <c r="CI219" s="796"/>
      <c r="CJ219" s="796"/>
      <c r="CK219" s="192"/>
      <c r="CL219" s="192"/>
      <c r="CM219" s="192"/>
      <c r="CN219" s="192"/>
      <c r="CO219" s="192"/>
      <c r="CP219" s="192"/>
      <c r="CQ219" s="192"/>
      <c r="CR219" s="192"/>
      <c r="CS219" s="192"/>
      <c r="CT219" s="192"/>
      <c r="CU219" s="192"/>
      <c r="CV219" s="192"/>
      <c r="CW219" s="192"/>
      <c r="CX219" s="192"/>
      <c r="CY219" s="192"/>
    </row>
    <row r="220" spans="1:103" ht="15" customHeight="1">
      <c r="A220" s="2130"/>
      <c r="B220" s="2130"/>
      <c r="C220" s="2126"/>
      <c r="D220" s="2126"/>
      <c r="E220" s="2125"/>
      <c r="F220" s="2126"/>
      <c r="G220" s="2125"/>
      <c r="H220" s="2126"/>
      <c r="I220" s="2125"/>
      <c r="J220" s="2125"/>
      <c r="K220" s="2126"/>
      <c r="L220" s="2125"/>
      <c r="M220" s="2125"/>
      <c r="N220" s="2126"/>
      <c r="O220" s="2125"/>
      <c r="P220" s="2126"/>
      <c r="Q220" s="2125"/>
      <c r="R220" s="2125"/>
      <c r="S220" s="2126"/>
      <c r="T220" s="2125"/>
      <c r="U220" s="2125"/>
      <c r="V220" s="2125"/>
      <c r="W220" s="2125" t="s">
        <v>47</v>
      </c>
      <c r="X220" s="2125"/>
      <c r="Y220" s="864" t="str">
        <f>Y177</f>
        <v/>
      </c>
      <c r="Z220" s="859" t="s">
        <v>14</v>
      </c>
      <c r="AA220" s="871"/>
      <c r="AB220" s="871"/>
      <c r="AC220" s="871"/>
      <c r="AD220" s="871"/>
      <c r="AE220" s="871"/>
      <c r="AF220" s="871"/>
      <c r="AG220" s="871"/>
      <c r="AH220" s="871"/>
      <c r="AI220" s="871"/>
      <c r="AJ220" s="871"/>
      <c r="AK220" s="871"/>
      <c r="AL220" s="871"/>
      <c r="AM220" s="871"/>
      <c r="AN220" s="871"/>
      <c r="AO220" s="871"/>
      <c r="AP220" s="871"/>
      <c r="AQ220" s="871"/>
      <c r="AR220" s="871"/>
      <c r="AS220" s="871"/>
      <c r="AT220" s="871"/>
      <c r="AU220" s="871"/>
      <c r="AV220" s="871"/>
      <c r="AW220" s="871"/>
      <c r="AX220" s="871"/>
      <c r="AY220" s="871"/>
      <c r="AZ220" s="871"/>
      <c r="BA220" s="67">
        <v>208</v>
      </c>
      <c r="BB220" s="68">
        <f t="shared" si="60"/>
        <v>0</v>
      </c>
      <c r="BC220" s="192">
        <f t="shared" si="61"/>
        <v>0</v>
      </c>
      <c r="BD220" s="70">
        <f t="shared" si="59"/>
        <v>0</v>
      </c>
      <c r="BE220" s="70">
        <f t="shared" si="59"/>
        <v>0</v>
      </c>
      <c r="BF220" s="192"/>
      <c r="BG220" s="192"/>
      <c r="BH220" s="192"/>
      <c r="BI220" s="192"/>
      <c r="BJ220" s="192"/>
      <c r="BK220" s="192"/>
      <c r="BL220" s="192"/>
      <c r="BM220" s="192"/>
      <c r="BN220" s="192"/>
      <c r="BO220" s="192"/>
      <c r="BP220" s="192"/>
      <c r="BQ220" s="192"/>
      <c r="BR220" s="192"/>
      <c r="BS220" s="192"/>
      <c r="BT220" s="192"/>
      <c r="BU220" s="192"/>
      <c r="BV220" s="192"/>
      <c r="BW220" s="192"/>
      <c r="BX220" s="192"/>
      <c r="BY220" s="192"/>
      <c r="BZ220" s="192"/>
      <c r="CA220" s="192"/>
      <c r="CB220" s="192"/>
      <c r="CC220" s="192"/>
      <c r="CD220" s="192"/>
      <c r="CE220" s="192"/>
      <c r="CF220" s="192"/>
      <c r="CG220" s="192"/>
      <c r="CH220" s="192"/>
      <c r="CI220" s="796"/>
      <c r="CJ220" s="796"/>
      <c r="CK220" s="192"/>
      <c r="CL220" s="192"/>
      <c r="CM220" s="192"/>
      <c r="CN220" s="192"/>
      <c r="CO220" s="192"/>
      <c r="CP220" s="192"/>
      <c r="CQ220" s="192"/>
      <c r="CR220" s="192"/>
      <c r="CS220" s="192"/>
      <c r="CT220" s="192"/>
      <c r="CU220" s="192"/>
      <c r="CV220" s="192"/>
      <c r="CW220" s="192"/>
      <c r="CX220" s="192"/>
      <c r="CY220" s="192"/>
    </row>
    <row r="221" spans="1:103" ht="24.95" customHeight="1">
      <c r="A221" s="2132"/>
      <c r="B221" s="2132"/>
      <c r="C221" s="2132"/>
      <c r="D221" s="2132"/>
      <c r="E221" s="2132"/>
      <c r="F221" s="2132"/>
      <c r="G221" s="2132"/>
      <c r="H221" s="2132"/>
      <c r="I221" s="2132"/>
      <c r="J221" s="2132"/>
      <c r="K221" s="2132"/>
      <c r="L221" s="2132"/>
      <c r="M221" s="2132"/>
      <c r="N221" s="2132"/>
      <c r="O221" s="2132"/>
      <c r="P221" s="2132"/>
      <c r="Q221" s="2132"/>
      <c r="R221" s="2132"/>
      <c r="S221" s="2132"/>
      <c r="T221" s="2132"/>
      <c r="U221" s="2132"/>
      <c r="V221" s="2132"/>
      <c r="W221" s="2132"/>
      <c r="X221" s="2132"/>
      <c r="Y221" s="2132"/>
      <c r="Z221" s="2132"/>
      <c r="AA221" s="871"/>
      <c r="AB221" s="871"/>
      <c r="AC221" s="871"/>
      <c r="AD221" s="871"/>
      <c r="AE221" s="871"/>
      <c r="AF221" s="871"/>
      <c r="AG221" s="871"/>
      <c r="AH221" s="871"/>
      <c r="AI221" s="871"/>
      <c r="AJ221" s="871"/>
      <c r="AK221" s="871"/>
      <c r="AL221" s="871"/>
      <c r="AM221" s="871"/>
      <c r="AN221" s="871"/>
      <c r="AO221" s="871"/>
      <c r="AP221" s="871"/>
      <c r="AQ221" s="871"/>
      <c r="AR221" s="871"/>
      <c r="AS221" s="871"/>
      <c r="AT221" s="871"/>
      <c r="AU221" s="871"/>
      <c r="AV221" s="871"/>
      <c r="AW221" s="871"/>
      <c r="AX221" s="871"/>
      <c r="AY221" s="871"/>
      <c r="AZ221" s="871"/>
      <c r="BA221" s="67">
        <v>209</v>
      </c>
      <c r="BB221" s="68">
        <f t="shared" si="60"/>
        <v>0</v>
      </c>
      <c r="BC221" s="192">
        <f t="shared" si="61"/>
        <v>0</v>
      </c>
      <c r="BD221" s="70">
        <f t="shared" si="59"/>
        <v>0</v>
      </c>
      <c r="BE221" s="70">
        <f t="shared" si="59"/>
        <v>0</v>
      </c>
      <c r="BF221" s="192"/>
      <c r="BG221" s="192"/>
      <c r="BH221" s="192"/>
      <c r="BI221" s="192"/>
      <c r="BJ221" s="192"/>
      <c r="BK221" s="192"/>
      <c r="BL221" s="192"/>
      <c r="BM221" s="192"/>
      <c r="BN221" s="192"/>
      <c r="BO221" s="192"/>
      <c r="BP221" s="192"/>
      <c r="BQ221" s="192"/>
      <c r="BR221" s="192"/>
      <c r="BS221" s="192"/>
      <c r="BT221" s="192"/>
      <c r="BU221" s="192"/>
      <c r="BV221" s="192"/>
      <c r="BW221" s="192"/>
      <c r="BX221" s="192"/>
      <c r="BY221" s="192"/>
      <c r="BZ221" s="192"/>
      <c r="CA221" s="192"/>
      <c r="CB221" s="192"/>
      <c r="CC221" s="192"/>
      <c r="CD221" s="192"/>
      <c r="CE221" s="192"/>
      <c r="CF221" s="192"/>
      <c r="CG221" s="192"/>
      <c r="CH221" s="192"/>
      <c r="CI221" s="796"/>
      <c r="CJ221" s="796"/>
      <c r="CK221" s="192"/>
      <c r="CL221" s="192"/>
      <c r="CM221" s="192"/>
      <c r="CN221" s="192"/>
      <c r="CO221" s="192"/>
      <c r="CP221" s="192"/>
      <c r="CQ221" s="192"/>
      <c r="CR221" s="192"/>
      <c r="CS221" s="192"/>
      <c r="CT221" s="192"/>
      <c r="CU221" s="192"/>
      <c r="CV221" s="192"/>
      <c r="CW221" s="192"/>
      <c r="CX221" s="192"/>
      <c r="CY221" s="192"/>
    </row>
    <row r="222" spans="1:103" ht="13.5" customHeight="1">
      <c r="A222" s="2125" t="s">
        <v>465</v>
      </c>
      <c r="B222" s="2128" t="s">
        <v>163</v>
      </c>
      <c r="C222" s="2128"/>
      <c r="D222" s="2128"/>
      <c r="E222" s="2128"/>
      <c r="F222" s="2128"/>
      <c r="G222" s="2128"/>
      <c r="H222" s="2129" t="s">
        <v>164</v>
      </c>
      <c r="I222" s="2128"/>
      <c r="J222" s="2128" t="s">
        <v>165</v>
      </c>
      <c r="K222" s="2128"/>
      <c r="L222" s="2128"/>
      <c r="M222" s="2128"/>
      <c r="N222" s="2125" t="s">
        <v>476</v>
      </c>
      <c r="O222" s="2128" t="s">
        <v>163</v>
      </c>
      <c r="P222" s="2128"/>
      <c r="Q222" s="2128"/>
      <c r="R222" s="2128"/>
      <c r="S222" s="2128"/>
      <c r="T222" s="2128"/>
      <c r="U222" s="2129" t="s">
        <v>164</v>
      </c>
      <c r="V222" s="2128"/>
      <c r="W222" s="2128" t="s">
        <v>165</v>
      </c>
      <c r="X222" s="2128"/>
      <c r="Y222" s="2128"/>
      <c r="Z222" s="2128"/>
      <c r="AA222" s="871"/>
      <c r="AB222" s="871"/>
      <c r="AC222" s="871"/>
      <c r="AD222" s="871"/>
      <c r="AE222" s="871"/>
      <c r="AF222" s="871"/>
      <c r="AG222" s="871"/>
      <c r="AH222" s="871"/>
      <c r="AI222" s="871"/>
      <c r="AJ222" s="871"/>
      <c r="AK222" s="871"/>
      <c r="AL222" s="871"/>
      <c r="AM222" s="871"/>
      <c r="AN222" s="871"/>
      <c r="AO222" s="871"/>
      <c r="AP222" s="871"/>
      <c r="AQ222" s="871"/>
      <c r="AR222" s="871"/>
      <c r="AS222" s="871"/>
      <c r="AT222" s="871"/>
      <c r="AU222" s="871"/>
      <c r="AV222" s="871"/>
      <c r="AW222" s="871"/>
      <c r="AX222" s="871"/>
      <c r="AY222" s="871"/>
      <c r="AZ222" s="871"/>
      <c r="BA222" s="67">
        <v>210</v>
      </c>
      <c r="BB222" s="68">
        <f t="shared" si="60"/>
        <v>0</v>
      </c>
      <c r="BC222" s="192">
        <f t="shared" si="61"/>
        <v>0</v>
      </c>
      <c r="BD222" s="70">
        <f t="shared" si="59"/>
        <v>0</v>
      </c>
      <c r="BE222" s="70">
        <f t="shared" si="59"/>
        <v>0</v>
      </c>
      <c r="BF222" s="192"/>
      <c r="BG222" s="192"/>
      <c r="BH222" s="192"/>
      <c r="BI222" s="192"/>
      <c r="BJ222" s="192"/>
      <c r="BK222" s="192"/>
      <c r="BL222" s="192"/>
      <c r="BM222" s="192"/>
      <c r="BN222" s="192"/>
      <c r="BO222" s="192"/>
      <c r="BP222" s="192"/>
      <c r="BQ222" s="192"/>
      <c r="BR222" s="192"/>
      <c r="BS222" s="192"/>
      <c r="BT222" s="192"/>
      <c r="BU222" s="192"/>
      <c r="BV222" s="192"/>
      <c r="BW222" s="192"/>
      <c r="BX222" s="192"/>
      <c r="BY222" s="192"/>
      <c r="BZ222" s="192"/>
      <c r="CA222" s="192"/>
      <c r="CB222" s="192"/>
      <c r="CC222" s="192"/>
      <c r="CD222" s="192"/>
      <c r="CE222" s="192"/>
      <c r="CF222" s="192"/>
      <c r="CG222" s="192"/>
      <c r="CH222" s="192"/>
      <c r="CI222" s="796"/>
      <c r="CJ222" s="796"/>
      <c r="CK222" s="192"/>
      <c r="CL222" s="192"/>
      <c r="CM222" s="192"/>
      <c r="CN222" s="192"/>
      <c r="CO222" s="192"/>
      <c r="CP222" s="192"/>
      <c r="CQ222" s="192"/>
      <c r="CR222" s="192"/>
      <c r="CS222" s="192"/>
      <c r="CT222" s="192"/>
      <c r="CU222" s="192"/>
      <c r="CV222" s="192"/>
      <c r="CW222" s="192"/>
      <c r="CX222" s="192"/>
      <c r="CY222" s="192"/>
    </row>
    <row r="223" spans="1:103">
      <c r="A223" s="2125"/>
      <c r="B223" s="2128"/>
      <c r="C223" s="2128"/>
      <c r="D223" s="2128"/>
      <c r="E223" s="2128"/>
      <c r="F223" s="2128"/>
      <c r="G223" s="2128"/>
      <c r="H223" s="2128"/>
      <c r="I223" s="2128"/>
      <c r="J223" s="2128"/>
      <c r="K223" s="2128"/>
      <c r="L223" s="2128"/>
      <c r="M223" s="2128"/>
      <c r="N223" s="2125"/>
      <c r="O223" s="2128"/>
      <c r="P223" s="2128"/>
      <c r="Q223" s="2128"/>
      <c r="R223" s="2128"/>
      <c r="S223" s="2128"/>
      <c r="T223" s="2128"/>
      <c r="U223" s="2128"/>
      <c r="V223" s="2128"/>
      <c r="W223" s="2128"/>
      <c r="X223" s="2128"/>
      <c r="Y223" s="2128"/>
      <c r="Z223" s="2128"/>
      <c r="AA223" s="871"/>
      <c r="AB223" s="871"/>
      <c r="AC223" s="871"/>
      <c r="AD223" s="871"/>
      <c r="AE223" s="871"/>
      <c r="AF223" s="871"/>
      <c r="AG223" s="871"/>
      <c r="AH223" s="871"/>
      <c r="AI223" s="871"/>
      <c r="AJ223" s="871"/>
      <c r="AK223" s="871"/>
      <c r="AL223" s="871"/>
      <c r="AM223" s="871"/>
      <c r="AN223" s="871"/>
      <c r="AO223" s="871"/>
      <c r="AP223" s="871"/>
      <c r="AQ223" s="871"/>
      <c r="AR223" s="871"/>
      <c r="AS223" s="871"/>
      <c r="AT223" s="871"/>
      <c r="AU223" s="871"/>
      <c r="AV223" s="871"/>
      <c r="AW223" s="871"/>
      <c r="AX223" s="871"/>
      <c r="AY223" s="871"/>
      <c r="AZ223" s="871"/>
      <c r="BA223" s="67">
        <v>211</v>
      </c>
      <c r="BB223" s="68">
        <f t="shared" si="60"/>
        <v>0</v>
      </c>
      <c r="BC223" s="192">
        <f t="shared" si="61"/>
        <v>0</v>
      </c>
      <c r="BD223" s="70">
        <f t="shared" si="59"/>
        <v>0</v>
      </c>
      <c r="BE223" s="70">
        <f t="shared" si="59"/>
        <v>0</v>
      </c>
      <c r="BF223" s="192"/>
      <c r="BG223" s="192"/>
      <c r="BH223" s="192"/>
      <c r="BI223" s="192"/>
      <c r="BJ223" s="192"/>
      <c r="BK223" s="192"/>
      <c r="BL223" s="192"/>
      <c r="BM223" s="192"/>
      <c r="BN223" s="192"/>
      <c r="BO223" s="192"/>
      <c r="BP223" s="192"/>
      <c r="BQ223" s="192"/>
      <c r="BR223" s="192"/>
      <c r="BS223" s="192"/>
      <c r="BT223" s="192"/>
      <c r="BU223" s="192"/>
      <c r="BV223" s="192"/>
      <c r="BW223" s="192"/>
      <c r="BX223" s="192"/>
      <c r="BY223" s="192"/>
      <c r="BZ223" s="192"/>
      <c r="CA223" s="192"/>
      <c r="CB223" s="192"/>
      <c r="CC223" s="192"/>
      <c r="CD223" s="192"/>
      <c r="CE223" s="192"/>
      <c r="CF223" s="192"/>
      <c r="CG223" s="192"/>
      <c r="CH223" s="192"/>
      <c r="CI223" s="796"/>
      <c r="CJ223" s="796"/>
      <c r="CK223" s="192"/>
      <c r="CL223" s="192"/>
      <c r="CM223" s="192"/>
      <c r="CN223" s="192"/>
      <c r="CO223" s="192"/>
      <c r="CP223" s="192"/>
      <c r="CQ223" s="192"/>
      <c r="CR223" s="192"/>
      <c r="CS223" s="192"/>
      <c r="CT223" s="192"/>
      <c r="CU223" s="192"/>
      <c r="CV223" s="192"/>
      <c r="CW223" s="192"/>
      <c r="CX223" s="192"/>
      <c r="CY223" s="192"/>
    </row>
    <row r="224" spans="1:103" ht="26.1" customHeight="1">
      <c r="A224" s="2125"/>
      <c r="B224" s="2128"/>
      <c r="C224" s="2128"/>
      <c r="D224" s="2128"/>
      <c r="E224" s="2128"/>
      <c r="F224" s="2128"/>
      <c r="G224" s="2128"/>
      <c r="H224" s="2124" t="s">
        <v>48</v>
      </c>
      <c r="I224" s="2124" t="s">
        <v>47</v>
      </c>
      <c r="J224" s="2124" t="s">
        <v>529</v>
      </c>
      <c r="K224" s="2124" t="s">
        <v>528</v>
      </c>
      <c r="L224" s="2124"/>
      <c r="M224" s="2124"/>
      <c r="N224" s="2125"/>
      <c r="O224" s="2128"/>
      <c r="P224" s="2128"/>
      <c r="Q224" s="2128"/>
      <c r="R224" s="2128"/>
      <c r="S224" s="2128"/>
      <c r="T224" s="2128"/>
      <c r="U224" s="2124" t="s">
        <v>48</v>
      </c>
      <c r="V224" s="2124" t="s">
        <v>47</v>
      </c>
      <c r="W224" s="2124" t="s">
        <v>529</v>
      </c>
      <c r="X224" s="2124" t="s">
        <v>528</v>
      </c>
      <c r="Y224" s="2124"/>
      <c r="Z224" s="2124"/>
      <c r="AA224" s="625"/>
      <c r="AB224" s="625"/>
      <c r="AC224" s="625"/>
      <c r="AD224" s="625"/>
      <c r="AE224" s="625"/>
      <c r="AF224" s="625"/>
      <c r="AG224" s="625"/>
      <c r="AH224" s="625"/>
      <c r="AI224" s="625"/>
      <c r="AJ224" s="625"/>
      <c r="AK224" s="625"/>
      <c r="AL224" s="625"/>
      <c r="AM224" s="625"/>
      <c r="AN224" s="625"/>
      <c r="AO224" s="625"/>
      <c r="AP224" s="625"/>
      <c r="AQ224" s="625"/>
      <c r="AR224" s="625"/>
      <c r="AS224" s="625"/>
      <c r="AT224" s="625"/>
      <c r="AU224" s="625"/>
      <c r="AV224" s="625"/>
      <c r="AW224" s="625"/>
      <c r="AX224" s="625"/>
      <c r="AY224" s="625"/>
      <c r="AZ224" s="625"/>
      <c r="BA224" s="67">
        <v>212</v>
      </c>
      <c r="BB224" s="68">
        <f t="shared" si="60"/>
        <v>0</v>
      </c>
      <c r="BC224" s="192">
        <f t="shared" si="61"/>
        <v>0</v>
      </c>
      <c r="BD224" s="70">
        <f t="shared" si="59"/>
        <v>0</v>
      </c>
      <c r="BE224" s="70">
        <f t="shared" si="59"/>
        <v>0</v>
      </c>
      <c r="BF224" s="192"/>
      <c r="BG224" s="192"/>
      <c r="BH224" s="192"/>
      <c r="BI224" s="192"/>
      <c r="BJ224" s="192"/>
      <c r="BK224" s="192"/>
      <c r="BL224" s="192"/>
      <c r="BM224" s="192"/>
      <c r="BN224" s="192"/>
      <c r="BO224" s="192"/>
      <c r="BP224" s="192"/>
      <c r="BQ224" s="192"/>
      <c r="BR224" s="192"/>
      <c r="BS224" s="192"/>
      <c r="BT224" s="192"/>
      <c r="BU224" s="192"/>
      <c r="BV224" s="192"/>
      <c r="BW224" s="192"/>
      <c r="BX224" s="192"/>
      <c r="BY224" s="192"/>
      <c r="BZ224" s="192"/>
      <c r="CA224" s="192"/>
      <c r="CB224" s="192"/>
      <c r="CC224" s="192"/>
      <c r="CD224" s="192"/>
      <c r="CE224" s="192"/>
      <c r="CF224" s="192"/>
      <c r="CG224" s="192"/>
      <c r="CH224" s="192"/>
      <c r="CI224" s="796"/>
      <c r="CJ224" s="796"/>
      <c r="CK224" s="192"/>
      <c r="CL224" s="192"/>
      <c r="CM224" s="192"/>
      <c r="CN224" s="192"/>
      <c r="CO224" s="192"/>
      <c r="CP224" s="192"/>
      <c r="CQ224" s="192"/>
      <c r="CR224" s="192"/>
      <c r="CS224" s="192"/>
      <c r="CT224" s="192"/>
      <c r="CU224" s="192"/>
      <c r="CV224" s="192"/>
      <c r="CW224" s="192"/>
      <c r="CX224" s="192"/>
      <c r="CY224" s="192"/>
    </row>
    <row r="225" spans="1:103" ht="26.1" customHeight="1">
      <c r="A225" s="2125"/>
      <c r="B225" s="2128"/>
      <c r="C225" s="2128"/>
      <c r="D225" s="2128"/>
      <c r="E225" s="2128"/>
      <c r="F225" s="2128"/>
      <c r="G225" s="2128"/>
      <c r="H225" s="2124"/>
      <c r="I225" s="2124"/>
      <c r="J225" s="2124"/>
      <c r="K225" s="2124"/>
      <c r="L225" s="2124"/>
      <c r="M225" s="2124"/>
      <c r="N225" s="2125"/>
      <c r="O225" s="2128"/>
      <c r="P225" s="2128"/>
      <c r="Q225" s="2128"/>
      <c r="R225" s="2128"/>
      <c r="S225" s="2128"/>
      <c r="T225" s="2128"/>
      <c r="U225" s="2124"/>
      <c r="V225" s="2124"/>
      <c r="W225" s="2124"/>
      <c r="X225" s="2124"/>
      <c r="Y225" s="2124"/>
      <c r="Z225" s="2124"/>
      <c r="AA225" s="625"/>
      <c r="AB225" s="625"/>
      <c r="AC225" s="625"/>
      <c r="AD225" s="625"/>
      <c r="AE225" s="625"/>
      <c r="AF225" s="625"/>
      <c r="AG225" s="625"/>
      <c r="AH225" s="625"/>
      <c r="AI225" s="625"/>
      <c r="AJ225" s="625"/>
      <c r="AK225" s="625"/>
      <c r="AL225" s="625"/>
      <c r="AM225" s="625"/>
      <c r="AN225" s="625"/>
      <c r="AO225" s="625"/>
      <c r="AP225" s="625"/>
      <c r="AQ225" s="625"/>
      <c r="AR225" s="625"/>
      <c r="AS225" s="625"/>
      <c r="AT225" s="625"/>
      <c r="AU225" s="625"/>
      <c r="AV225" s="625"/>
      <c r="AW225" s="625"/>
      <c r="AX225" s="625"/>
      <c r="AY225" s="625"/>
      <c r="AZ225" s="625"/>
      <c r="BA225" s="67">
        <v>213</v>
      </c>
      <c r="BB225" s="68">
        <f t="shared" si="60"/>
        <v>0</v>
      </c>
      <c r="BC225" s="192">
        <f t="shared" si="61"/>
        <v>0</v>
      </c>
      <c r="BD225" s="70">
        <f t="shared" si="59"/>
        <v>0</v>
      </c>
      <c r="BE225" s="70">
        <f t="shared" si="59"/>
        <v>0</v>
      </c>
      <c r="BF225" s="192"/>
      <c r="BG225" s="192"/>
      <c r="BH225" s="192"/>
      <c r="BI225" s="192"/>
      <c r="BJ225" s="192"/>
      <c r="BK225" s="192"/>
      <c r="BL225" s="192"/>
      <c r="BM225" s="192"/>
      <c r="BN225" s="192"/>
      <c r="BO225" s="192"/>
      <c r="BP225" s="192"/>
      <c r="BQ225" s="192"/>
      <c r="BR225" s="192"/>
      <c r="BS225" s="192"/>
      <c r="BT225" s="192"/>
      <c r="BU225" s="192"/>
      <c r="BV225" s="192"/>
      <c r="BW225" s="192"/>
      <c r="BX225" s="192"/>
      <c r="BY225" s="192"/>
      <c r="BZ225" s="192"/>
      <c r="CA225" s="192"/>
      <c r="CB225" s="192"/>
      <c r="CC225" s="192"/>
      <c r="CD225" s="192"/>
      <c r="CE225" s="192"/>
      <c r="CF225" s="192"/>
      <c r="CG225" s="192"/>
      <c r="CH225" s="192"/>
      <c r="CI225" s="796"/>
      <c r="CJ225" s="796"/>
      <c r="CK225" s="192"/>
      <c r="CL225" s="192"/>
      <c r="CM225" s="192"/>
      <c r="CN225" s="192"/>
      <c r="CO225" s="192"/>
      <c r="CP225" s="192"/>
      <c r="CQ225" s="192"/>
      <c r="CR225" s="192"/>
      <c r="CS225" s="192"/>
      <c r="CT225" s="192"/>
      <c r="CU225" s="192"/>
      <c r="CV225" s="192"/>
      <c r="CW225" s="192"/>
      <c r="CX225" s="192"/>
      <c r="CY225" s="192"/>
    </row>
    <row r="226" spans="1:103" ht="26.1" customHeight="1">
      <c r="A226" s="2125"/>
      <c r="B226" s="2128"/>
      <c r="C226" s="2128"/>
      <c r="D226" s="2128"/>
      <c r="E226" s="2128"/>
      <c r="F226" s="2128"/>
      <c r="G226" s="2128"/>
      <c r="H226" s="2124"/>
      <c r="I226" s="2124"/>
      <c r="J226" s="2124"/>
      <c r="K226" s="2124"/>
      <c r="L226" s="2124"/>
      <c r="M226" s="2124"/>
      <c r="N226" s="2125"/>
      <c r="O226" s="2128"/>
      <c r="P226" s="2128"/>
      <c r="Q226" s="2128"/>
      <c r="R226" s="2128"/>
      <c r="S226" s="2128"/>
      <c r="T226" s="2128"/>
      <c r="U226" s="2124"/>
      <c r="V226" s="2124"/>
      <c r="W226" s="2124"/>
      <c r="X226" s="2124"/>
      <c r="Y226" s="2124"/>
      <c r="Z226" s="2124"/>
      <c r="AA226" s="625"/>
      <c r="AB226" s="625"/>
      <c r="AC226" s="625"/>
      <c r="AD226" s="625"/>
      <c r="AE226" s="625"/>
      <c r="AF226" s="625"/>
      <c r="AG226" s="625"/>
      <c r="AH226" s="625"/>
      <c r="AI226" s="625"/>
      <c r="AJ226" s="625"/>
      <c r="AK226" s="625"/>
      <c r="AL226" s="625"/>
      <c r="AM226" s="625"/>
      <c r="AN226" s="625"/>
      <c r="AO226" s="625"/>
      <c r="AP226" s="625"/>
      <c r="AQ226" s="625"/>
      <c r="AR226" s="625"/>
      <c r="AS226" s="625"/>
      <c r="AT226" s="625"/>
      <c r="AU226" s="625"/>
      <c r="AV226" s="625"/>
      <c r="AW226" s="625"/>
      <c r="AX226" s="625"/>
      <c r="AY226" s="625"/>
      <c r="AZ226" s="625"/>
      <c r="BA226" s="67">
        <v>214</v>
      </c>
      <c r="BB226" s="68">
        <f t="shared" si="60"/>
        <v>0</v>
      </c>
      <c r="BC226" s="192">
        <f t="shared" si="61"/>
        <v>0</v>
      </c>
      <c r="BD226" s="70">
        <f t="shared" si="59"/>
        <v>0</v>
      </c>
      <c r="BE226" s="70">
        <f t="shared" si="59"/>
        <v>0</v>
      </c>
      <c r="BF226" s="840" t="s">
        <v>1363</v>
      </c>
      <c r="BG226" s="796" t="s">
        <v>1364</v>
      </c>
      <c r="BH226" s="796" t="s">
        <v>1365</v>
      </c>
      <c r="BI226" s="796" t="s">
        <v>1362</v>
      </c>
      <c r="BJ226" s="840" t="s">
        <v>1363</v>
      </c>
      <c r="BK226" s="796" t="s">
        <v>1364</v>
      </c>
      <c r="BL226" s="796" t="s">
        <v>1365</v>
      </c>
      <c r="BM226" s="796" t="s">
        <v>1362</v>
      </c>
      <c r="BN226" s="192"/>
      <c r="BO226" s="192"/>
      <c r="BP226" s="192"/>
      <c r="BQ226" s="192"/>
      <c r="BR226" s="192"/>
      <c r="BS226" s="192"/>
      <c r="BT226" s="192"/>
      <c r="BU226" s="192"/>
      <c r="BV226" s="192"/>
      <c r="BW226" s="192"/>
      <c r="BX226" s="192"/>
      <c r="BY226" s="192"/>
      <c r="BZ226" s="192"/>
      <c r="CA226" s="192"/>
      <c r="CB226" s="192"/>
      <c r="CC226" s="192"/>
      <c r="CD226" s="192"/>
      <c r="CE226" s="192"/>
      <c r="CF226" s="192"/>
      <c r="CG226" s="192"/>
      <c r="CH226" s="192"/>
      <c r="CI226" s="796"/>
      <c r="CJ226" s="796"/>
      <c r="CK226" s="192"/>
      <c r="CL226" s="192"/>
      <c r="CM226" s="192"/>
      <c r="CN226" s="192"/>
      <c r="CO226" s="192"/>
      <c r="CP226" s="192"/>
      <c r="CQ226" s="192"/>
      <c r="CR226" s="192"/>
      <c r="CS226" s="192"/>
      <c r="CT226" s="192"/>
      <c r="CU226" s="192"/>
      <c r="CV226" s="192"/>
      <c r="CW226" s="192"/>
      <c r="CX226" s="192"/>
      <c r="CY226" s="192"/>
    </row>
    <row r="227" spans="1:103" ht="24.95" customHeight="1">
      <c r="A227" s="866">
        <v>261</v>
      </c>
      <c r="B227" s="2075"/>
      <c r="C227" s="2075"/>
      <c r="D227" s="2075"/>
      <c r="E227" s="2075"/>
      <c r="F227" s="2075"/>
      <c r="G227" s="2075"/>
      <c r="H227" s="872"/>
      <c r="I227" s="872"/>
      <c r="J227" s="872"/>
      <c r="K227" s="2076"/>
      <c r="L227" s="2076"/>
      <c r="M227" s="2076"/>
      <c r="N227" s="866">
        <v>291</v>
      </c>
      <c r="O227" s="2075"/>
      <c r="P227" s="2075"/>
      <c r="Q227" s="2075"/>
      <c r="R227" s="2075"/>
      <c r="S227" s="2075"/>
      <c r="T227" s="2075"/>
      <c r="U227" s="872"/>
      <c r="V227" s="872"/>
      <c r="W227" s="872"/>
      <c r="X227" s="2076"/>
      <c r="Y227" s="2076"/>
      <c r="Z227" s="2076"/>
      <c r="AA227" s="625"/>
      <c r="AB227" s="625"/>
      <c r="AC227" s="625"/>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625"/>
      <c r="AY227" s="625"/>
      <c r="AZ227" s="625"/>
      <c r="BA227" s="67">
        <v>215</v>
      </c>
      <c r="BB227" s="68">
        <f t="shared" si="60"/>
        <v>0</v>
      </c>
      <c r="BC227" s="192">
        <f t="shared" si="61"/>
        <v>0</v>
      </c>
      <c r="BD227" s="70">
        <f t="shared" si="59"/>
        <v>0</v>
      </c>
      <c r="BE227" s="70">
        <f t="shared" si="59"/>
        <v>0</v>
      </c>
      <c r="BF227" s="840">
        <v>261</v>
      </c>
      <c r="BG227" s="192">
        <f>H227</f>
        <v>0</v>
      </c>
      <c r="BH227" s="192">
        <f>I227</f>
        <v>0</v>
      </c>
      <c r="BI227" s="192" t="b">
        <v>0</v>
      </c>
      <c r="BJ227" s="840">
        <v>291</v>
      </c>
      <c r="BK227" s="192">
        <f>U227</f>
        <v>0</v>
      </c>
      <c r="BL227" s="192">
        <f>V227</f>
        <v>0</v>
      </c>
      <c r="BM227" s="192" t="b">
        <v>0</v>
      </c>
      <c r="BN227" s="192"/>
      <c r="BO227" s="192"/>
      <c r="BP227" s="192"/>
      <c r="BQ227" s="192"/>
      <c r="BR227" s="192"/>
      <c r="BS227" s="192"/>
      <c r="BT227" s="192"/>
      <c r="BU227" s="192"/>
      <c r="BV227" s="192"/>
      <c r="BW227" s="192"/>
      <c r="BX227" s="192"/>
      <c r="BY227" s="192"/>
      <c r="BZ227" s="192"/>
      <c r="CA227" s="192"/>
      <c r="CB227" s="192"/>
      <c r="CC227" s="192"/>
      <c r="CD227" s="192"/>
      <c r="CE227" s="192"/>
      <c r="CF227" s="192"/>
      <c r="CG227" s="192"/>
      <c r="CH227" s="192"/>
      <c r="CI227" s="796"/>
      <c r="CJ227" s="796"/>
      <c r="CK227" s="192"/>
      <c r="CL227" s="192"/>
      <c r="CM227" s="192"/>
      <c r="CN227" s="192"/>
      <c r="CO227" s="192"/>
      <c r="CP227" s="192"/>
      <c r="CQ227" s="192"/>
      <c r="CR227" s="192"/>
      <c r="CS227" s="192"/>
      <c r="CT227" s="192"/>
      <c r="CU227" s="192"/>
      <c r="CV227" s="192"/>
      <c r="CW227" s="192"/>
      <c r="CX227" s="192"/>
      <c r="CY227" s="192"/>
    </row>
    <row r="228" spans="1:103" ht="24.95" customHeight="1">
      <c r="A228" s="866">
        <v>262</v>
      </c>
      <c r="B228" s="2075"/>
      <c r="C228" s="2075"/>
      <c r="D228" s="2075"/>
      <c r="E228" s="2075"/>
      <c r="F228" s="2075"/>
      <c r="G228" s="2075"/>
      <c r="H228" s="872"/>
      <c r="I228" s="872"/>
      <c r="J228" s="872"/>
      <c r="K228" s="2076"/>
      <c r="L228" s="2076"/>
      <c r="M228" s="2076"/>
      <c r="N228" s="866">
        <v>292</v>
      </c>
      <c r="O228" s="2075"/>
      <c r="P228" s="2075"/>
      <c r="Q228" s="2075"/>
      <c r="R228" s="2075"/>
      <c r="S228" s="2075"/>
      <c r="T228" s="2075"/>
      <c r="U228" s="872"/>
      <c r="V228" s="872"/>
      <c r="W228" s="872"/>
      <c r="X228" s="2076"/>
      <c r="Y228" s="2076"/>
      <c r="Z228" s="2076"/>
      <c r="AA228" s="625"/>
      <c r="AB228" s="625"/>
      <c r="AC228" s="625"/>
      <c r="AD228" s="625"/>
      <c r="AE228" s="625"/>
      <c r="AF228" s="625"/>
      <c r="AG228" s="625"/>
      <c r="AH228" s="625"/>
      <c r="AI228" s="625"/>
      <c r="AJ228" s="625"/>
      <c r="AK228" s="625"/>
      <c r="AL228" s="625"/>
      <c r="AM228" s="625"/>
      <c r="AN228" s="625"/>
      <c r="AO228" s="625"/>
      <c r="AP228" s="625"/>
      <c r="AQ228" s="625"/>
      <c r="AR228" s="625"/>
      <c r="AS228" s="625"/>
      <c r="AT228" s="625"/>
      <c r="AU228" s="625"/>
      <c r="AV228" s="625"/>
      <c r="AW228" s="625"/>
      <c r="AX228" s="625"/>
      <c r="AY228" s="625"/>
      <c r="AZ228" s="625"/>
      <c r="BA228" s="67">
        <v>216</v>
      </c>
      <c r="BB228" s="68">
        <f t="shared" si="60"/>
        <v>0</v>
      </c>
      <c r="BC228" s="192">
        <f t="shared" si="61"/>
        <v>0</v>
      </c>
      <c r="BD228" s="70">
        <f t="shared" si="59"/>
        <v>0</v>
      </c>
      <c r="BE228" s="70">
        <f t="shared" si="59"/>
        <v>0</v>
      </c>
      <c r="BF228" s="840">
        <v>262</v>
      </c>
      <c r="BG228" s="192">
        <f t="shared" ref="BG228:BG256" si="62">H228</f>
        <v>0</v>
      </c>
      <c r="BH228" s="192">
        <f t="shared" ref="BH228:BH256" si="63">I228</f>
        <v>0</v>
      </c>
      <c r="BI228" s="192" t="b">
        <v>0</v>
      </c>
      <c r="BJ228" s="840">
        <v>292</v>
      </c>
      <c r="BK228" s="192">
        <f t="shared" ref="BK228:BK256" si="64">U228</f>
        <v>0</v>
      </c>
      <c r="BL228" s="192">
        <f t="shared" ref="BL228:BL256" si="65">V228</f>
        <v>0</v>
      </c>
      <c r="BM228" s="192" t="b">
        <v>0</v>
      </c>
      <c r="BN228" s="192"/>
      <c r="BO228" s="192"/>
      <c r="BP228" s="192"/>
      <c r="BQ228" s="192"/>
      <c r="BR228" s="192"/>
      <c r="BS228" s="192"/>
      <c r="BT228" s="192"/>
      <c r="BU228" s="192"/>
      <c r="BV228" s="192"/>
      <c r="BW228" s="192"/>
      <c r="BX228" s="192"/>
      <c r="BY228" s="192"/>
      <c r="BZ228" s="192"/>
      <c r="CA228" s="192"/>
      <c r="CB228" s="192"/>
      <c r="CC228" s="192"/>
      <c r="CD228" s="192"/>
      <c r="CE228" s="192"/>
      <c r="CF228" s="192"/>
      <c r="CG228" s="192"/>
      <c r="CH228" s="192"/>
      <c r="CI228" s="796"/>
      <c r="CJ228" s="796"/>
      <c r="CK228" s="192"/>
      <c r="CL228" s="192"/>
      <c r="CM228" s="192"/>
      <c r="CN228" s="192"/>
      <c r="CO228" s="192"/>
      <c r="CP228" s="192"/>
      <c r="CQ228" s="192"/>
      <c r="CR228" s="192"/>
      <c r="CS228" s="192"/>
      <c r="CT228" s="192"/>
      <c r="CU228" s="192"/>
      <c r="CV228" s="192"/>
      <c r="CW228" s="192"/>
      <c r="CX228" s="192"/>
      <c r="CY228" s="192"/>
    </row>
    <row r="229" spans="1:103" ht="24.95" customHeight="1">
      <c r="A229" s="866">
        <v>263</v>
      </c>
      <c r="B229" s="2075"/>
      <c r="C229" s="2075"/>
      <c r="D229" s="2075"/>
      <c r="E229" s="2075"/>
      <c r="F229" s="2075"/>
      <c r="G229" s="2075"/>
      <c r="H229" s="872"/>
      <c r="I229" s="872"/>
      <c r="J229" s="872"/>
      <c r="K229" s="2076"/>
      <c r="L229" s="2076"/>
      <c r="M229" s="2076"/>
      <c r="N229" s="866">
        <v>293</v>
      </c>
      <c r="O229" s="2075"/>
      <c r="P229" s="2075"/>
      <c r="Q229" s="2075"/>
      <c r="R229" s="2075"/>
      <c r="S229" s="2075"/>
      <c r="T229" s="2075"/>
      <c r="U229" s="872"/>
      <c r="V229" s="872"/>
      <c r="W229" s="872"/>
      <c r="X229" s="2076"/>
      <c r="Y229" s="2076"/>
      <c r="Z229" s="2076"/>
      <c r="AA229" s="625"/>
      <c r="AB229" s="625"/>
      <c r="AC229" s="625"/>
      <c r="AD229" s="625"/>
      <c r="AE229" s="625"/>
      <c r="AF229" s="625"/>
      <c r="AG229" s="625"/>
      <c r="AH229" s="625"/>
      <c r="AI229" s="625"/>
      <c r="AJ229" s="625"/>
      <c r="AK229" s="625"/>
      <c r="AL229" s="625"/>
      <c r="AM229" s="625"/>
      <c r="AN229" s="625"/>
      <c r="AO229" s="625"/>
      <c r="AP229" s="625"/>
      <c r="AQ229" s="625"/>
      <c r="AR229" s="625"/>
      <c r="AS229" s="625"/>
      <c r="AT229" s="625"/>
      <c r="AU229" s="625"/>
      <c r="AV229" s="625"/>
      <c r="AW229" s="625"/>
      <c r="AX229" s="625"/>
      <c r="AY229" s="625"/>
      <c r="AZ229" s="625"/>
      <c r="BA229" s="67">
        <v>217</v>
      </c>
      <c r="BB229" s="68">
        <f t="shared" si="60"/>
        <v>0</v>
      </c>
      <c r="BC229" s="192">
        <f t="shared" si="61"/>
        <v>0</v>
      </c>
      <c r="BD229" s="70">
        <f t="shared" si="59"/>
        <v>0</v>
      </c>
      <c r="BE229" s="70">
        <f t="shared" si="59"/>
        <v>0</v>
      </c>
      <c r="BF229" s="840">
        <v>263</v>
      </c>
      <c r="BG229" s="192">
        <f t="shared" si="62"/>
        <v>0</v>
      </c>
      <c r="BH229" s="192">
        <f t="shared" si="63"/>
        <v>0</v>
      </c>
      <c r="BI229" s="192" t="b">
        <v>0</v>
      </c>
      <c r="BJ229" s="840">
        <v>293</v>
      </c>
      <c r="BK229" s="192">
        <f t="shared" si="64"/>
        <v>0</v>
      </c>
      <c r="BL229" s="192">
        <f t="shared" si="65"/>
        <v>0</v>
      </c>
      <c r="BM229" s="192" t="b">
        <v>0</v>
      </c>
      <c r="BN229" s="192"/>
      <c r="BO229" s="192"/>
      <c r="BP229" s="192"/>
      <c r="BQ229" s="192"/>
      <c r="BR229" s="192"/>
      <c r="BS229" s="192"/>
      <c r="BT229" s="192"/>
      <c r="BU229" s="192"/>
      <c r="BV229" s="192"/>
      <c r="BW229" s="192"/>
      <c r="BX229" s="192"/>
      <c r="BY229" s="192"/>
      <c r="BZ229" s="192"/>
      <c r="CA229" s="192"/>
      <c r="CB229" s="192"/>
      <c r="CC229" s="192"/>
      <c r="CD229" s="192"/>
      <c r="CE229" s="192"/>
      <c r="CF229" s="192"/>
      <c r="CG229" s="192"/>
      <c r="CH229" s="192"/>
      <c r="CI229" s="796"/>
      <c r="CJ229" s="796"/>
      <c r="CK229" s="192"/>
      <c r="CL229" s="192"/>
      <c r="CM229" s="192"/>
      <c r="CN229" s="192"/>
      <c r="CO229" s="192"/>
      <c r="CP229" s="192"/>
      <c r="CQ229" s="192"/>
      <c r="CR229" s="192"/>
      <c r="CS229" s="192"/>
      <c r="CT229" s="192"/>
      <c r="CU229" s="192"/>
      <c r="CV229" s="192"/>
      <c r="CW229" s="192"/>
      <c r="CX229" s="192"/>
      <c r="CY229" s="192"/>
    </row>
    <row r="230" spans="1:103" ht="24.95" customHeight="1">
      <c r="A230" s="866">
        <v>264</v>
      </c>
      <c r="B230" s="2075"/>
      <c r="C230" s="2075"/>
      <c r="D230" s="2075"/>
      <c r="E230" s="2075"/>
      <c r="F230" s="2075"/>
      <c r="G230" s="2075"/>
      <c r="H230" s="872"/>
      <c r="I230" s="872"/>
      <c r="J230" s="872"/>
      <c r="K230" s="2076"/>
      <c r="L230" s="2076"/>
      <c r="M230" s="2076"/>
      <c r="N230" s="866">
        <v>294</v>
      </c>
      <c r="O230" s="2075"/>
      <c r="P230" s="2075"/>
      <c r="Q230" s="2075"/>
      <c r="R230" s="2075"/>
      <c r="S230" s="2075"/>
      <c r="T230" s="2075"/>
      <c r="U230" s="872"/>
      <c r="V230" s="872"/>
      <c r="W230" s="872"/>
      <c r="X230" s="2076"/>
      <c r="Y230" s="2076"/>
      <c r="Z230" s="2076"/>
      <c r="AA230" s="625"/>
      <c r="AB230" s="625"/>
      <c r="AC230" s="625"/>
      <c r="AD230" s="625"/>
      <c r="AE230" s="625"/>
      <c r="AF230" s="625"/>
      <c r="AG230" s="625"/>
      <c r="AH230" s="625"/>
      <c r="AI230" s="625"/>
      <c r="AJ230" s="625"/>
      <c r="AK230" s="625"/>
      <c r="AL230" s="625"/>
      <c r="AM230" s="625"/>
      <c r="AN230" s="625"/>
      <c r="AO230" s="625"/>
      <c r="AP230" s="625"/>
      <c r="AQ230" s="625"/>
      <c r="AR230" s="625"/>
      <c r="AS230" s="625"/>
      <c r="AT230" s="625"/>
      <c r="AU230" s="625"/>
      <c r="AV230" s="625"/>
      <c r="AW230" s="625"/>
      <c r="AX230" s="625"/>
      <c r="AY230" s="625"/>
      <c r="AZ230" s="625"/>
      <c r="BA230" s="67">
        <v>218</v>
      </c>
      <c r="BB230" s="68">
        <f t="shared" si="60"/>
        <v>0</v>
      </c>
      <c r="BC230" s="192">
        <f t="shared" si="61"/>
        <v>0</v>
      </c>
      <c r="BD230" s="70">
        <f t="shared" si="59"/>
        <v>0</v>
      </c>
      <c r="BE230" s="70">
        <f t="shared" si="59"/>
        <v>0</v>
      </c>
      <c r="BF230" s="840">
        <v>264</v>
      </c>
      <c r="BG230" s="192">
        <f t="shared" si="62"/>
        <v>0</v>
      </c>
      <c r="BH230" s="192">
        <f t="shared" si="63"/>
        <v>0</v>
      </c>
      <c r="BI230" s="192" t="b">
        <v>0</v>
      </c>
      <c r="BJ230" s="840">
        <v>294</v>
      </c>
      <c r="BK230" s="192">
        <f t="shared" si="64"/>
        <v>0</v>
      </c>
      <c r="BL230" s="192">
        <f t="shared" si="65"/>
        <v>0</v>
      </c>
      <c r="BM230" s="192" t="b">
        <v>0</v>
      </c>
      <c r="BN230" s="192"/>
      <c r="BO230" s="192"/>
      <c r="BP230" s="192"/>
      <c r="BQ230" s="192"/>
      <c r="BR230" s="192"/>
      <c r="BS230" s="192"/>
      <c r="BT230" s="192"/>
      <c r="BU230" s="192"/>
      <c r="BV230" s="192"/>
      <c r="BW230" s="192"/>
      <c r="BX230" s="192"/>
      <c r="BY230" s="192"/>
      <c r="BZ230" s="192"/>
      <c r="CA230" s="192"/>
      <c r="CB230" s="192"/>
      <c r="CC230" s="192"/>
      <c r="CD230" s="192"/>
      <c r="CE230" s="192"/>
      <c r="CF230" s="192"/>
      <c r="CG230" s="192"/>
      <c r="CH230" s="192"/>
      <c r="CI230" s="796"/>
      <c r="CJ230" s="796"/>
      <c r="CK230" s="192"/>
      <c r="CL230" s="192"/>
      <c r="CM230" s="192"/>
      <c r="CN230" s="192"/>
      <c r="CO230" s="192"/>
      <c r="CP230" s="192"/>
      <c r="CQ230" s="192"/>
      <c r="CR230" s="192"/>
      <c r="CS230" s="192"/>
      <c r="CT230" s="192"/>
      <c r="CU230" s="192"/>
      <c r="CV230" s="192"/>
      <c r="CW230" s="192"/>
      <c r="CX230" s="192"/>
      <c r="CY230" s="192"/>
    </row>
    <row r="231" spans="1:103" ht="24.95" customHeight="1">
      <c r="A231" s="866">
        <v>265</v>
      </c>
      <c r="B231" s="2075"/>
      <c r="C231" s="2075"/>
      <c r="D231" s="2075"/>
      <c r="E231" s="2075"/>
      <c r="F231" s="2075"/>
      <c r="G231" s="2075"/>
      <c r="H231" s="872"/>
      <c r="I231" s="872"/>
      <c r="J231" s="872"/>
      <c r="K231" s="2076"/>
      <c r="L231" s="2076"/>
      <c r="M231" s="2076"/>
      <c r="N231" s="866">
        <v>295</v>
      </c>
      <c r="O231" s="2075"/>
      <c r="P231" s="2075"/>
      <c r="Q231" s="2075"/>
      <c r="R231" s="2075"/>
      <c r="S231" s="2075"/>
      <c r="T231" s="2075"/>
      <c r="U231" s="872"/>
      <c r="V231" s="872"/>
      <c r="W231" s="872"/>
      <c r="X231" s="2076"/>
      <c r="Y231" s="2076"/>
      <c r="Z231" s="2076"/>
      <c r="AA231" s="625"/>
      <c r="AB231" s="625"/>
      <c r="AC231" s="625"/>
      <c r="AD231" s="625"/>
      <c r="AE231" s="625"/>
      <c r="AF231" s="625"/>
      <c r="AG231" s="625"/>
      <c r="AH231" s="625"/>
      <c r="AI231" s="625"/>
      <c r="AJ231" s="625"/>
      <c r="AK231" s="625"/>
      <c r="AL231" s="625"/>
      <c r="AM231" s="625"/>
      <c r="AN231" s="625"/>
      <c r="AO231" s="625"/>
      <c r="AP231" s="625"/>
      <c r="AQ231" s="625"/>
      <c r="AR231" s="625"/>
      <c r="AS231" s="625"/>
      <c r="AT231" s="625"/>
      <c r="AU231" s="625"/>
      <c r="AV231" s="625"/>
      <c r="AW231" s="625"/>
      <c r="AX231" s="625"/>
      <c r="AY231" s="625"/>
      <c r="AZ231" s="625"/>
      <c r="BA231" s="67">
        <v>219</v>
      </c>
      <c r="BB231" s="68">
        <f t="shared" si="60"/>
        <v>0</v>
      </c>
      <c r="BC231" s="192">
        <f t="shared" si="61"/>
        <v>0</v>
      </c>
      <c r="BD231" s="70">
        <f t="shared" si="59"/>
        <v>0</v>
      </c>
      <c r="BE231" s="70">
        <f t="shared" si="59"/>
        <v>0</v>
      </c>
      <c r="BF231" s="840">
        <v>265</v>
      </c>
      <c r="BG231" s="192">
        <f t="shared" si="62"/>
        <v>0</v>
      </c>
      <c r="BH231" s="192">
        <f t="shared" si="63"/>
        <v>0</v>
      </c>
      <c r="BI231" s="192" t="b">
        <v>0</v>
      </c>
      <c r="BJ231" s="840">
        <v>295</v>
      </c>
      <c r="BK231" s="192">
        <f t="shared" si="64"/>
        <v>0</v>
      </c>
      <c r="BL231" s="192">
        <f t="shared" si="65"/>
        <v>0</v>
      </c>
      <c r="BM231" s="192" t="b">
        <v>0</v>
      </c>
      <c r="BN231" s="192"/>
      <c r="BO231" s="192"/>
      <c r="BP231" s="192"/>
      <c r="BQ231" s="192"/>
      <c r="BR231" s="192"/>
      <c r="BS231" s="192"/>
      <c r="BT231" s="192"/>
      <c r="BU231" s="192"/>
      <c r="BV231" s="192"/>
      <c r="BW231" s="192"/>
      <c r="BX231" s="192"/>
      <c r="BY231" s="192"/>
      <c r="BZ231" s="192"/>
      <c r="CA231" s="192"/>
      <c r="CB231" s="192"/>
      <c r="CC231" s="192"/>
      <c r="CD231" s="192"/>
      <c r="CE231" s="192"/>
      <c r="CF231" s="192"/>
      <c r="CG231" s="192"/>
      <c r="CH231" s="192"/>
      <c r="CI231" s="796"/>
      <c r="CJ231" s="796"/>
      <c r="CK231" s="192"/>
      <c r="CL231" s="192"/>
      <c r="CM231" s="192"/>
      <c r="CN231" s="192"/>
      <c r="CO231" s="192"/>
      <c r="CP231" s="192"/>
      <c r="CQ231" s="192"/>
      <c r="CR231" s="192"/>
      <c r="CS231" s="192"/>
      <c r="CT231" s="192"/>
      <c r="CU231" s="192"/>
      <c r="CV231" s="192"/>
      <c r="CW231" s="192"/>
      <c r="CX231" s="192"/>
      <c r="CY231" s="192"/>
    </row>
    <row r="232" spans="1:103" ht="24.95" customHeight="1">
      <c r="A232" s="866">
        <v>266</v>
      </c>
      <c r="B232" s="2075"/>
      <c r="C232" s="2075"/>
      <c r="D232" s="2075"/>
      <c r="E232" s="2075"/>
      <c r="F232" s="2075"/>
      <c r="G232" s="2075"/>
      <c r="H232" s="872"/>
      <c r="I232" s="872"/>
      <c r="J232" s="872"/>
      <c r="K232" s="2076"/>
      <c r="L232" s="2076"/>
      <c r="M232" s="2076"/>
      <c r="N232" s="866">
        <v>296</v>
      </c>
      <c r="O232" s="2075"/>
      <c r="P232" s="2075"/>
      <c r="Q232" s="2075"/>
      <c r="R232" s="2075"/>
      <c r="S232" s="2075"/>
      <c r="T232" s="2075"/>
      <c r="U232" s="872"/>
      <c r="V232" s="872"/>
      <c r="W232" s="872"/>
      <c r="X232" s="2076"/>
      <c r="Y232" s="2076"/>
      <c r="Z232" s="2076"/>
      <c r="AA232" s="625"/>
      <c r="AB232" s="625"/>
      <c r="AC232" s="625"/>
      <c r="AD232" s="625"/>
      <c r="AE232" s="625"/>
      <c r="AF232" s="625"/>
      <c r="AG232" s="625"/>
      <c r="AH232" s="625"/>
      <c r="AI232" s="625"/>
      <c r="AJ232" s="625"/>
      <c r="AK232" s="625"/>
      <c r="AL232" s="625"/>
      <c r="AM232" s="625"/>
      <c r="AN232" s="625"/>
      <c r="AO232" s="625"/>
      <c r="AP232" s="625"/>
      <c r="AQ232" s="625"/>
      <c r="AR232" s="625"/>
      <c r="AS232" s="625"/>
      <c r="AT232" s="625"/>
      <c r="AU232" s="625"/>
      <c r="AV232" s="625"/>
      <c r="AW232" s="625"/>
      <c r="AX232" s="625"/>
      <c r="AY232" s="625"/>
      <c r="AZ232" s="625"/>
      <c r="BA232" s="67">
        <v>220</v>
      </c>
      <c r="BB232" s="68">
        <f t="shared" si="60"/>
        <v>0</v>
      </c>
      <c r="BC232" s="192">
        <f t="shared" si="61"/>
        <v>0</v>
      </c>
      <c r="BD232" s="70">
        <f t="shared" si="59"/>
        <v>0</v>
      </c>
      <c r="BE232" s="70">
        <f t="shared" si="59"/>
        <v>0</v>
      </c>
      <c r="BF232" s="840">
        <v>266</v>
      </c>
      <c r="BG232" s="192">
        <f t="shared" si="62"/>
        <v>0</v>
      </c>
      <c r="BH232" s="192">
        <f t="shared" si="63"/>
        <v>0</v>
      </c>
      <c r="BI232" s="192" t="b">
        <v>0</v>
      </c>
      <c r="BJ232" s="840">
        <v>296</v>
      </c>
      <c r="BK232" s="192">
        <f t="shared" si="64"/>
        <v>0</v>
      </c>
      <c r="BL232" s="192">
        <f t="shared" si="65"/>
        <v>0</v>
      </c>
      <c r="BM232" s="192" t="b">
        <v>0</v>
      </c>
      <c r="BN232" s="192"/>
      <c r="BO232" s="192"/>
      <c r="BP232" s="192"/>
      <c r="BQ232" s="192"/>
      <c r="BR232" s="192"/>
      <c r="BS232" s="192"/>
      <c r="BT232" s="192"/>
      <c r="BU232" s="192"/>
      <c r="BV232" s="192"/>
      <c r="BW232" s="192"/>
      <c r="BX232" s="192"/>
      <c r="BY232" s="192"/>
      <c r="BZ232" s="192"/>
      <c r="CA232" s="192"/>
      <c r="CB232" s="192"/>
      <c r="CC232" s="192"/>
      <c r="CD232" s="192"/>
      <c r="CE232" s="192"/>
      <c r="CF232" s="192"/>
      <c r="CG232" s="192"/>
      <c r="CH232" s="192"/>
      <c r="CI232" s="796"/>
      <c r="CJ232" s="796"/>
      <c r="CK232" s="192"/>
      <c r="CL232" s="192"/>
      <c r="CM232" s="192"/>
      <c r="CN232" s="192"/>
      <c r="CO232" s="192"/>
      <c r="CP232" s="192"/>
      <c r="CQ232" s="192"/>
      <c r="CR232" s="192"/>
      <c r="CS232" s="192"/>
      <c r="CT232" s="192"/>
      <c r="CU232" s="192"/>
      <c r="CV232" s="192"/>
      <c r="CW232" s="192"/>
      <c r="CX232" s="192"/>
      <c r="CY232" s="192"/>
    </row>
    <row r="233" spans="1:103" ht="24.95" customHeight="1">
      <c r="A233" s="866">
        <v>267</v>
      </c>
      <c r="B233" s="2075"/>
      <c r="C233" s="2075"/>
      <c r="D233" s="2075"/>
      <c r="E233" s="2075"/>
      <c r="F233" s="2075"/>
      <c r="G233" s="2075"/>
      <c r="H233" s="872"/>
      <c r="I233" s="872"/>
      <c r="J233" s="872"/>
      <c r="K233" s="2076"/>
      <c r="L233" s="2076"/>
      <c r="M233" s="2076"/>
      <c r="N233" s="866">
        <v>297</v>
      </c>
      <c r="O233" s="2075"/>
      <c r="P233" s="2075"/>
      <c r="Q233" s="2075"/>
      <c r="R233" s="2075"/>
      <c r="S233" s="2075"/>
      <c r="T233" s="2075"/>
      <c r="U233" s="872"/>
      <c r="V233" s="872"/>
      <c r="W233" s="872"/>
      <c r="X233" s="2076"/>
      <c r="Y233" s="2076"/>
      <c r="Z233" s="2076"/>
      <c r="AA233" s="625"/>
      <c r="AB233" s="625"/>
      <c r="AC233" s="625"/>
      <c r="AD233" s="625"/>
      <c r="AE233" s="625"/>
      <c r="AF233" s="625"/>
      <c r="AG233" s="625"/>
      <c r="AH233" s="625"/>
      <c r="AI233" s="625"/>
      <c r="AJ233" s="625"/>
      <c r="AK233" s="625"/>
      <c r="AL233" s="625"/>
      <c r="AM233" s="625"/>
      <c r="AN233" s="625"/>
      <c r="AO233" s="625"/>
      <c r="AP233" s="625"/>
      <c r="AQ233" s="625"/>
      <c r="AR233" s="625"/>
      <c r="AS233" s="625"/>
      <c r="AT233" s="625"/>
      <c r="AU233" s="625"/>
      <c r="AV233" s="625"/>
      <c r="AW233" s="625"/>
      <c r="AX233" s="625"/>
      <c r="AY233" s="625"/>
      <c r="AZ233" s="625"/>
      <c r="BA233" s="67">
        <v>221</v>
      </c>
      <c r="BB233" s="68">
        <f t="shared" si="60"/>
        <v>0</v>
      </c>
      <c r="BC233" s="192">
        <f t="shared" si="61"/>
        <v>0</v>
      </c>
      <c r="BD233" s="70">
        <f t="shared" si="59"/>
        <v>0</v>
      </c>
      <c r="BE233" s="70">
        <f t="shared" si="59"/>
        <v>0</v>
      </c>
      <c r="BF233" s="840">
        <v>267</v>
      </c>
      <c r="BG233" s="192">
        <f t="shared" si="62"/>
        <v>0</v>
      </c>
      <c r="BH233" s="192">
        <f t="shared" si="63"/>
        <v>0</v>
      </c>
      <c r="BI233" s="192" t="b">
        <v>0</v>
      </c>
      <c r="BJ233" s="840">
        <v>297</v>
      </c>
      <c r="BK233" s="192">
        <f t="shared" si="64"/>
        <v>0</v>
      </c>
      <c r="BL233" s="192">
        <f t="shared" si="65"/>
        <v>0</v>
      </c>
      <c r="BM233" s="192" t="b">
        <v>0</v>
      </c>
      <c r="BN233" s="192"/>
      <c r="BO233" s="192"/>
      <c r="BP233" s="192"/>
      <c r="BQ233" s="192"/>
      <c r="BR233" s="192"/>
      <c r="BS233" s="192"/>
      <c r="BT233" s="192"/>
      <c r="BU233" s="192"/>
      <c r="BV233" s="192"/>
      <c r="BW233" s="192"/>
      <c r="BX233" s="192"/>
      <c r="BY233" s="192"/>
      <c r="BZ233" s="192"/>
      <c r="CA233" s="192"/>
      <c r="CB233" s="192"/>
      <c r="CC233" s="192"/>
      <c r="CD233" s="192"/>
      <c r="CE233" s="192"/>
      <c r="CF233" s="192"/>
      <c r="CG233" s="192"/>
      <c r="CH233" s="192"/>
      <c r="CI233" s="796"/>
      <c r="CJ233" s="796"/>
      <c r="CK233" s="192"/>
      <c r="CL233" s="192"/>
      <c r="CM233" s="192"/>
      <c r="CN233" s="192"/>
      <c r="CO233" s="192"/>
      <c r="CP233" s="192"/>
      <c r="CQ233" s="192"/>
      <c r="CR233" s="192"/>
      <c r="CS233" s="192"/>
      <c r="CT233" s="192"/>
      <c r="CU233" s="192"/>
      <c r="CV233" s="192"/>
      <c r="CW233" s="192"/>
      <c r="CX233" s="192"/>
      <c r="CY233" s="192"/>
    </row>
    <row r="234" spans="1:103" ht="24.95" customHeight="1">
      <c r="A234" s="866">
        <v>268</v>
      </c>
      <c r="B234" s="2075"/>
      <c r="C234" s="2075"/>
      <c r="D234" s="2075"/>
      <c r="E234" s="2075"/>
      <c r="F234" s="2075"/>
      <c r="G234" s="2075"/>
      <c r="H234" s="872"/>
      <c r="I234" s="872"/>
      <c r="J234" s="872"/>
      <c r="K234" s="2076"/>
      <c r="L234" s="2076"/>
      <c r="M234" s="2076"/>
      <c r="N234" s="866">
        <v>298</v>
      </c>
      <c r="O234" s="2075"/>
      <c r="P234" s="2075"/>
      <c r="Q234" s="2075"/>
      <c r="R234" s="2075"/>
      <c r="S234" s="2075"/>
      <c r="T234" s="2075"/>
      <c r="U234" s="872"/>
      <c r="V234" s="872"/>
      <c r="W234" s="872"/>
      <c r="X234" s="2076"/>
      <c r="Y234" s="2076"/>
      <c r="Z234" s="2076"/>
      <c r="AA234" s="625"/>
      <c r="AB234" s="625"/>
      <c r="AC234" s="625"/>
      <c r="AD234" s="625"/>
      <c r="AE234" s="625"/>
      <c r="AF234" s="625"/>
      <c r="AG234" s="625"/>
      <c r="AH234" s="625"/>
      <c r="AI234" s="625"/>
      <c r="AJ234" s="625"/>
      <c r="AK234" s="625"/>
      <c r="AL234" s="625"/>
      <c r="AM234" s="625"/>
      <c r="AN234" s="625"/>
      <c r="AO234" s="625"/>
      <c r="AP234" s="625"/>
      <c r="AQ234" s="625"/>
      <c r="AR234" s="625"/>
      <c r="AS234" s="625"/>
      <c r="AT234" s="625"/>
      <c r="AU234" s="625"/>
      <c r="AV234" s="625"/>
      <c r="AW234" s="625"/>
      <c r="AX234" s="625"/>
      <c r="AY234" s="625"/>
      <c r="AZ234" s="625"/>
      <c r="BA234" s="67">
        <v>222</v>
      </c>
      <c r="BB234" s="68">
        <f t="shared" si="60"/>
        <v>0</v>
      </c>
      <c r="BC234" s="192">
        <f t="shared" si="61"/>
        <v>0</v>
      </c>
      <c r="BD234" s="70">
        <f t="shared" si="59"/>
        <v>0</v>
      </c>
      <c r="BE234" s="70">
        <f t="shared" si="59"/>
        <v>0</v>
      </c>
      <c r="BF234" s="840">
        <v>268</v>
      </c>
      <c r="BG234" s="192">
        <f t="shared" si="62"/>
        <v>0</v>
      </c>
      <c r="BH234" s="192">
        <f t="shared" si="63"/>
        <v>0</v>
      </c>
      <c r="BI234" s="192" t="b">
        <v>0</v>
      </c>
      <c r="BJ234" s="840">
        <v>298</v>
      </c>
      <c r="BK234" s="192">
        <f t="shared" si="64"/>
        <v>0</v>
      </c>
      <c r="BL234" s="192">
        <f t="shared" si="65"/>
        <v>0</v>
      </c>
      <c r="BM234" s="192" t="b">
        <v>0</v>
      </c>
      <c r="BN234" s="192"/>
      <c r="BO234" s="192"/>
      <c r="BP234" s="192"/>
      <c r="BQ234" s="192"/>
      <c r="BR234" s="192"/>
      <c r="BS234" s="192"/>
      <c r="BT234" s="192"/>
      <c r="BU234" s="192"/>
      <c r="BV234" s="192"/>
      <c r="BW234" s="192"/>
      <c r="BX234" s="192"/>
      <c r="BY234" s="192"/>
      <c r="BZ234" s="192"/>
      <c r="CA234" s="192"/>
      <c r="CB234" s="192"/>
      <c r="CC234" s="192"/>
      <c r="CD234" s="192"/>
      <c r="CE234" s="192"/>
      <c r="CF234" s="192"/>
      <c r="CG234" s="192"/>
      <c r="CH234" s="192"/>
      <c r="CI234" s="796"/>
      <c r="CJ234" s="796"/>
      <c r="CK234" s="192"/>
      <c r="CL234" s="192"/>
      <c r="CM234" s="192"/>
      <c r="CN234" s="192"/>
      <c r="CO234" s="192"/>
      <c r="CP234" s="192"/>
      <c r="CQ234" s="192"/>
      <c r="CR234" s="192"/>
      <c r="CS234" s="192"/>
      <c r="CT234" s="192"/>
      <c r="CU234" s="192"/>
      <c r="CV234" s="192"/>
      <c r="CW234" s="192"/>
      <c r="CX234" s="192"/>
      <c r="CY234" s="192"/>
    </row>
    <row r="235" spans="1:103" ht="24.95" customHeight="1">
      <c r="A235" s="866">
        <v>269</v>
      </c>
      <c r="B235" s="2075"/>
      <c r="C235" s="2075"/>
      <c r="D235" s="2075"/>
      <c r="E235" s="2075"/>
      <c r="F235" s="2075"/>
      <c r="G235" s="2075"/>
      <c r="H235" s="872"/>
      <c r="I235" s="872"/>
      <c r="J235" s="872"/>
      <c r="K235" s="2076"/>
      <c r="L235" s="2076"/>
      <c r="M235" s="2076"/>
      <c r="N235" s="866">
        <v>299</v>
      </c>
      <c r="O235" s="2075"/>
      <c r="P235" s="2075"/>
      <c r="Q235" s="2075"/>
      <c r="R235" s="2075"/>
      <c r="S235" s="2075"/>
      <c r="T235" s="2075"/>
      <c r="U235" s="872"/>
      <c r="V235" s="872"/>
      <c r="W235" s="872"/>
      <c r="X235" s="2076"/>
      <c r="Y235" s="2076"/>
      <c r="Z235" s="2076"/>
      <c r="AA235" s="625"/>
      <c r="AB235" s="625"/>
      <c r="AC235" s="625"/>
      <c r="AD235" s="625"/>
      <c r="AE235" s="625"/>
      <c r="AF235" s="625"/>
      <c r="AG235" s="625"/>
      <c r="AH235" s="625"/>
      <c r="AI235" s="625"/>
      <c r="AJ235" s="625"/>
      <c r="AK235" s="625"/>
      <c r="AL235" s="625"/>
      <c r="AM235" s="625"/>
      <c r="AN235" s="625"/>
      <c r="AO235" s="625"/>
      <c r="AP235" s="625"/>
      <c r="AQ235" s="625"/>
      <c r="AR235" s="625"/>
      <c r="AS235" s="625"/>
      <c r="AT235" s="625"/>
      <c r="AU235" s="625"/>
      <c r="AV235" s="625"/>
      <c r="AW235" s="625"/>
      <c r="AX235" s="625"/>
      <c r="AY235" s="625"/>
      <c r="AZ235" s="625"/>
      <c r="BA235" s="67">
        <v>223</v>
      </c>
      <c r="BB235" s="68">
        <f t="shared" si="60"/>
        <v>0</v>
      </c>
      <c r="BC235" s="192">
        <f t="shared" si="61"/>
        <v>0</v>
      </c>
      <c r="BD235" s="70">
        <f t="shared" si="59"/>
        <v>0</v>
      </c>
      <c r="BE235" s="70">
        <f t="shared" si="59"/>
        <v>0</v>
      </c>
      <c r="BF235" s="840">
        <v>269</v>
      </c>
      <c r="BG235" s="192">
        <f t="shared" si="62"/>
        <v>0</v>
      </c>
      <c r="BH235" s="192">
        <f t="shared" si="63"/>
        <v>0</v>
      </c>
      <c r="BI235" s="192" t="b">
        <v>0</v>
      </c>
      <c r="BJ235" s="840">
        <v>299</v>
      </c>
      <c r="BK235" s="192">
        <f t="shared" si="64"/>
        <v>0</v>
      </c>
      <c r="BL235" s="192">
        <f t="shared" si="65"/>
        <v>0</v>
      </c>
      <c r="BM235" s="192" t="b">
        <v>0</v>
      </c>
      <c r="BN235" s="192"/>
      <c r="BO235" s="192"/>
      <c r="BP235" s="192"/>
      <c r="BQ235" s="192"/>
      <c r="BR235" s="192"/>
      <c r="BS235" s="192"/>
      <c r="BT235" s="192"/>
      <c r="BU235" s="192"/>
      <c r="BV235" s="192"/>
      <c r="BW235" s="192"/>
      <c r="BX235" s="192"/>
      <c r="BY235" s="192"/>
      <c r="BZ235" s="192"/>
      <c r="CA235" s="192"/>
      <c r="CB235" s="192"/>
      <c r="CC235" s="192"/>
      <c r="CD235" s="192"/>
      <c r="CE235" s="192"/>
      <c r="CF235" s="192"/>
      <c r="CG235" s="192"/>
      <c r="CH235" s="192"/>
      <c r="CI235" s="796"/>
      <c r="CJ235" s="796"/>
      <c r="CK235" s="192"/>
      <c r="CL235" s="192"/>
      <c r="CM235" s="192"/>
      <c r="CN235" s="192"/>
      <c r="CO235" s="192"/>
      <c r="CP235" s="192"/>
      <c r="CQ235" s="192"/>
      <c r="CR235" s="192"/>
      <c r="CS235" s="192"/>
      <c r="CT235" s="192"/>
      <c r="CU235" s="192"/>
      <c r="CV235" s="192"/>
      <c r="CW235" s="192"/>
      <c r="CX235" s="192"/>
      <c r="CY235" s="192"/>
    </row>
    <row r="236" spans="1:103" ht="24.95" customHeight="1">
      <c r="A236" s="866">
        <v>270</v>
      </c>
      <c r="B236" s="2075"/>
      <c r="C236" s="2075"/>
      <c r="D236" s="2075"/>
      <c r="E236" s="2075"/>
      <c r="F236" s="2075"/>
      <c r="G236" s="2075"/>
      <c r="H236" s="872"/>
      <c r="I236" s="872"/>
      <c r="J236" s="872"/>
      <c r="K236" s="2076"/>
      <c r="L236" s="2076"/>
      <c r="M236" s="2076"/>
      <c r="N236" s="866">
        <v>300</v>
      </c>
      <c r="O236" s="2075"/>
      <c r="P236" s="2075"/>
      <c r="Q236" s="2075"/>
      <c r="R236" s="2075"/>
      <c r="S236" s="2075"/>
      <c r="T236" s="2075"/>
      <c r="U236" s="872"/>
      <c r="V236" s="872"/>
      <c r="W236" s="872"/>
      <c r="X236" s="2076"/>
      <c r="Y236" s="2076"/>
      <c r="Z236" s="2076"/>
      <c r="AA236" s="625"/>
      <c r="AB236" s="625"/>
      <c r="AC236" s="625"/>
      <c r="AD236" s="625"/>
      <c r="AE236" s="625"/>
      <c r="AF236" s="625"/>
      <c r="AG236" s="625"/>
      <c r="AH236" s="625"/>
      <c r="AI236" s="625"/>
      <c r="AJ236" s="625"/>
      <c r="AK236" s="625"/>
      <c r="AL236" s="625"/>
      <c r="AM236" s="625"/>
      <c r="AN236" s="625"/>
      <c r="AO236" s="625"/>
      <c r="AP236" s="625"/>
      <c r="AQ236" s="625"/>
      <c r="AR236" s="625"/>
      <c r="AS236" s="625"/>
      <c r="AT236" s="625"/>
      <c r="AU236" s="625"/>
      <c r="AV236" s="625"/>
      <c r="AW236" s="625"/>
      <c r="AX236" s="625"/>
      <c r="AY236" s="625"/>
      <c r="AZ236" s="625"/>
      <c r="BA236" s="67">
        <v>224</v>
      </c>
      <c r="BB236" s="68">
        <f t="shared" si="60"/>
        <v>0</v>
      </c>
      <c r="BC236" s="192">
        <f t="shared" si="61"/>
        <v>0</v>
      </c>
      <c r="BD236" s="70">
        <f t="shared" si="59"/>
        <v>0</v>
      </c>
      <c r="BE236" s="70">
        <f t="shared" si="59"/>
        <v>0</v>
      </c>
      <c r="BF236" s="840">
        <v>270</v>
      </c>
      <c r="BG236" s="192">
        <f t="shared" si="62"/>
        <v>0</v>
      </c>
      <c r="BH236" s="192">
        <f t="shared" si="63"/>
        <v>0</v>
      </c>
      <c r="BI236" s="192" t="b">
        <v>0</v>
      </c>
      <c r="BJ236" s="840">
        <v>300</v>
      </c>
      <c r="BK236" s="192">
        <f t="shared" si="64"/>
        <v>0</v>
      </c>
      <c r="BL236" s="192">
        <f t="shared" si="65"/>
        <v>0</v>
      </c>
      <c r="BM236" s="192" t="b">
        <v>0</v>
      </c>
      <c r="BN236" s="192"/>
      <c r="BO236" s="192"/>
      <c r="BP236" s="192"/>
      <c r="BQ236" s="192"/>
      <c r="BR236" s="192"/>
      <c r="BS236" s="192"/>
      <c r="BT236" s="192"/>
      <c r="BU236" s="192"/>
      <c r="BV236" s="192"/>
      <c r="BW236" s="192"/>
      <c r="BX236" s="192"/>
      <c r="BY236" s="192"/>
      <c r="BZ236" s="192"/>
      <c r="CA236" s="192"/>
      <c r="CB236" s="192"/>
      <c r="CC236" s="192"/>
      <c r="CD236" s="192"/>
      <c r="CE236" s="192"/>
      <c r="CF236" s="192"/>
      <c r="CG236" s="192"/>
      <c r="CH236" s="192"/>
      <c r="CI236" s="796"/>
      <c r="CJ236" s="796"/>
      <c r="CK236" s="192"/>
      <c r="CL236" s="192"/>
      <c r="CM236" s="192"/>
      <c r="CN236" s="192"/>
      <c r="CO236" s="192"/>
      <c r="CP236" s="192"/>
      <c r="CQ236" s="192"/>
      <c r="CR236" s="192"/>
      <c r="CS236" s="192"/>
      <c r="CT236" s="192"/>
      <c r="CU236" s="192"/>
      <c r="CV236" s="192"/>
      <c r="CW236" s="192"/>
      <c r="CX236" s="192"/>
      <c r="CY236" s="192"/>
    </row>
    <row r="237" spans="1:103" ht="24.95" customHeight="1">
      <c r="A237" s="866">
        <v>271</v>
      </c>
      <c r="B237" s="2075"/>
      <c r="C237" s="2075"/>
      <c r="D237" s="2075"/>
      <c r="E237" s="2075"/>
      <c r="F237" s="2075"/>
      <c r="G237" s="2075"/>
      <c r="H237" s="872"/>
      <c r="I237" s="872"/>
      <c r="J237" s="872"/>
      <c r="K237" s="2076"/>
      <c r="L237" s="2076"/>
      <c r="M237" s="2076"/>
      <c r="N237" s="866">
        <v>301</v>
      </c>
      <c r="O237" s="2075"/>
      <c r="P237" s="2075"/>
      <c r="Q237" s="2075"/>
      <c r="R237" s="2075"/>
      <c r="S237" s="2075"/>
      <c r="T237" s="2075"/>
      <c r="U237" s="872"/>
      <c r="V237" s="872"/>
      <c r="W237" s="872"/>
      <c r="X237" s="2076"/>
      <c r="Y237" s="2076"/>
      <c r="Z237" s="2076"/>
      <c r="AA237" s="625"/>
      <c r="AB237" s="625"/>
      <c r="AC237" s="625"/>
      <c r="AD237" s="625"/>
      <c r="AE237" s="625"/>
      <c r="AF237" s="625"/>
      <c r="AG237" s="625"/>
      <c r="AH237" s="625"/>
      <c r="AI237" s="625"/>
      <c r="AJ237" s="625"/>
      <c r="AK237" s="625"/>
      <c r="AL237" s="625"/>
      <c r="AM237" s="625"/>
      <c r="AN237" s="625"/>
      <c r="AO237" s="625"/>
      <c r="AP237" s="625"/>
      <c r="AQ237" s="625"/>
      <c r="AR237" s="625"/>
      <c r="AS237" s="625"/>
      <c r="AT237" s="625"/>
      <c r="AU237" s="625"/>
      <c r="AV237" s="625"/>
      <c r="AW237" s="625"/>
      <c r="AX237" s="625"/>
      <c r="AY237" s="625"/>
      <c r="AZ237" s="625"/>
      <c r="BA237" s="67">
        <v>225</v>
      </c>
      <c r="BB237" s="68">
        <f t="shared" si="60"/>
        <v>0</v>
      </c>
      <c r="BC237" s="192">
        <f t="shared" si="61"/>
        <v>0</v>
      </c>
      <c r="BD237" s="70">
        <f t="shared" si="59"/>
        <v>0</v>
      </c>
      <c r="BE237" s="70">
        <f t="shared" si="59"/>
        <v>0</v>
      </c>
      <c r="BF237" s="840">
        <v>271</v>
      </c>
      <c r="BG237" s="192">
        <f t="shared" si="62"/>
        <v>0</v>
      </c>
      <c r="BH237" s="192">
        <f t="shared" si="63"/>
        <v>0</v>
      </c>
      <c r="BI237" s="192" t="b">
        <v>0</v>
      </c>
      <c r="BJ237" s="840">
        <v>301</v>
      </c>
      <c r="BK237" s="192">
        <f t="shared" si="64"/>
        <v>0</v>
      </c>
      <c r="BL237" s="192">
        <f t="shared" si="65"/>
        <v>0</v>
      </c>
      <c r="BM237" s="192" t="b">
        <v>0</v>
      </c>
      <c r="BN237" s="192"/>
      <c r="BO237" s="192"/>
      <c r="BP237" s="192"/>
      <c r="BQ237" s="192"/>
      <c r="BR237" s="192"/>
      <c r="BS237" s="192"/>
      <c r="BT237" s="192"/>
      <c r="BU237" s="192"/>
      <c r="BV237" s="192"/>
      <c r="BW237" s="192"/>
      <c r="BX237" s="192"/>
      <c r="BY237" s="192"/>
      <c r="BZ237" s="192"/>
      <c r="CA237" s="192"/>
      <c r="CB237" s="192"/>
      <c r="CC237" s="192"/>
      <c r="CD237" s="192"/>
      <c r="CE237" s="192"/>
      <c r="CF237" s="192"/>
      <c r="CG237" s="192"/>
      <c r="CH237" s="192"/>
      <c r="CI237" s="796"/>
      <c r="CJ237" s="796"/>
      <c r="CK237" s="192"/>
      <c r="CL237" s="192"/>
      <c r="CM237" s="192"/>
      <c r="CN237" s="192"/>
      <c r="CO237" s="192"/>
      <c r="CP237" s="192"/>
      <c r="CQ237" s="192"/>
      <c r="CR237" s="192"/>
      <c r="CS237" s="192"/>
      <c r="CT237" s="192"/>
      <c r="CU237" s="192"/>
      <c r="CV237" s="192"/>
      <c r="CW237" s="192"/>
      <c r="CX237" s="192"/>
      <c r="CY237" s="192"/>
    </row>
    <row r="238" spans="1:103" ht="24.95" customHeight="1">
      <c r="A238" s="866">
        <v>272</v>
      </c>
      <c r="B238" s="2075"/>
      <c r="C238" s="2075"/>
      <c r="D238" s="2075"/>
      <c r="E238" s="2075"/>
      <c r="F238" s="2075"/>
      <c r="G238" s="2075"/>
      <c r="H238" s="872"/>
      <c r="I238" s="872"/>
      <c r="J238" s="872"/>
      <c r="K238" s="2076"/>
      <c r="L238" s="2076"/>
      <c r="M238" s="2076"/>
      <c r="N238" s="866">
        <v>302</v>
      </c>
      <c r="O238" s="2075"/>
      <c r="P238" s="2075"/>
      <c r="Q238" s="2075"/>
      <c r="R238" s="2075"/>
      <c r="S238" s="2075"/>
      <c r="T238" s="2075"/>
      <c r="U238" s="872"/>
      <c r="V238" s="872"/>
      <c r="W238" s="872"/>
      <c r="X238" s="2076"/>
      <c r="Y238" s="2076"/>
      <c r="Z238" s="2076"/>
      <c r="AA238" s="625"/>
      <c r="AB238" s="625"/>
      <c r="AC238" s="625"/>
      <c r="AD238" s="625"/>
      <c r="AE238" s="625"/>
      <c r="AF238" s="625"/>
      <c r="AG238" s="625"/>
      <c r="AH238" s="625"/>
      <c r="AI238" s="625"/>
      <c r="AJ238" s="625"/>
      <c r="AK238" s="625"/>
      <c r="AL238" s="625"/>
      <c r="AM238" s="625"/>
      <c r="AN238" s="625"/>
      <c r="AO238" s="625"/>
      <c r="AP238" s="625"/>
      <c r="AQ238" s="625"/>
      <c r="AR238" s="625"/>
      <c r="AS238" s="625"/>
      <c r="AT238" s="625"/>
      <c r="AU238" s="625"/>
      <c r="AV238" s="625"/>
      <c r="AW238" s="625"/>
      <c r="AX238" s="625"/>
      <c r="AY238" s="625"/>
      <c r="AZ238" s="625"/>
      <c r="BA238" s="67">
        <v>226</v>
      </c>
      <c r="BB238" s="68">
        <f t="shared" si="60"/>
        <v>0</v>
      </c>
      <c r="BC238" s="192">
        <f t="shared" si="61"/>
        <v>0</v>
      </c>
      <c r="BD238" s="70">
        <f t="shared" si="59"/>
        <v>0</v>
      </c>
      <c r="BE238" s="70">
        <f t="shared" si="59"/>
        <v>0</v>
      </c>
      <c r="BF238" s="840">
        <v>272</v>
      </c>
      <c r="BG238" s="192">
        <f t="shared" si="62"/>
        <v>0</v>
      </c>
      <c r="BH238" s="192">
        <f t="shared" si="63"/>
        <v>0</v>
      </c>
      <c r="BI238" s="192" t="b">
        <v>0</v>
      </c>
      <c r="BJ238" s="840">
        <v>302</v>
      </c>
      <c r="BK238" s="192">
        <f t="shared" si="64"/>
        <v>0</v>
      </c>
      <c r="BL238" s="192">
        <f t="shared" si="65"/>
        <v>0</v>
      </c>
      <c r="BM238" s="192" t="b">
        <v>0</v>
      </c>
      <c r="BN238" s="192"/>
      <c r="BO238" s="192"/>
      <c r="BP238" s="192"/>
      <c r="BQ238" s="192"/>
      <c r="BR238" s="192"/>
      <c r="BS238" s="192"/>
      <c r="BT238" s="192"/>
      <c r="BU238" s="192"/>
      <c r="BV238" s="192"/>
      <c r="BW238" s="192"/>
      <c r="BX238" s="192"/>
      <c r="BY238" s="192"/>
      <c r="BZ238" s="192"/>
      <c r="CA238" s="192"/>
      <c r="CB238" s="192"/>
      <c r="CC238" s="192"/>
      <c r="CD238" s="192"/>
      <c r="CE238" s="192"/>
      <c r="CF238" s="192"/>
      <c r="CG238" s="192"/>
      <c r="CH238" s="192"/>
      <c r="CI238" s="796"/>
      <c r="CJ238" s="796"/>
      <c r="CK238" s="192"/>
      <c r="CL238" s="192"/>
      <c r="CM238" s="192"/>
      <c r="CN238" s="192"/>
      <c r="CO238" s="192"/>
      <c r="CP238" s="192"/>
      <c r="CQ238" s="192"/>
      <c r="CR238" s="192"/>
      <c r="CS238" s="192"/>
      <c r="CT238" s="192"/>
      <c r="CU238" s="192"/>
      <c r="CV238" s="192"/>
      <c r="CW238" s="192"/>
      <c r="CX238" s="192"/>
      <c r="CY238" s="192"/>
    </row>
    <row r="239" spans="1:103" ht="24.95" customHeight="1">
      <c r="A239" s="866">
        <v>273</v>
      </c>
      <c r="B239" s="2075"/>
      <c r="C239" s="2075"/>
      <c r="D239" s="2075"/>
      <c r="E239" s="2075"/>
      <c r="F239" s="2075"/>
      <c r="G239" s="2075"/>
      <c r="H239" s="872"/>
      <c r="I239" s="872"/>
      <c r="J239" s="872"/>
      <c r="K239" s="2076"/>
      <c r="L239" s="2076"/>
      <c r="M239" s="2076"/>
      <c r="N239" s="866">
        <v>303</v>
      </c>
      <c r="O239" s="2075"/>
      <c r="P239" s="2075"/>
      <c r="Q239" s="2075"/>
      <c r="R239" s="2075"/>
      <c r="S239" s="2075"/>
      <c r="T239" s="2075"/>
      <c r="U239" s="872"/>
      <c r="V239" s="872"/>
      <c r="W239" s="872"/>
      <c r="X239" s="2076"/>
      <c r="Y239" s="2076"/>
      <c r="Z239" s="2076"/>
      <c r="AA239" s="192"/>
      <c r="AB239" s="192"/>
      <c r="AC239" s="192"/>
      <c r="AD239" s="192"/>
      <c r="AE239" s="192"/>
      <c r="AF239" s="192"/>
      <c r="AG239" s="192"/>
      <c r="AH239" s="192"/>
      <c r="AI239" s="192"/>
      <c r="AJ239" s="192"/>
      <c r="AK239" s="192"/>
      <c r="AL239" s="192"/>
      <c r="AM239" s="192"/>
      <c r="AN239" s="192"/>
      <c r="AO239" s="192"/>
      <c r="AP239" s="192"/>
      <c r="AQ239" s="192"/>
      <c r="AR239" s="192"/>
      <c r="AS239" s="192"/>
      <c r="AT239" s="192"/>
      <c r="AU239" s="192"/>
      <c r="AV239" s="192"/>
      <c r="AW239" s="192"/>
      <c r="AX239" s="192"/>
      <c r="AY239" s="192"/>
      <c r="AZ239" s="192"/>
      <c r="BA239" s="67">
        <v>227</v>
      </c>
      <c r="BB239" s="68">
        <f t="shared" si="60"/>
        <v>0</v>
      </c>
      <c r="BC239" s="192">
        <f t="shared" si="61"/>
        <v>0</v>
      </c>
      <c r="BD239" s="70">
        <f t="shared" si="59"/>
        <v>0</v>
      </c>
      <c r="BE239" s="70">
        <f t="shared" si="59"/>
        <v>0</v>
      </c>
      <c r="BF239" s="840">
        <v>273</v>
      </c>
      <c r="BG239" s="192">
        <f t="shared" si="62"/>
        <v>0</v>
      </c>
      <c r="BH239" s="192">
        <f t="shared" si="63"/>
        <v>0</v>
      </c>
      <c r="BI239" s="192" t="b">
        <v>0</v>
      </c>
      <c r="BJ239" s="840">
        <v>303</v>
      </c>
      <c r="BK239" s="192">
        <f t="shared" si="64"/>
        <v>0</v>
      </c>
      <c r="BL239" s="192">
        <f t="shared" si="65"/>
        <v>0</v>
      </c>
      <c r="BM239" s="192" t="b">
        <v>0</v>
      </c>
      <c r="BN239" s="192"/>
      <c r="BO239" s="192"/>
      <c r="BP239" s="192"/>
      <c r="BQ239" s="192"/>
      <c r="BR239" s="192"/>
      <c r="BS239" s="192"/>
      <c r="BT239" s="192"/>
      <c r="BU239" s="192"/>
      <c r="BV239" s="192"/>
      <c r="BW239" s="192"/>
      <c r="BX239" s="192"/>
      <c r="BY239" s="192"/>
      <c r="BZ239" s="192"/>
      <c r="CA239" s="192"/>
      <c r="CB239" s="192"/>
      <c r="CC239" s="192"/>
      <c r="CD239" s="192"/>
      <c r="CE239" s="192"/>
      <c r="CF239" s="192"/>
      <c r="CG239" s="192"/>
      <c r="CH239" s="192"/>
      <c r="CI239" s="796"/>
      <c r="CJ239" s="796"/>
      <c r="CK239" s="192"/>
      <c r="CL239" s="192"/>
      <c r="CM239" s="192"/>
      <c r="CN239" s="192"/>
      <c r="CO239" s="192"/>
      <c r="CP239" s="192"/>
      <c r="CQ239" s="192"/>
      <c r="CR239" s="192"/>
      <c r="CS239" s="192"/>
      <c r="CT239" s="192"/>
      <c r="CU239" s="192"/>
      <c r="CV239" s="192"/>
      <c r="CW239" s="192"/>
      <c r="CX239" s="192"/>
      <c r="CY239" s="192"/>
    </row>
    <row r="240" spans="1:103" ht="24.95" customHeight="1">
      <c r="A240" s="866">
        <v>274</v>
      </c>
      <c r="B240" s="2075"/>
      <c r="C240" s="2075"/>
      <c r="D240" s="2075"/>
      <c r="E240" s="2075"/>
      <c r="F240" s="2075"/>
      <c r="G240" s="2075"/>
      <c r="H240" s="872"/>
      <c r="I240" s="872"/>
      <c r="J240" s="872"/>
      <c r="K240" s="2076"/>
      <c r="L240" s="2076"/>
      <c r="M240" s="2076"/>
      <c r="N240" s="866">
        <v>304</v>
      </c>
      <c r="O240" s="2075"/>
      <c r="P240" s="2075"/>
      <c r="Q240" s="2075"/>
      <c r="R240" s="2075"/>
      <c r="S240" s="2075"/>
      <c r="T240" s="2075"/>
      <c r="U240" s="872"/>
      <c r="V240" s="872"/>
      <c r="W240" s="872"/>
      <c r="X240" s="2076"/>
      <c r="Y240" s="2076"/>
      <c r="Z240" s="2076"/>
      <c r="AA240" s="192"/>
      <c r="AB240" s="192"/>
      <c r="AC240" s="192"/>
      <c r="AD240" s="192"/>
      <c r="AE240" s="192"/>
      <c r="AF240" s="192"/>
      <c r="AG240" s="192"/>
      <c r="AH240" s="192"/>
      <c r="AI240" s="192"/>
      <c r="AJ240" s="192"/>
      <c r="AK240" s="192"/>
      <c r="AL240" s="192"/>
      <c r="AM240" s="192"/>
      <c r="AN240" s="192"/>
      <c r="AO240" s="192"/>
      <c r="AP240" s="192"/>
      <c r="AQ240" s="192"/>
      <c r="AR240" s="192"/>
      <c r="AS240" s="192"/>
      <c r="AT240" s="192"/>
      <c r="AU240" s="192"/>
      <c r="AV240" s="192"/>
      <c r="AW240" s="192"/>
      <c r="AX240" s="192"/>
      <c r="AY240" s="192"/>
      <c r="AZ240" s="192"/>
      <c r="BA240" s="67">
        <v>228</v>
      </c>
      <c r="BB240" s="68">
        <f t="shared" si="60"/>
        <v>0</v>
      </c>
      <c r="BC240" s="192">
        <f t="shared" si="61"/>
        <v>0</v>
      </c>
      <c r="BD240" s="70">
        <f t="shared" si="59"/>
        <v>0</v>
      </c>
      <c r="BE240" s="70">
        <f t="shared" si="59"/>
        <v>0</v>
      </c>
      <c r="BF240" s="840">
        <v>274</v>
      </c>
      <c r="BG240" s="192">
        <f t="shared" si="62"/>
        <v>0</v>
      </c>
      <c r="BH240" s="192">
        <f t="shared" si="63"/>
        <v>0</v>
      </c>
      <c r="BI240" s="192" t="b">
        <v>0</v>
      </c>
      <c r="BJ240" s="840">
        <v>304</v>
      </c>
      <c r="BK240" s="192">
        <f t="shared" si="64"/>
        <v>0</v>
      </c>
      <c r="BL240" s="192">
        <f t="shared" si="65"/>
        <v>0</v>
      </c>
      <c r="BM240" s="192" t="b">
        <v>0</v>
      </c>
      <c r="BN240" s="192"/>
      <c r="BO240" s="192"/>
      <c r="BP240" s="192"/>
      <c r="BQ240" s="192"/>
      <c r="BR240" s="192"/>
      <c r="BS240" s="192"/>
      <c r="BT240" s="192"/>
      <c r="BU240" s="192"/>
      <c r="BV240" s="192"/>
      <c r="BW240" s="192"/>
      <c r="BX240" s="192"/>
      <c r="BY240" s="192"/>
      <c r="BZ240" s="192"/>
      <c r="CA240" s="192"/>
      <c r="CB240" s="192"/>
      <c r="CC240" s="192"/>
      <c r="CD240" s="192"/>
      <c r="CE240" s="192"/>
      <c r="CF240" s="192"/>
      <c r="CG240" s="192"/>
      <c r="CH240" s="192"/>
      <c r="CI240" s="796"/>
      <c r="CJ240" s="796"/>
      <c r="CK240" s="192"/>
      <c r="CL240" s="192"/>
      <c r="CM240" s="192"/>
      <c r="CN240" s="192"/>
      <c r="CO240" s="192"/>
      <c r="CP240" s="192"/>
      <c r="CQ240" s="192"/>
      <c r="CR240" s="192"/>
      <c r="CS240" s="192"/>
      <c r="CT240" s="192"/>
      <c r="CU240" s="192"/>
      <c r="CV240" s="192"/>
      <c r="CW240" s="192"/>
      <c r="CX240" s="192"/>
      <c r="CY240" s="192"/>
    </row>
    <row r="241" spans="1:103" ht="24.95" customHeight="1">
      <c r="A241" s="866">
        <v>275</v>
      </c>
      <c r="B241" s="2075"/>
      <c r="C241" s="2075"/>
      <c r="D241" s="2075"/>
      <c r="E241" s="2075"/>
      <c r="F241" s="2075"/>
      <c r="G241" s="2075"/>
      <c r="H241" s="872"/>
      <c r="I241" s="872"/>
      <c r="J241" s="872"/>
      <c r="K241" s="2076"/>
      <c r="L241" s="2076"/>
      <c r="M241" s="2076"/>
      <c r="N241" s="866">
        <v>305</v>
      </c>
      <c r="O241" s="2075"/>
      <c r="P241" s="2075"/>
      <c r="Q241" s="2075"/>
      <c r="R241" s="2075"/>
      <c r="S241" s="2075"/>
      <c r="T241" s="2075"/>
      <c r="U241" s="872"/>
      <c r="V241" s="872"/>
      <c r="W241" s="872"/>
      <c r="X241" s="2076"/>
      <c r="Y241" s="2076"/>
      <c r="Z241" s="2076"/>
      <c r="AA241" s="192"/>
      <c r="AB241" s="192"/>
      <c r="AC241" s="192"/>
      <c r="AD241" s="192"/>
      <c r="AE241" s="192"/>
      <c r="AF241" s="192"/>
      <c r="AG241" s="192"/>
      <c r="AH241" s="192"/>
      <c r="AI241" s="192"/>
      <c r="AJ241" s="192"/>
      <c r="AK241" s="192"/>
      <c r="AL241" s="192"/>
      <c r="AM241" s="192"/>
      <c r="AN241" s="192"/>
      <c r="AO241" s="192"/>
      <c r="AP241" s="192"/>
      <c r="AQ241" s="192"/>
      <c r="AR241" s="192"/>
      <c r="AS241" s="192"/>
      <c r="AT241" s="192"/>
      <c r="AU241" s="192"/>
      <c r="AV241" s="192"/>
      <c r="AW241" s="192"/>
      <c r="AX241" s="192"/>
      <c r="AY241" s="192"/>
      <c r="AZ241" s="192"/>
      <c r="BA241" s="67">
        <v>229</v>
      </c>
      <c r="BB241" s="68">
        <f t="shared" si="60"/>
        <v>0</v>
      </c>
      <c r="BC241" s="192">
        <f t="shared" si="61"/>
        <v>0</v>
      </c>
      <c r="BD241" s="70">
        <f t="shared" si="59"/>
        <v>0</v>
      </c>
      <c r="BE241" s="70">
        <f t="shared" si="59"/>
        <v>0</v>
      </c>
      <c r="BF241" s="840">
        <v>275</v>
      </c>
      <c r="BG241" s="192">
        <f t="shared" si="62"/>
        <v>0</v>
      </c>
      <c r="BH241" s="192">
        <f t="shared" si="63"/>
        <v>0</v>
      </c>
      <c r="BI241" s="192" t="b">
        <v>0</v>
      </c>
      <c r="BJ241" s="840">
        <v>305</v>
      </c>
      <c r="BK241" s="192">
        <f t="shared" si="64"/>
        <v>0</v>
      </c>
      <c r="BL241" s="192">
        <f t="shared" si="65"/>
        <v>0</v>
      </c>
      <c r="BM241" s="192" t="b">
        <v>0</v>
      </c>
      <c r="BN241" s="192"/>
      <c r="BO241" s="192"/>
      <c r="BP241" s="192"/>
      <c r="BQ241" s="192"/>
      <c r="BR241" s="192"/>
      <c r="BS241" s="192"/>
      <c r="BT241" s="192"/>
      <c r="BU241" s="192"/>
      <c r="BV241" s="192"/>
      <c r="BW241" s="192"/>
      <c r="BX241" s="192"/>
      <c r="BY241" s="192"/>
      <c r="BZ241" s="192"/>
      <c r="CA241" s="192"/>
      <c r="CB241" s="192"/>
      <c r="CC241" s="192"/>
      <c r="CD241" s="192"/>
      <c r="CE241" s="192"/>
      <c r="CF241" s="192"/>
      <c r="CG241" s="192"/>
      <c r="CH241" s="192"/>
      <c r="CI241" s="796"/>
      <c r="CJ241" s="796"/>
      <c r="CK241" s="192"/>
      <c r="CL241" s="192"/>
      <c r="CM241" s="192"/>
      <c r="CN241" s="192"/>
      <c r="CO241" s="192"/>
      <c r="CP241" s="192"/>
      <c r="CQ241" s="192"/>
      <c r="CR241" s="192"/>
      <c r="CS241" s="192"/>
      <c r="CT241" s="192"/>
      <c r="CU241" s="192"/>
      <c r="CV241" s="192"/>
      <c r="CW241" s="192"/>
      <c r="CX241" s="192"/>
      <c r="CY241" s="192"/>
    </row>
    <row r="242" spans="1:103" ht="24.95" customHeight="1">
      <c r="A242" s="866">
        <v>276</v>
      </c>
      <c r="B242" s="2075"/>
      <c r="C242" s="2075"/>
      <c r="D242" s="2075"/>
      <c r="E242" s="2075"/>
      <c r="F242" s="2075"/>
      <c r="G242" s="2075"/>
      <c r="H242" s="872"/>
      <c r="I242" s="872"/>
      <c r="J242" s="872"/>
      <c r="K242" s="2076"/>
      <c r="L242" s="2076"/>
      <c r="M242" s="2076"/>
      <c r="N242" s="866">
        <v>306</v>
      </c>
      <c r="O242" s="2075"/>
      <c r="P242" s="2075"/>
      <c r="Q242" s="2075"/>
      <c r="R242" s="2075"/>
      <c r="S242" s="2075"/>
      <c r="T242" s="2075"/>
      <c r="U242" s="872"/>
      <c r="V242" s="872"/>
      <c r="W242" s="872"/>
      <c r="X242" s="2076"/>
      <c r="Y242" s="2076"/>
      <c r="Z242" s="2076"/>
      <c r="AA242" s="192"/>
      <c r="AB242" s="192"/>
      <c r="AC242" s="192"/>
      <c r="AD242" s="192"/>
      <c r="AE242" s="192"/>
      <c r="AF242" s="192"/>
      <c r="AG242" s="192"/>
      <c r="AH242" s="192"/>
      <c r="AI242" s="192"/>
      <c r="AJ242" s="192"/>
      <c r="AK242" s="192"/>
      <c r="AL242" s="192"/>
      <c r="AM242" s="192"/>
      <c r="AN242" s="192"/>
      <c r="AO242" s="192"/>
      <c r="AP242" s="192"/>
      <c r="AQ242" s="192"/>
      <c r="AR242" s="192"/>
      <c r="AS242" s="192"/>
      <c r="AT242" s="192"/>
      <c r="AU242" s="192"/>
      <c r="AV242" s="192"/>
      <c r="AW242" s="192"/>
      <c r="AX242" s="192"/>
      <c r="AY242" s="192"/>
      <c r="AZ242" s="192"/>
      <c r="BA242" s="67">
        <v>230</v>
      </c>
      <c r="BB242" s="68">
        <f t="shared" si="60"/>
        <v>0</v>
      </c>
      <c r="BC242" s="192">
        <f t="shared" si="61"/>
        <v>0</v>
      </c>
      <c r="BD242" s="70">
        <f t="shared" si="59"/>
        <v>0</v>
      </c>
      <c r="BE242" s="70">
        <f t="shared" si="59"/>
        <v>0</v>
      </c>
      <c r="BF242" s="840">
        <v>276</v>
      </c>
      <c r="BG242" s="192">
        <f t="shared" si="62"/>
        <v>0</v>
      </c>
      <c r="BH242" s="192">
        <f t="shared" si="63"/>
        <v>0</v>
      </c>
      <c r="BI242" s="192" t="b">
        <v>0</v>
      </c>
      <c r="BJ242" s="840">
        <v>306</v>
      </c>
      <c r="BK242" s="192">
        <f t="shared" si="64"/>
        <v>0</v>
      </c>
      <c r="BL242" s="192">
        <f t="shared" si="65"/>
        <v>0</v>
      </c>
      <c r="BM242" s="192" t="b">
        <v>0</v>
      </c>
      <c r="BN242" s="192"/>
      <c r="BO242" s="192"/>
      <c r="BP242" s="192"/>
      <c r="BQ242" s="192"/>
      <c r="BR242" s="192"/>
      <c r="BS242" s="192"/>
      <c r="BT242" s="192"/>
      <c r="BU242" s="192"/>
      <c r="BV242" s="192"/>
      <c r="BW242" s="192"/>
      <c r="BX242" s="192"/>
      <c r="BY242" s="192"/>
      <c r="BZ242" s="192"/>
      <c r="CA242" s="192"/>
      <c r="CB242" s="192"/>
      <c r="CC242" s="192"/>
      <c r="CD242" s="192"/>
      <c r="CE242" s="192"/>
      <c r="CF242" s="192"/>
      <c r="CG242" s="192"/>
      <c r="CH242" s="192"/>
      <c r="CI242" s="796"/>
      <c r="CJ242" s="796"/>
      <c r="CK242" s="192"/>
      <c r="CL242" s="192"/>
      <c r="CM242" s="192"/>
      <c r="CN242" s="192"/>
      <c r="CO242" s="192"/>
      <c r="CP242" s="192"/>
      <c r="CQ242" s="192"/>
      <c r="CR242" s="192"/>
      <c r="CS242" s="192"/>
      <c r="CT242" s="192"/>
      <c r="CU242" s="192"/>
      <c r="CV242" s="192"/>
      <c r="CW242" s="192"/>
      <c r="CX242" s="192"/>
      <c r="CY242" s="192"/>
    </row>
    <row r="243" spans="1:103" ht="24.95" customHeight="1">
      <c r="A243" s="866">
        <v>277</v>
      </c>
      <c r="B243" s="2075"/>
      <c r="C243" s="2075"/>
      <c r="D243" s="2075"/>
      <c r="E243" s="2075"/>
      <c r="F243" s="2075"/>
      <c r="G243" s="2075"/>
      <c r="H243" s="872"/>
      <c r="I243" s="872"/>
      <c r="J243" s="872"/>
      <c r="K243" s="2076"/>
      <c r="L243" s="2076"/>
      <c r="M243" s="2076"/>
      <c r="N243" s="866">
        <v>307</v>
      </c>
      <c r="O243" s="2075"/>
      <c r="P243" s="2075"/>
      <c r="Q243" s="2075"/>
      <c r="R243" s="2075"/>
      <c r="S243" s="2075"/>
      <c r="T243" s="2075"/>
      <c r="U243" s="872"/>
      <c r="V243" s="872"/>
      <c r="W243" s="872"/>
      <c r="X243" s="2076"/>
      <c r="Y243" s="2076"/>
      <c r="Z243" s="2076"/>
      <c r="AA243" s="192"/>
      <c r="AB243" s="192"/>
      <c r="AC243" s="192"/>
      <c r="AD243" s="192"/>
      <c r="AE243" s="192"/>
      <c r="AF243" s="192"/>
      <c r="AG243" s="192"/>
      <c r="AH243" s="192"/>
      <c r="AI243" s="192"/>
      <c r="AJ243" s="192"/>
      <c r="AK243" s="192"/>
      <c r="AL243" s="192"/>
      <c r="AM243" s="192"/>
      <c r="AN243" s="192"/>
      <c r="AO243" s="192"/>
      <c r="AP243" s="192"/>
      <c r="AQ243" s="192"/>
      <c r="AR243" s="192"/>
      <c r="AS243" s="192"/>
      <c r="AT243" s="192"/>
      <c r="AU243" s="192"/>
      <c r="AV243" s="192"/>
      <c r="AW243" s="192"/>
      <c r="AX243" s="192"/>
      <c r="AY243" s="192"/>
      <c r="AZ243" s="192"/>
      <c r="BA243" s="67">
        <v>231</v>
      </c>
      <c r="BB243" s="68">
        <f t="shared" ref="BB243:BB272" si="66">COUNTA(U184:V184)</f>
        <v>0</v>
      </c>
      <c r="BC243" s="192">
        <f t="shared" ref="BC243:BC272" si="67">COUNTA(X184)</f>
        <v>0</v>
      </c>
      <c r="BD243" s="70">
        <f t="shared" ref="BD243:BE258" si="68">BB243-COUNTA(H184)</f>
        <v>0</v>
      </c>
      <c r="BE243" s="70">
        <f t="shared" si="68"/>
        <v>0</v>
      </c>
      <c r="BF243" s="840">
        <v>277</v>
      </c>
      <c r="BG243" s="192">
        <f t="shared" si="62"/>
        <v>0</v>
      </c>
      <c r="BH243" s="192">
        <f t="shared" si="63"/>
        <v>0</v>
      </c>
      <c r="BI243" s="192" t="b">
        <v>0</v>
      </c>
      <c r="BJ243" s="840">
        <v>307</v>
      </c>
      <c r="BK243" s="192">
        <f t="shared" si="64"/>
        <v>0</v>
      </c>
      <c r="BL243" s="192">
        <f t="shared" si="65"/>
        <v>0</v>
      </c>
      <c r="BM243" s="192" t="b">
        <v>0</v>
      </c>
      <c r="BN243" s="192"/>
      <c r="BO243" s="192"/>
      <c r="BP243" s="192"/>
      <c r="BQ243" s="192"/>
      <c r="BR243" s="192"/>
      <c r="BS243" s="192"/>
      <c r="BT243" s="192"/>
      <c r="BU243" s="192"/>
      <c r="BV243" s="192"/>
      <c r="BW243" s="192"/>
      <c r="BX243" s="192"/>
      <c r="BY243" s="192"/>
      <c r="BZ243" s="192"/>
      <c r="CA243" s="192"/>
      <c r="CB243" s="192"/>
      <c r="CC243" s="192"/>
      <c r="CD243" s="192"/>
      <c r="CE243" s="192"/>
      <c r="CF243" s="192"/>
      <c r="CG243" s="192"/>
      <c r="CH243" s="192"/>
      <c r="CI243" s="796"/>
      <c r="CJ243" s="796"/>
      <c r="CK243" s="192"/>
      <c r="CL243" s="192"/>
      <c r="CM243" s="192"/>
      <c r="CN243" s="192"/>
      <c r="CO243" s="192"/>
      <c r="CP243" s="192"/>
      <c r="CQ243" s="192"/>
      <c r="CR243" s="192"/>
      <c r="CS243" s="192"/>
      <c r="CT243" s="192"/>
      <c r="CU243" s="192"/>
      <c r="CV243" s="192"/>
      <c r="CW243" s="192"/>
      <c r="CX243" s="192"/>
      <c r="CY243" s="192"/>
    </row>
    <row r="244" spans="1:103" ht="24.95" customHeight="1">
      <c r="A244" s="866">
        <v>278</v>
      </c>
      <c r="B244" s="2075"/>
      <c r="C244" s="2075"/>
      <c r="D244" s="2075"/>
      <c r="E244" s="2075"/>
      <c r="F244" s="2075"/>
      <c r="G244" s="2075"/>
      <c r="H244" s="872"/>
      <c r="I244" s="872"/>
      <c r="J244" s="872"/>
      <c r="K244" s="2076"/>
      <c r="L244" s="2076"/>
      <c r="M244" s="2076"/>
      <c r="N244" s="866">
        <v>308</v>
      </c>
      <c r="O244" s="2075"/>
      <c r="P244" s="2075"/>
      <c r="Q244" s="2075"/>
      <c r="R244" s="2075"/>
      <c r="S244" s="2075"/>
      <c r="T244" s="2075"/>
      <c r="U244" s="872"/>
      <c r="V244" s="872"/>
      <c r="W244" s="872"/>
      <c r="X244" s="2076"/>
      <c r="Y244" s="2076"/>
      <c r="Z244" s="2076"/>
      <c r="AA244" s="192"/>
      <c r="AB244" s="192"/>
      <c r="AC244" s="192"/>
      <c r="AD244" s="192"/>
      <c r="AE244" s="192"/>
      <c r="AF244" s="192"/>
      <c r="AG244" s="192"/>
      <c r="AH244" s="192"/>
      <c r="AI244" s="192"/>
      <c r="AJ244" s="192"/>
      <c r="AK244" s="192"/>
      <c r="AL244" s="192"/>
      <c r="AM244" s="192"/>
      <c r="AN244" s="192"/>
      <c r="AO244" s="192"/>
      <c r="AP244" s="192"/>
      <c r="AQ244" s="192"/>
      <c r="AR244" s="192"/>
      <c r="AS244" s="192"/>
      <c r="AT244" s="192"/>
      <c r="AU244" s="192"/>
      <c r="AV244" s="192"/>
      <c r="AW244" s="192"/>
      <c r="AX244" s="192"/>
      <c r="AY244" s="192"/>
      <c r="AZ244" s="192"/>
      <c r="BA244" s="67">
        <v>232</v>
      </c>
      <c r="BB244" s="68">
        <f t="shared" si="66"/>
        <v>0</v>
      </c>
      <c r="BC244" s="192">
        <f t="shared" si="67"/>
        <v>0</v>
      </c>
      <c r="BD244" s="70">
        <f t="shared" si="68"/>
        <v>0</v>
      </c>
      <c r="BE244" s="70">
        <f t="shared" si="68"/>
        <v>0</v>
      </c>
      <c r="BF244" s="840">
        <v>278</v>
      </c>
      <c r="BG244" s="192">
        <f t="shared" si="62"/>
        <v>0</v>
      </c>
      <c r="BH244" s="192">
        <f t="shared" si="63"/>
        <v>0</v>
      </c>
      <c r="BI244" s="192" t="b">
        <v>0</v>
      </c>
      <c r="BJ244" s="840">
        <v>308</v>
      </c>
      <c r="BK244" s="192">
        <f t="shared" si="64"/>
        <v>0</v>
      </c>
      <c r="BL244" s="192">
        <f t="shared" si="65"/>
        <v>0</v>
      </c>
      <c r="BM244" s="192" t="b">
        <v>0</v>
      </c>
      <c r="BN244" s="192"/>
      <c r="BO244" s="192"/>
      <c r="BP244" s="192"/>
      <c r="BQ244" s="192"/>
      <c r="BR244" s="192"/>
      <c r="BS244" s="192"/>
      <c r="BT244" s="192"/>
      <c r="BU244" s="192"/>
      <c r="BV244" s="192"/>
      <c r="BW244" s="192"/>
      <c r="BX244" s="192"/>
      <c r="BY244" s="192"/>
      <c r="BZ244" s="192"/>
      <c r="CA244" s="192"/>
      <c r="CB244" s="192"/>
      <c r="CC244" s="192"/>
      <c r="CD244" s="192"/>
      <c r="CE244" s="192"/>
      <c r="CF244" s="192"/>
      <c r="CG244" s="192"/>
      <c r="CH244" s="192"/>
      <c r="CI244" s="796"/>
      <c r="CJ244" s="796"/>
      <c r="CK244" s="192"/>
      <c r="CL244" s="192"/>
      <c r="CM244" s="192"/>
      <c r="CN244" s="192"/>
      <c r="CO244" s="192"/>
      <c r="CP244" s="192"/>
      <c r="CQ244" s="192"/>
      <c r="CR244" s="192"/>
      <c r="CS244" s="192"/>
      <c r="CT244" s="192"/>
      <c r="CU244" s="192"/>
      <c r="CV244" s="192"/>
      <c r="CW244" s="192"/>
      <c r="CX244" s="192"/>
      <c r="CY244" s="192"/>
    </row>
    <row r="245" spans="1:103" ht="24.95" customHeight="1">
      <c r="A245" s="866">
        <v>279</v>
      </c>
      <c r="B245" s="2075"/>
      <c r="C245" s="2075"/>
      <c r="D245" s="2075"/>
      <c r="E245" s="2075"/>
      <c r="F245" s="2075"/>
      <c r="G245" s="2075"/>
      <c r="H245" s="872"/>
      <c r="I245" s="872"/>
      <c r="J245" s="872"/>
      <c r="K245" s="2076"/>
      <c r="L245" s="2076"/>
      <c r="M245" s="2076"/>
      <c r="N245" s="866">
        <v>309</v>
      </c>
      <c r="O245" s="2075"/>
      <c r="P245" s="2075"/>
      <c r="Q245" s="2075"/>
      <c r="R245" s="2075"/>
      <c r="S245" s="2075"/>
      <c r="T245" s="2075"/>
      <c r="U245" s="872"/>
      <c r="V245" s="872"/>
      <c r="W245" s="872"/>
      <c r="X245" s="2076"/>
      <c r="Y245" s="2076"/>
      <c r="Z245" s="2076"/>
      <c r="AA245" s="192"/>
      <c r="AB245" s="192"/>
      <c r="AC245" s="192"/>
      <c r="AD245" s="192"/>
      <c r="AE245" s="192"/>
      <c r="AF245" s="192"/>
      <c r="AG245" s="192"/>
      <c r="AH245" s="192"/>
      <c r="AI245" s="192"/>
      <c r="AJ245" s="192"/>
      <c r="AK245" s="192"/>
      <c r="AL245" s="192"/>
      <c r="AM245" s="192"/>
      <c r="AN245" s="192"/>
      <c r="AO245" s="192"/>
      <c r="AP245" s="192"/>
      <c r="AQ245" s="192"/>
      <c r="AR245" s="192"/>
      <c r="AS245" s="192"/>
      <c r="AT245" s="192"/>
      <c r="AU245" s="192"/>
      <c r="AV245" s="192"/>
      <c r="AW245" s="192"/>
      <c r="AX245" s="192"/>
      <c r="AY245" s="192"/>
      <c r="AZ245" s="192"/>
      <c r="BA245" s="67">
        <v>233</v>
      </c>
      <c r="BB245" s="68">
        <f t="shared" si="66"/>
        <v>0</v>
      </c>
      <c r="BC245" s="192">
        <f t="shared" si="67"/>
        <v>0</v>
      </c>
      <c r="BD245" s="70">
        <f t="shared" si="68"/>
        <v>0</v>
      </c>
      <c r="BE245" s="70">
        <f t="shared" si="68"/>
        <v>0</v>
      </c>
      <c r="BF245" s="840">
        <v>279</v>
      </c>
      <c r="BG245" s="192">
        <f t="shared" si="62"/>
        <v>0</v>
      </c>
      <c r="BH245" s="192">
        <f t="shared" si="63"/>
        <v>0</v>
      </c>
      <c r="BI245" s="192" t="b">
        <v>0</v>
      </c>
      <c r="BJ245" s="840">
        <v>309</v>
      </c>
      <c r="BK245" s="192">
        <f t="shared" si="64"/>
        <v>0</v>
      </c>
      <c r="BL245" s="192">
        <f t="shared" si="65"/>
        <v>0</v>
      </c>
      <c r="BM245" s="192" t="b">
        <v>0</v>
      </c>
      <c r="BN245" s="192"/>
      <c r="BO245" s="192"/>
      <c r="BP245" s="192"/>
      <c r="BQ245" s="192"/>
      <c r="BR245" s="192"/>
      <c r="BS245" s="192"/>
      <c r="BT245" s="192"/>
      <c r="BU245" s="192"/>
      <c r="BV245" s="192"/>
      <c r="BW245" s="192"/>
      <c r="BX245" s="192"/>
      <c r="BY245" s="192"/>
      <c r="BZ245" s="192"/>
      <c r="CA245" s="192"/>
      <c r="CB245" s="192"/>
      <c r="CC245" s="192"/>
      <c r="CD245" s="192"/>
      <c r="CE245" s="192"/>
      <c r="CF245" s="192"/>
      <c r="CG245" s="192"/>
      <c r="CH245" s="192"/>
      <c r="CI245" s="796"/>
      <c r="CJ245" s="796"/>
      <c r="CK245" s="192"/>
      <c r="CL245" s="192"/>
      <c r="CM245" s="192"/>
      <c r="CN245" s="192"/>
      <c r="CO245" s="192"/>
      <c r="CP245" s="192"/>
      <c r="CQ245" s="192"/>
      <c r="CR245" s="192"/>
      <c r="CS245" s="192"/>
      <c r="CT245" s="192"/>
      <c r="CU245" s="192"/>
      <c r="CV245" s="192"/>
      <c r="CW245" s="192"/>
      <c r="CX245" s="192"/>
      <c r="CY245" s="192"/>
    </row>
    <row r="246" spans="1:103" ht="24.95" customHeight="1">
      <c r="A246" s="866">
        <v>280</v>
      </c>
      <c r="B246" s="2075"/>
      <c r="C246" s="2075"/>
      <c r="D246" s="2075"/>
      <c r="E246" s="2075"/>
      <c r="F246" s="2075"/>
      <c r="G246" s="2075"/>
      <c r="H246" s="872"/>
      <c r="I246" s="872"/>
      <c r="J246" s="872"/>
      <c r="K246" s="2076"/>
      <c r="L246" s="2076"/>
      <c r="M246" s="2076"/>
      <c r="N246" s="866">
        <v>310</v>
      </c>
      <c r="O246" s="2075"/>
      <c r="P246" s="2075"/>
      <c r="Q246" s="2075"/>
      <c r="R246" s="2075"/>
      <c r="S246" s="2075"/>
      <c r="T246" s="2075"/>
      <c r="U246" s="872"/>
      <c r="V246" s="872"/>
      <c r="W246" s="872"/>
      <c r="X246" s="2076"/>
      <c r="Y246" s="2076"/>
      <c r="Z246" s="2076"/>
      <c r="AA246" s="192"/>
      <c r="AB246" s="192"/>
      <c r="AC246" s="192"/>
      <c r="AD246" s="192"/>
      <c r="AE246" s="192"/>
      <c r="AF246" s="192"/>
      <c r="AG246" s="192"/>
      <c r="AH246" s="192"/>
      <c r="AI246" s="192"/>
      <c r="AJ246" s="192"/>
      <c r="AK246" s="192"/>
      <c r="AL246" s="192"/>
      <c r="AM246" s="192"/>
      <c r="AN246" s="192"/>
      <c r="AO246" s="192"/>
      <c r="AP246" s="192"/>
      <c r="AQ246" s="192"/>
      <c r="AR246" s="192"/>
      <c r="AS246" s="192"/>
      <c r="AT246" s="192"/>
      <c r="AU246" s="192"/>
      <c r="AV246" s="192"/>
      <c r="AW246" s="192"/>
      <c r="AX246" s="192"/>
      <c r="AY246" s="192"/>
      <c r="AZ246" s="192"/>
      <c r="BA246" s="67">
        <v>234</v>
      </c>
      <c r="BB246" s="68">
        <f t="shared" si="66"/>
        <v>0</v>
      </c>
      <c r="BC246" s="192">
        <f t="shared" si="67"/>
        <v>0</v>
      </c>
      <c r="BD246" s="70">
        <f t="shared" si="68"/>
        <v>0</v>
      </c>
      <c r="BE246" s="70">
        <f t="shared" si="68"/>
        <v>0</v>
      </c>
      <c r="BF246" s="840">
        <v>280</v>
      </c>
      <c r="BG246" s="192">
        <f t="shared" si="62"/>
        <v>0</v>
      </c>
      <c r="BH246" s="192">
        <f t="shared" si="63"/>
        <v>0</v>
      </c>
      <c r="BI246" s="192" t="b">
        <v>0</v>
      </c>
      <c r="BJ246" s="840">
        <v>310</v>
      </c>
      <c r="BK246" s="192">
        <f t="shared" si="64"/>
        <v>0</v>
      </c>
      <c r="BL246" s="192">
        <f t="shared" si="65"/>
        <v>0</v>
      </c>
      <c r="BM246" s="192" t="b">
        <v>0</v>
      </c>
      <c r="BN246" s="192"/>
      <c r="BO246" s="192"/>
      <c r="BP246" s="192"/>
      <c r="BQ246" s="192"/>
      <c r="BR246" s="192"/>
      <c r="BS246" s="192"/>
      <c r="BT246" s="192"/>
      <c r="BU246" s="192"/>
      <c r="BV246" s="192"/>
      <c r="BW246" s="192"/>
      <c r="BX246" s="192"/>
      <c r="BY246" s="192"/>
      <c r="BZ246" s="192"/>
      <c r="CA246" s="192"/>
      <c r="CB246" s="192"/>
      <c r="CC246" s="192"/>
      <c r="CD246" s="192"/>
      <c r="CE246" s="192"/>
      <c r="CF246" s="192"/>
      <c r="CG246" s="192"/>
      <c r="CH246" s="192"/>
      <c r="CI246" s="796"/>
      <c r="CJ246" s="796"/>
      <c r="CK246" s="192"/>
      <c r="CL246" s="192"/>
      <c r="CM246" s="192"/>
      <c r="CN246" s="192"/>
      <c r="CO246" s="192"/>
      <c r="CP246" s="192"/>
      <c r="CQ246" s="192"/>
      <c r="CR246" s="192"/>
      <c r="CS246" s="192"/>
      <c r="CT246" s="192"/>
      <c r="CU246" s="192"/>
      <c r="CV246" s="192"/>
      <c r="CW246" s="192"/>
      <c r="CX246" s="192"/>
      <c r="CY246" s="192"/>
    </row>
    <row r="247" spans="1:103" ht="24.95" customHeight="1">
      <c r="A247" s="866">
        <v>281</v>
      </c>
      <c r="B247" s="2075"/>
      <c r="C247" s="2075"/>
      <c r="D247" s="2075"/>
      <c r="E247" s="2075"/>
      <c r="F247" s="2075"/>
      <c r="G247" s="2075"/>
      <c r="H247" s="872"/>
      <c r="I247" s="872"/>
      <c r="J247" s="872"/>
      <c r="K247" s="2076"/>
      <c r="L247" s="2076"/>
      <c r="M247" s="2076"/>
      <c r="N247" s="866">
        <v>311</v>
      </c>
      <c r="O247" s="2075"/>
      <c r="P247" s="2075"/>
      <c r="Q247" s="2075"/>
      <c r="R247" s="2075"/>
      <c r="S247" s="2075"/>
      <c r="T247" s="2075"/>
      <c r="U247" s="872"/>
      <c r="V247" s="872"/>
      <c r="W247" s="872"/>
      <c r="X247" s="2076"/>
      <c r="Y247" s="2076"/>
      <c r="Z247" s="2076"/>
      <c r="AA247" s="192"/>
      <c r="AB247" s="192"/>
      <c r="AC247" s="192"/>
      <c r="AD247" s="192"/>
      <c r="AE247" s="192"/>
      <c r="AF247" s="192"/>
      <c r="AG247" s="192"/>
      <c r="AH247" s="192"/>
      <c r="AI247" s="192"/>
      <c r="AJ247" s="192"/>
      <c r="AK247" s="192"/>
      <c r="AL247" s="192"/>
      <c r="AM247" s="192"/>
      <c r="AN247" s="192"/>
      <c r="AO247" s="192"/>
      <c r="AP247" s="192"/>
      <c r="AQ247" s="192"/>
      <c r="AR247" s="192"/>
      <c r="AS247" s="192"/>
      <c r="AT247" s="192"/>
      <c r="AU247" s="192"/>
      <c r="AV247" s="192"/>
      <c r="AW247" s="192"/>
      <c r="AX247" s="192"/>
      <c r="AY247" s="192"/>
      <c r="AZ247" s="192"/>
      <c r="BA247" s="67">
        <v>235</v>
      </c>
      <c r="BB247" s="68">
        <f t="shared" si="66"/>
        <v>0</v>
      </c>
      <c r="BC247" s="192">
        <f t="shared" si="67"/>
        <v>0</v>
      </c>
      <c r="BD247" s="70">
        <f t="shared" si="68"/>
        <v>0</v>
      </c>
      <c r="BE247" s="70">
        <f t="shared" si="68"/>
        <v>0</v>
      </c>
      <c r="BF247" s="840">
        <v>281</v>
      </c>
      <c r="BG247" s="192">
        <f t="shared" si="62"/>
        <v>0</v>
      </c>
      <c r="BH247" s="192">
        <f t="shared" si="63"/>
        <v>0</v>
      </c>
      <c r="BI247" s="192" t="b">
        <v>0</v>
      </c>
      <c r="BJ247" s="840">
        <v>311</v>
      </c>
      <c r="BK247" s="192">
        <f t="shared" si="64"/>
        <v>0</v>
      </c>
      <c r="BL247" s="192">
        <f t="shared" si="65"/>
        <v>0</v>
      </c>
      <c r="BM247" s="192" t="b">
        <v>0</v>
      </c>
      <c r="BN247" s="192"/>
      <c r="BO247" s="192"/>
      <c r="BP247" s="192"/>
      <c r="BQ247" s="192"/>
      <c r="BR247" s="192"/>
      <c r="BS247" s="192"/>
      <c r="BT247" s="192"/>
      <c r="BU247" s="192"/>
      <c r="BV247" s="192"/>
      <c r="BW247" s="192"/>
      <c r="BX247" s="192"/>
      <c r="BY247" s="192"/>
      <c r="BZ247" s="192"/>
      <c r="CA247" s="192"/>
      <c r="CB247" s="192"/>
      <c r="CC247" s="192"/>
      <c r="CD247" s="192"/>
      <c r="CE247" s="192"/>
      <c r="CF247" s="192"/>
      <c r="CG247" s="192"/>
      <c r="CH247" s="192"/>
      <c r="CI247" s="796"/>
      <c r="CJ247" s="796"/>
      <c r="CK247" s="192"/>
      <c r="CL247" s="192"/>
      <c r="CM247" s="192"/>
      <c r="CN247" s="192"/>
      <c r="CO247" s="192"/>
      <c r="CP247" s="192"/>
      <c r="CQ247" s="192"/>
      <c r="CR247" s="192"/>
      <c r="CS247" s="192"/>
      <c r="CT247" s="192"/>
      <c r="CU247" s="192"/>
      <c r="CV247" s="192"/>
      <c r="CW247" s="192"/>
      <c r="CX247" s="192"/>
      <c r="CY247" s="192"/>
    </row>
    <row r="248" spans="1:103" ht="24.95" customHeight="1">
      <c r="A248" s="866">
        <v>282</v>
      </c>
      <c r="B248" s="2075"/>
      <c r="C248" s="2075"/>
      <c r="D248" s="2075"/>
      <c r="E248" s="2075"/>
      <c r="F248" s="2075"/>
      <c r="G248" s="2075"/>
      <c r="H248" s="872"/>
      <c r="I248" s="872"/>
      <c r="J248" s="872"/>
      <c r="K248" s="2076"/>
      <c r="L248" s="2076"/>
      <c r="M248" s="2076"/>
      <c r="N248" s="866">
        <v>312</v>
      </c>
      <c r="O248" s="2075"/>
      <c r="P248" s="2075"/>
      <c r="Q248" s="2075"/>
      <c r="R248" s="2075"/>
      <c r="S248" s="2075"/>
      <c r="T248" s="2075"/>
      <c r="U248" s="872"/>
      <c r="V248" s="872"/>
      <c r="W248" s="872"/>
      <c r="X248" s="2076"/>
      <c r="Y248" s="2076"/>
      <c r="Z248" s="2076"/>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2"/>
      <c r="AY248" s="192"/>
      <c r="AZ248" s="192"/>
      <c r="BA248" s="67">
        <v>236</v>
      </c>
      <c r="BB248" s="68">
        <f t="shared" si="66"/>
        <v>0</v>
      </c>
      <c r="BC248" s="192">
        <f t="shared" si="67"/>
        <v>0</v>
      </c>
      <c r="BD248" s="70">
        <f t="shared" si="68"/>
        <v>0</v>
      </c>
      <c r="BE248" s="70">
        <f t="shared" si="68"/>
        <v>0</v>
      </c>
      <c r="BF248" s="840">
        <v>282</v>
      </c>
      <c r="BG248" s="192">
        <f t="shared" si="62"/>
        <v>0</v>
      </c>
      <c r="BH248" s="192">
        <f t="shared" si="63"/>
        <v>0</v>
      </c>
      <c r="BI248" s="192" t="b">
        <v>0</v>
      </c>
      <c r="BJ248" s="840">
        <v>312</v>
      </c>
      <c r="BK248" s="192">
        <f t="shared" si="64"/>
        <v>0</v>
      </c>
      <c r="BL248" s="192">
        <f t="shared" si="65"/>
        <v>0</v>
      </c>
      <c r="BM248" s="192" t="b">
        <v>0</v>
      </c>
      <c r="BN248" s="192"/>
      <c r="BO248" s="192"/>
      <c r="BP248" s="192"/>
      <c r="BQ248" s="192"/>
      <c r="BR248" s="192"/>
      <c r="BS248" s="192"/>
      <c r="BT248" s="192"/>
      <c r="BU248" s="192"/>
      <c r="BV248" s="192"/>
      <c r="BW248" s="192"/>
      <c r="BX248" s="192"/>
      <c r="BY248" s="192"/>
      <c r="BZ248" s="192"/>
      <c r="CA248" s="192"/>
      <c r="CB248" s="192"/>
      <c r="CC248" s="192"/>
      <c r="CD248" s="192"/>
      <c r="CE248" s="192"/>
      <c r="CF248" s="192"/>
      <c r="CG248" s="192"/>
      <c r="CH248" s="192"/>
      <c r="CI248" s="796"/>
      <c r="CJ248" s="796"/>
      <c r="CK248" s="192"/>
      <c r="CL248" s="192"/>
      <c r="CM248" s="192"/>
      <c r="CN248" s="192"/>
      <c r="CO248" s="192"/>
      <c r="CP248" s="192"/>
      <c r="CQ248" s="192"/>
      <c r="CR248" s="192"/>
      <c r="CS248" s="192"/>
      <c r="CT248" s="192"/>
      <c r="CU248" s="192"/>
      <c r="CV248" s="192"/>
      <c r="CW248" s="192"/>
      <c r="CX248" s="192"/>
      <c r="CY248" s="192"/>
    </row>
    <row r="249" spans="1:103" ht="24.95" customHeight="1">
      <c r="A249" s="866">
        <v>283</v>
      </c>
      <c r="B249" s="2075"/>
      <c r="C249" s="2075"/>
      <c r="D249" s="2075"/>
      <c r="E249" s="2075"/>
      <c r="F249" s="2075"/>
      <c r="G249" s="2075"/>
      <c r="H249" s="872"/>
      <c r="I249" s="872"/>
      <c r="J249" s="872"/>
      <c r="K249" s="2076"/>
      <c r="L249" s="2076"/>
      <c r="M249" s="2076"/>
      <c r="N249" s="866">
        <v>313</v>
      </c>
      <c r="O249" s="2075"/>
      <c r="P249" s="2075"/>
      <c r="Q249" s="2075"/>
      <c r="R249" s="2075"/>
      <c r="S249" s="2075"/>
      <c r="T249" s="2075"/>
      <c r="U249" s="872"/>
      <c r="V249" s="872"/>
      <c r="W249" s="872"/>
      <c r="X249" s="2076"/>
      <c r="Y249" s="2076"/>
      <c r="Z249" s="2076"/>
      <c r="AA249" s="192"/>
      <c r="AB249" s="192"/>
      <c r="AC249" s="192"/>
      <c r="AD249" s="192"/>
      <c r="AE249" s="192"/>
      <c r="AF249" s="192"/>
      <c r="AG249" s="192"/>
      <c r="AH249" s="192"/>
      <c r="AI249" s="192"/>
      <c r="AJ249" s="192"/>
      <c r="AK249" s="192"/>
      <c r="AL249" s="192"/>
      <c r="AM249" s="192"/>
      <c r="AN249" s="192"/>
      <c r="AO249" s="192"/>
      <c r="AP249" s="192"/>
      <c r="AQ249" s="192"/>
      <c r="AR249" s="192"/>
      <c r="AS249" s="192"/>
      <c r="AT249" s="192"/>
      <c r="AU249" s="192"/>
      <c r="AV249" s="192"/>
      <c r="AW249" s="192"/>
      <c r="AX249" s="192"/>
      <c r="AY249" s="192"/>
      <c r="AZ249" s="192"/>
      <c r="BA249" s="67">
        <v>237</v>
      </c>
      <c r="BB249" s="68">
        <f t="shared" si="66"/>
        <v>0</v>
      </c>
      <c r="BC249" s="192">
        <f t="shared" si="67"/>
        <v>0</v>
      </c>
      <c r="BD249" s="70">
        <f t="shared" si="68"/>
        <v>0</v>
      </c>
      <c r="BE249" s="70">
        <f t="shared" si="68"/>
        <v>0</v>
      </c>
      <c r="BF249" s="840">
        <v>283</v>
      </c>
      <c r="BG249" s="192">
        <f t="shared" si="62"/>
        <v>0</v>
      </c>
      <c r="BH249" s="192">
        <f t="shared" si="63"/>
        <v>0</v>
      </c>
      <c r="BI249" s="192" t="b">
        <v>0</v>
      </c>
      <c r="BJ249" s="840">
        <v>313</v>
      </c>
      <c r="BK249" s="192">
        <f t="shared" si="64"/>
        <v>0</v>
      </c>
      <c r="BL249" s="192">
        <f t="shared" si="65"/>
        <v>0</v>
      </c>
      <c r="BM249" s="192" t="b">
        <v>0</v>
      </c>
      <c r="BN249" s="192"/>
      <c r="BO249" s="192"/>
      <c r="BP249" s="192"/>
      <c r="BQ249" s="192"/>
      <c r="BR249" s="192"/>
      <c r="BS249" s="192"/>
      <c r="BT249" s="192"/>
      <c r="BU249" s="192"/>
      <c r="BV249" s="192"/>
      <c r="BW249" s="192"/>
      <c r="BX249" s="192"/>
      <c r="BY249" s="192"/>
      <c r="BZ249" s="192"/>
      <c r="CA249" s="192"/>
      <c r="CB249" s="192"/>
      <c r="CC249" s="192"/>
      <c r="CD249" s="192"/>
      <c r="CE249" s="192"/>
      <c r="CF249" s="192"/>
      <c r="CG249" s="192"/>
      <c r="CH249" s="192"/>
      <c r="CI249" s="796"/>
      <c r="CJ249" s="796"/>
      <c r="CK249" s="192"/>
      <c r="CL249" s="192"/>
      <c r="CM249" s="192"/>
      <c r="CN249" s="192"/>
      <c r="CO249" s="192"/>
      <c r="CP249" s="192"/>
      <c r="CQ249" s="192"/>
      <c r="CR249" s="192"/>
      <c r="CS249" s="192"/>
      <c r="CT249" s="192"/>
      <c r="CU249" s="192"/>
      <c r="CV249" s="192"/>
      <c r="CW249" s="192"/>
      <c r="CX249" s="192"/>
      <c r="CY249" s="192"/>
    </row>
    <row r="250" spans="1:103" ht="24.95" customHeight="1">
      <c r="A250" s="866">
        <v>284</v>
      </c>
      <c r="B250" s="2075"/>
      <c r="C250" s="2075"/>
      <c r="D250" s="2075"/>
      <c r="E250" s="2075"/>
      <c r="F250" s="2075"/>
      <c r="G250" s="2075"/>
      <c r="H250" s="872"/>
      <c r="I250" s="872"/>
      <c r="J250" s="872"/>
      <c r="K250" s="2076"/>
      <c r="L250" s="2076"/>
      <c r="M250" s="2076"/>
      <c r="N250" s="866">
        <v>314</v>
      </c>
      <c r="O250" s="2075"/>
      <c r="P250" s="2075"/>
      <c r="Q250" s="2075"/>
      <c r="R250" s="2075"/>
      <c r="S250" s="2075"/>
      <c r="T250" s="2075"/>
      <c r="U250" s="872"/>
      <c r="V250" s="872"/>
      <c r="W250" s="872"/>
      <c r="X250" s="2076"/>
      <c r="Y250" s="2076"/>
      <c r="Z250" s="2076"/>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2"/>
      <c r="AY250" s="192"/>
      <c r="AZ250" s="192"/>
      <c r="BA250" s="67">
        <v>238</v>
      </c>
      <c r="BB250" s="68">
        <f t="shared" si="66"/>
        <v>0</v>
      </c>
      <c r="BC250" s="192">
        <f t="shared" si="67"/>
        <v>0</v>
      </c>
      <c r="BD250" s="70">
        <f t="shared" si="68"/>
        <v>0</v>
      </c>
      <c r="BE250" s="70">
        <f t="shared" si="68"/>
        <v>0</v>
      </c>
      <c r="BF250" s="840">
        <v>284</v>
      </c>
      <c r="BG250" s="192">
        <f t="shared" si="62"/>
        <v>0</v>
      </c>
      <c r="BH250" s="192">
        <f t="shared" si="63"/>
        <v>0</v>
      </c>
      <c r="BI250" s="192" t="b">
        <v>0</v>
      </c>
      <c r="BJ250" s="840">
        <v>314</v>
      </c>
      <c r="BK250" s="192">
        <f t="shared" si="64"/>
        <v>0</v>
      </c>
      <c r="BL250" s="192">
        <f t="shared" si="65"/>
        <v>0</v>
      </c>
      <c r="BM250" s="192" t="b">
        <v>0</v>
      </c>
      <c r="BN250" s="192"/>
      <c r="BO250" s="192"/>
      <c r="BP250" s="192"/>
      <c r="BQ250" s="192"/>
      <c r="BR250" s="192"/>
      <c r="BS250" s="192"/>
      <c r="BT250" s="192"/>
      <c r="BU250" s="192"/>
      <c r="BV250" s="192"/>
      <c r="BW250" s="192"/>
      <c r="BX250" s="192"/>
      <c r="BY250" s="192"/>
      <c r="BZ250" s="192"/>
      <c r="CA250" s="192"/>
      <c r="CB250" s="192"/>
      <c r="CC250" s="192"/>
      <c r="CD250" s="192"/>
      <c r="CE250" s="192"/>
      <c r="CF250" s="192"/>
      <c r="CG250" s="192"/>
      <c r="CH250" s="192"/>
      <c r="CI250" s="796"/>
      <c r="CJ250" s="796"/>
      <c r="CK250" s="192"/>
      <c r="CL250" s="192"/>
      <c r="CM250" s="192"/>
      <c r="CN250" s="192"/>
      <c r="CO250" s="192"/>
      <c r="CP250" s="192"/>
      <c r="CQ250" s="192"/>
      <c r="CR250" s="192"/>
      <c r="CS250" s="192"/>
      <c r="CT250" s="192"/>
      <c r="CU250" s="192"/>
      <c r="CV250" s="192"/>
      <c r="CW250" s="192"/>
      <c r="CX250" s="192"/>
      <c r="CY250" s="192"/>
    </row>
    <row r="251" spans="1:103" ht="24.95" customHeight="1">
      <c r="A251" s="866">
        <v>285</v>
      </c>
      <c r="B251" s="2075"/>
      <c r="C251" s="2075"/>
      <c r="D251" s="2075"/>
      <c r="E251" s="2075"/>
      <c r="F251" s="2075"/>
      <c r="G251" s="2075"/>
      <c r="H251" s="872"/>
      <c r="I251" s="872"/>
      <c r="J251" s="872"/>
      <c r="K251" s="2076"/>
      <c r="L251" s="2076"/>
      <c r="M251" s="2076"/>
      <c r="N251" s="866">
        <v>315</v>
      </c>
      <c r="O251" s="2075"/>
      <c r="P251" s="2075"/>
      <c r="Q251" s="2075"/>
      <c r="R251" s="2075"/>
      <c r="S251" s="2075"/>
      <c r="T251" s="2075"/>
      <c r="U251" s="872"/>
      <c r="V251" s="872"/>
      <c r="W251" s="872"/>
      <c r="X251" s="2076"/>
      <c r="Y251" s="2076"/>
      <c r="Z251" s="2076"/>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192"/>
      <c r="AW251" s="192"/>
      <c r="AX251" s="192"/>
      <c r="AY251" s="192"/>
      <c r="AZ251" s="192"/>
      <c r="BA251" s="67">
        <v>239</v>
      </c>
      <c r="BB251" s="68">
        <f t="shared" si="66"/>
        <v>0</v>
      </c>
      <c r="BC251" s="192">
        <f t="shared" si="67"/>
        <v>0</v>
      </c>
      <c r="BD251" s="70">
        <f t="shared" si="68"/>
        <v>0</v>
      </c>
      <c r="BE251" s="70">
        <f t="shared" si="68"/>
        <v>0</v>
      </c>
      <c r="BF251" s="840">
        <v>285</v>
      </c>
      <c r="BG251" s="192">
        <f t="shared" si="62"/>
        <v>0</v>
      </c>
      <c r="BH251" s="192">
        <f t="shared" si="63"/>
        <v>0</v>
      </c>
      <c r="BI251" s="192" t="b">
        <v>0</v>
      </c>
      <c r="BJ251" s="840">
        <v>315</v>
      </c>
      <c r="BK251" s="192">
        <f t="shared" si="64"/>
        <v>0</v>
      </c>
      <c r="BL251" s="192">
        <f t="shared" si="65"/>
        <v>0</v>
      </c>
      <c r="BM251" s="192" t="b">
        <v>0</v>
      </c>
      <c r="BN251" s="192"/>
      <c r="BO251" s="192"/>
      <c r="BP251" s="192"/>
      <c r="BQ251" s="192"/>
      <c r="BR251" s="192"/>
      <c r="BS251" s="192"/>
      <c r="BT251" s="192"/>
      <c r="BU251" s="192"/>
      <c r="BV251" s="192"/>
      <c r="BW251" s="192"/>
      <c r="BX251" s="192"/>
      <c r="BY251" s="192"/>
      <c r="BZ251" s="192"/>
      <c r="CA251" s="192"/>
      <c r="CB251" s="192"/>
      <c r="CC251" s="192"/>
      <c r="CD251" s="192"/>
      <c r="CE251" s="192"/>
      <c r="CF251" s="192"/>
      <c r="CG251" s="192"/>
      <c r="CH251" s="192"/>
      <c r="CI251" s="796"/>
      <c r="CJ251" s="796"/>
      <c r="CK251" s="192"/>
      <c r="CL251" s="192"/>
      <c r="CM251" s="192"/>
      <c r="CN251" s="192"/>
      <c r="CO251" s="192"/>
      <c r="CP251" s="192"/>
      <c r="CQ251" s="192"/>
      <c r="CR251" s="192"/>
      <c r="CS251" s="192"/>
      <c r="CT251" s="192"/>
      <c r="CU251" s="192"/>
      <c r="CV251" s="192"/>
      <c r="CW251" s="192"/>
      <c r="CX251" s="192"/>
      <c r="CY251" s="192"/>
    </row>
    <row r="252" spans="1:103" ht="24.95" customHeight="1">
      <c r="A252" s="866">
        <v>286</v>
      </c>
      <c r="B252" s="2075"/>
      <c r="C252" s="2075"/>
      <c r="D252" s="2075"/>
      <c r="E252" s="2075"/>
      <c r="F252" s="2075"/>
      <c r="G252" s="2075"/>
      <c r="H252" s="872"/>
      <c r="I252" s="872"/>
      <c r="J252" s="872"/>
      <c r="K252" s="2076"/>
      <c r="L252" s="2076"/>
      <c r="M252" s="2076"/>
      <c r="N252" s="866">
        <v>316</v>
      </c>
      <c r="O252" s="2075"/>
      <c r="P252" s="2075"/>
      <c r="Q252" s="2075"/>
      <c r="R252" s="2075"/>
      <c r="S252" s="2075"/>
      <c r="T252" s="2075"/>
      <c r="U252" s="872"/>
      <c r="V252" s="872"/>
      <c r="W252" s="872"/>
      <c r="X252" s="2076"/>
      <c r="Y252" s="2076"/>
      <c r="Z252" s="2076"/>
      <c r="AA252" s="192"/>
      <c r="AB252" s="192"/>
      <c r="AC252" s="192"/>
      <c r="AD252" s="192"/>
      <c r="AE252" s="192"/>
      <c r="AF252" s="192"/>
      <c r="AG252" s="192"/>
      <c r="AH252" s="192"/>
      <c r="AI252" s="192"/>
      <c r="AJ252" s="192"/>
      <c r="AK252" s="192"/>
      <c r="AL252" s="192"/>
      <c r="AM252" s="192"/>
      <c r="AN252" s="192"/>
      <c r="AO252" s="192"/>
      <c r="AP252" s="192"/>
      <c r="AQ252" s="192"/>
      <c r="AR252" s="192"/>
      <c r="AS252" s="192"/>
      <c r="AT252" s="192"/>
      <c r="AU252" s="192"/>
      <c r="AV252" s="192"/>
      <c r="AW252" s="192"/>
      <c r="AX252" s="192"/>
      <c r="AY252" s="192"/>
      <c r="AZ252" s="192"/>
      <c r="BA252" s="67">
        <v>240</v>
      </c>
      <c r="BB252" s="68">
        <f t="shared" si="66"/>
        <v>0</v>
      </c>
      <c r="BC252" s="192">
        <f t="shared" si="67"/>
        <v>0</v>
      </c>
      <c r="BD252" s="70">
        <f t="shared" si="68"/>
        <v>0</v>
      </c>
      <c r="BE252" s="70">
        <f t="shared" si="68"/>
        <v>0</v>
      </c>
      <c r="BF252" s="840">
        <v>286</v>
      </c>
      <c r="BG252" s="192">
        <f t="shared" si="62"/>
        <v>0</v>
      </c>
      <c r="BH252" s="192">
        <f t="shared" si="63"/>
        <v>0</v>
      </c>
      <c r="BI252" s="192" t="b">
        <v>0</v>
      </c>
      <c r="BJ252" s="840">
        <v>316</v>
      </c>
      <c r="BK252" s="192">
        <f t="shared" si="64"/>
        <v>0</v>
      </c>
      <c r="BL252" s="192">
        <f t="shared" si="65"/>
        <v>0</v>
      </c>
      <c r="BM252" s="192" t="b">
        <v>0</v>
      </c>
      <c r="BN252" s="192"/>
      <c r="BO252" s="192"/>
      <c r="BP252" s="192"/>
      <c r="BQ252" s="192"/>
      <c r="BR252" s="192"/>
      <c r="BS252" s="192"/>
      <c r="BT252" s="192"/>
      <c r="BU252" s="192"/>
      <c r="BV252" s="192"/>
      <c r="BW252" s="192"/>
      <c r="BX252" s="192"/>
      <c r="BY252" s="192"/>
      <c r="BZ252" s="192"/>
      <c r="CA252" s="192"/>
      <c r="CB252" s="192"/>
      <c r="CC252" s="192"/>
      <c r="CD252" s="192"/>
      <c r="CE252" s="192"/>
      <c r="CF252" s="192"/>
      <c r="CG252" s="192"/>
      <c r="CH252" s="192"/>
      <c r="CI252" s="796"/>
      <c r="CJ252" s="796"/>
      <c r="CK252" s="192"/>
      <c r="CL252" s="192"/>
      <c r="CM252" s="192"/>
      <c r="CN252" s="192"/>
      <c r="CO252" s="192"/>
      <c r="CP252" s="192"/>
      <c r="CQ252" s="192"/>
      <c r="CR252" s="192"/>
      <c r="CS252" s="192"/>
      <c r="CT252" s="192"/>
      <c r="CU252" s="192"/>
      <c r="CV252" s="192"/>
      <c r="CW252" s="192"/>
      <c r="CX252" s="192"/>
      <c r="CY252" s="192"/>
    </row>
    <row r="253" spans="1:103" ht="24.95" customHeight="1">
      <c r="A253" s="866">
        <v>287</v>
      </c>
      <c r="B253" s="2075"/>
      <c r="C253" s="2075"/>
      <c r="D253" s="2075"/>
      <c r="E253" s="2075"/>
      <c r="F253" s="2075"/>
      <c r="G253" s="2075"/>
      <c r="H253" s="872"/>
      <c r="I253" s="872"/>
      <c r="J253" s="872"/>
      <c r="K253" s="2076"/>
      <c r="L253" s="2076"/>
      <c r="M253" s="2076"/>
      <c r="N253" s="866">
        <v>317</v>
      </c>
      <c r="O253" s="2075"/>
      <c r="P253" s="2075"/>
      <c r="Q253" s="2075"/>
      <c r="R253" s="2075"/>
      <c r="S253" s="2075"/>
      <c r="T253" s="2075"/>
      <c r="U253" s="872"/>
      <c r="V253" s="872"/>
      <c r="W253" s="872"/>
      <c r="X253" s="2076"/>
      <c r="Y253" s="2076"/>
      <c r="Z253" s="2076"/>
      <c r="AA253" s="192"/>
      <c r="AB253" s="192"/>
      <c r="AC253" s="192"/>
      <c r="AD253" s="192"/>
      <c r="AE253" s="192"/>
      <c r="AF253" s="192"/>
      <c r="AG253" s="192"/>
      <c r="AH253" s="192"/>
      <c r="AI253" s="192"/>
      <c r="AJ253" s="192"/>
      <c r="AK253" s="192"/>
      <c r="AL253" s="192"/>
      <c r="AM253" s="192"/>
      <c r="AN253" s="192"/>
      <c r="AO253" s="192"/>
      <c r="AP253" s="192"/>
      <c r="AQ253" s="192"/>
      <c r="AR253" s="192"/>
      <c r="AS253" s="192"/>
      <c r="AT253" s="192"/>
      <c r="AU253" s="192"/>
      <c r="AV253" s="192"/>
      <c r="AW253" s="192"/>
      <c r="AX253" s="192"/>
      <c r="AY253" s="192"/>
      <c r="AZ253" s="192"/>
      <c r="BA253" s="67">
        <v>241</v>
      </c>
      <c r="BB253" s="68">
        <f t="shared" si="66"/>
        <v>0</v>
      </c>
      <c r="BC253" s="192">
        <f t="shared" si="67"/>
        <v>0</v>
      </c>
      <c r="BD253" s="70">
        <f t="shared" si="68"/>
        <v>0</v>
      </c>
      <c r="BE253" s="70">
        <f t="shared" si="68"/>
        <v>0</v>
      </c>
      <c r="BF253" s="840">
        <v>287</v>
      </c>
      <c r="BG253" s="192">
        <f t="shared" si="62"/>
        <v>0</v>
      </c>
      <c r="BH253" s="192">
        <f t="shared" si="63"/>
        <v>0</v>
      </c>
      <c r="BI253" s="192" t="b">
        <v>0</v>
      </c>
      <c r="BJ253" s="840">
        <v>317</v>
      </c>
      <c r="BK253" s="192">
        <f t="shared" si="64"/>
        <v>0</v>
      </c>
      <c r="BL253" s="192">
        <f t="shared" si="65"/>
        <v>0</v>
      </c>
      <c r="BM253" s="192" t="b">
        <v>0</v>
      </c>
      <c r="BN253" s="192"/>
      <c r="BO253" s="192"/>
      <c r="BP253" s="192"/>
      <c r="BQ253" s="192"/>
      <c r="BR253" s="192"/>
      <c r="BS253" s="192"/>
      <c r="BT253" s="192"/>
      <c r="BU253" s="192"/>
      <c r="BV253" s="192"/>
      <c r="BW253" s="192"/>
      <c r="BX253" s="192"/>
      <c r="BY253" s="192"/>
      <c r="BZ253" s="192"/>
      <c r="CA253" s="192"/>
      <c r="CB253" s="192"/>
      <c r="CC253" s="192"/>
      <c r="CD253" s="192"/>
      <c r="CE253" s="192"/>
      <c r="CF253" s="192"/>
      <c r="CG253" s="192"/>
      <c r="CH253" s="192"/>
      <c r="CI253" s="796"/>
      <c r="CJ253" s="796"/>
      <c r="CK253" s="192"/>
      <c r="CL253" s="192"/>
      <c r="CM253" s="192"/>
      <c r="CN253" s="192"/>
      <c r="CO253" s="192"/>
      <c r="CP253" s="192"/>
      <c r="CQ253" s="192"/>
      <c r="CR253" s="192"/>
      <c r="CS253" s="192"/>
      <c r="CT253" s="192"/>
      <c r="CU253" s="192"/>
      <c r="CV253" s="192"/>
      <c r="CW253" s="192"/>
      <c r="CX253" s="192"/>
      <c r="CY253" s="192"/>
    </row>
    <row r="254" spans="1:103" ht="24.95" customHeight="1">
      <c r="A254" s="866">
        <v>288</v>
      </c>
      <c r="B254" s="2075"/>
      <c r="C254" s="2075"/>
      <c r="D254" s="2075"/>
      <c r="E254" s="2075"/>
      <c r="F254" s="2075"/>
      <c r="G254" s="2075"/>
      <c r="H254" s="872"/>
      <c r="I254" s="872"/>
      <c r="J254" s="872"/>
      <c r="K254" s="2076"/>
      <c r="L254" s="2076"/>
      <c r="M254" s="2076"/>
      <c r="N254" s="866">
        <v>318</v>
      </c>
      <c r="O254" s="2075"/>
      <c r="P254" s="2075"/>
      <c r="Q254" s="2075"/>
      <c r="R254" s="2075"/>
      <c r="S254" s="2075"/>
      <c r="T254" s="2075"/>
      <c r="U254" s="872"/>
      <c r="V254" s="872"/>
      <c r="W254" s="872"/>
      <c r="X254" s="2076"/>
      <c r="Y254" s="2076"/>
      <c r="Z254" s="2076"/>
      <c r="AA254" s="192"/>
      <c r="AB254" s="192"/>
      <c r="AC254" s="192"/>
      <c r="AD254" s="192"/>
      <c r="AE254" s="192"/>
      <c r="AF254" s="192"/>
      <c r="AG254" s="192"/>
      <c r="AH254" s="192"/>
      <c r="AI254" s="192"/>
      <c r="AJ254" s="192"/>
      <c r="AK254" s="192"/>
      <c r="AL254" s="192"/>
      <c r="AM254" s="192"/>
      <c r="AN254" s="192"/>
      <c r="AO254" s="192"/>
      <c r="AP254" s="192"/>
      <c r="AQ254" s="192"/>
      <c r="AR254" s="192"/>
      <c r="AS254" s="192"/>
      <c r="AT254" s="192"/>
      <c r="AU254" s="192"/>
      <c r="AV254" s="192"/>
      <c r="AW254" s="192"/>
      <c r="AX254" s="192"/>
      <c r="AY254" s="192"/>
      <c r="AZ254" s="192"/>
      <c r="BA254" s="67">
        <v>242</v>
      </c>
      <c r="BB254" s="68">
        <f t="shared" si="66"/>
        <v>0</v>
      </c>
      <c r="BC254" s="192">
        <f t="shared" si="67"/>
        <v>0</v>
      </c>
      <c r="BD254" s="70">
        <f t="shared" si="68"/>
        <v>0</v>
      </c>
      <c r="BE254" s="70">
        <f t="shared" si="68"/>
        <v>0</v>
      </c>
      <c r="BF254" s="840">
        <v>288</v>
      </c>
      <c r="BG254" s="192">
        <f t="shared" si="62"/>
        <v>0</v>
      </c>
      <c r="BH254" s="192">
        <f t="shared" si="63"/>
        <v>0</v>
      </c>
      <c r="BI254" s="192" t="b">
        <v>0</v>
      </c>
      <c r="BJ254" s="840">
        <v>318</v>
      </c>
      <c r="BK254" s="192">
        <f t="shared" si="64"/>
        <v>0</v>
      </c>
      <c r="BL254" s="192">
        <f t="shared" si="65"/>
        <v>0</v>
      </c>
      <c r="BM254" s="192" t="b">
        <v>0</v>
      </c>
      <c r="BN254" s="192"/>
      <c r="BO254" s="192"/>
      <c r="BP254" s="192"/>
      <c r="BQ254" s="192"/>
      <c r="BR254" s="192"/>
      <c r="BS254" s="192"/>
      <c r="BT254" s="192"/>
      <c r="BU254" s="192"/>
      <c r="BV254" s="192"/>
      <c r="BW254" s="192"/>
      <c r="BX254" s="192"/>
      <c r="BY254" s="192"/>
      <c r="BZ254" s="192"/>
      <c r="CA254" s="192"/>
      <c r="CB254" s="192"/>
      <c r="CC254" s="192"/>
      <c r="CD254" s="192"/>
      <c r="CE254" s="192"/>
      <c r="CF254" s="192"/>
      <c r="CG254" s="192"/>
      <c r="CH254" s="192"/>
      <c r="CI254" s="796"/>
      <c r="CJ254" s="796"/>
      <c r="CK254" s="192"/>
      <c r="CL254" s="192"/>
      <c r="CM254" s="192"/>
      <c r="CN254" s="192"/>
      <c r="CO254" s="192"/>
      <c r="CP254" s="192"/>
      <c r="CQ254" s="192"/>
      <c r="CR254" s="192"/>
      <c r="CS254" s="192"/>
      <c r="CT254" s="192"/>
      <c r="CU254" s="192"/>
      <c r="CV254" s="192"/>
      <c r="CW254" s="192"/>
      <c r="CX254" s="192"/>
      <c r="CY254" s="192"/>
    </row>
    <row r="255" spans="1:103" ht="24.95" customHeight="1">
      <c r="A255" s="866">
        <v>289</v>
      </c>
      <c r="B255" s="2075"/>
      <c r="C255" s="2075"/>
      <c r="D255" s="2075"/>
      <c r="E255" s="2075"/>
      <c r="F255" s="2075"/>
      <c r="G255" s="2075"/>
      <c r="H255" s="872"/>
      <c r="I255" s="872"/>
      <c r="J255" s="872"/>
      <c r="K255" s="2076"/>
      <c r="L255" s="2076"/>
      <c r="M255" s="2076"/>
      <c r="N255" s="866">
        <v>319</v>
      </c>
      <c r="O255" s="2075"/>
      <c r="P255" s="2075"/>
      <c r="Q255" s="2075"/>
      <c r="R255" s="2075"/>
      <c r="S255" s="2075"/>
      <c r="T255" s="2075"/>
      <c r="U255" s="872"/>
      <c r="V255" s="872"/>
      <c r="W255" s="872"/>
      <c r="X255" s="2076"/>
      <c r="Y255" s="2076"/>
      <c r="Z255" s="2076"/>
      <c r="AA255" s="192"/>
      <c r="AB255" s="192"/>
      <c r="AC255" s="192"/>
      <c r="AD255" s="192"/>
      <c r="AE255" s="192"/>
      <c r="AF255" s="192"/>
      <c r="AG255" s="192"/>
      <c r="AH255" s="192"/>
      <c r="AI255" s="192"/>
      <c r="AJ255" s="192"/>
      <c r="AK255" s="192"/>
      <c r="AL255" s="192"/>
      <c r="AM255" s="192"/>
      <c r="AN255" s="192"/>
      <c r="AO255" s="192"/>
      <c r="AP255" s="192"/>
      <c r="AQ255" s="192"/>
      <c r="AR255" s="192"/>
      <c r="AS255" s="192"/>
      <c r="AT255" s="192"/>
      <c r="AU255" s="192"/>
      <c r="AV255" s="192"/>
      <c r="AW255" s="192"/>
      <c r="AX255" s="192"/>
      <c r="AY255" s="192"/>
      <c r="AZ255" s="192"/>
      <c r="BA255" s="67">
        <v>243</v>
      </c>
      <c r="BB255" s="68">
        <f t="shared" si="66"/>
        <v>0</v>
      </c>
      <c r="BC255" s="192">
        <f t="shared" si="67"/>
        <v>0</v>
      </c>
      <c r="BD255" s="70">
        <f t="shared" si="68"/>
        <v>0</v>
      </c>
      <c r="BE255" s="70">
        <f t="shared" si="68"/>
        <v>0</v>
      </c>
      <c r="BF255" s="840">
        <v>289</v>
      </c>
      <c r="BG255" s="192">
        <f t="shared" si="62"/>
        <v>0</v>
      </c>
      <c r="BH255" s="192">
        <f t="shared" si="63"/>
        <v>0</v>
      </c>
      <c r="BI255" s="192" t="b">
        <v>0</v>
      </c>
      <c r="BJ255" s="840">
        <v>319</v>
      </c>
      <c r="BK255" s="192">
        <f t="shared" si="64"/>
        <v>0</v>
      </c>
      <c r="BL255" s="192">
        <f t="shared" si="65"/>
        <v>0</v>
      </c>
      <c r="BM255" s="192" t="b">
        <v>0</v>
      </c>
      <c r="BN255" s="192"/>
      <c r="BO255" s="192"/>
      <c r="BP255" s="192"/>
      <c r="BQ255" s="192"/>
      <c r="BR255" s="192"/>
      <c r="BS255" s="192"/>
      <c r="BT255" s="192"/>
      <c r="BU255" s="192"/>
      <c r="BV255" s="192"/>
      <c r="BW255" s="192"/>
      <c r="BX255" s="192"/>
      <c r="BY255" s="192"/>
      <c r="BZ255" s="192"/>
      <c r="CA255" s="192"/>
      <c r="CB255" s="192"/>
      <c r="CC255" s="192"/>
      <c r="CD255" s="192"/>
      <c r="CE255" s="192"/>
      <c r="CF255" s="192"/>
      <c r="CG255" s="192"/>
      <c r="CH255" s="192"/>
      <c r="CI255" s="796"/>
      <c r="CJ255" s="796"/>
      <c r="CK255" s="192"/>
      <c r="CL255" s="192"/>
      <c r="CM255" s="192"/>
      <c r="CN255" s="192"/>
      <c r="CO255" s="192"/>
      <c r="CP255" s="192"/>
      <c r="CQ255" s="192"/>
      <c r="CR255" s="192"/>
      <c r="CS255" s="192"/>
      <c r="CT255" s="192"/>
      <c r="CU255" s="192"/>
      <c r="CV255" s="192"/>
      <c r="CW255" s="192"/>
      <c r="CX255" s="192"/>
      <c r="CY255" s="192"/>
    </row>
    <row r="256" spans="1:103" ht="24.95" customHeight="1">
      <c r="A256" s="866">
        <v>290</v>
      </c>
      <c r="B256" s="2075"/>
      <c r="C256" s="2075"/>
      <c r="D256" s="2075"/>
      <c r="E256" s="2075"/>
      <c r="F256" s="2075"/>
      <c r="G256" s="2075"/>
      <c r="H256" s="872"/>
      <c r="I256" s="872"/>
      <c r="J256" s="872"/>
      <c r="K256" s="2076"/>
      <c r="L256" s="2076"/>
      <c r="M256" s="2076"/>
      <c r="N256" s="866">
        <v>320</v>
      </c>
      <c r="O256" s="2075"/>
      <c r="P256" s="2075"/>
      <c r="Q256" s="2075"/>
      <c r="R256" s="2075"/>
      <c r="S256" s="2075"/>
      <c r="T256" s="2075"/>
      <c r="U256" s="872"/>
      <c r="V256" s="872"/>
      <c r="W256" s="872"/>
      <c r="X256" s="2076"/>
      <c r="Y256" s="2076"/>
      <c r="Z256" s="2076"/>
      <c r="AA256" s="192"/>
      <c r="AB256" s="192"/>
      <c r="AC256" s="192"/>
      <c r="AD256" s="192"/>
      <c r="AE256" s="192"/>
      <c r="AF256" s="192"/>
      <c r="AG256" s="192"/>
      <c r="AH256" s="192"/>
      <c r="AI256" s="192"/>
      <c r="AJ256" s="192"/>
      <c r="AK256" s="192"/>
      <c r="AL256" s="192"/>
      <c r="AM256" s="192"/>
      <c r="AN256" s="192"/>
      <c r="AO256" s="192"/>
      <c r="AP256" s="192"/>
      <c r="AQ256" s="192"/>
      <c r="AR256" s="192"/>
      <c r="AS256" s="192"/>
      <c r="AT256" s="192"/>
      <c r="AU256" s="192"/>
      <c r="AV256" s="192"/>
      <c r="AW256" s="192"/>
      <c r="AX256" s="192"/>
      <c r="AY256" s="192"/>
      <c r="AZ256" s="192"/>
      <c r="BA256" s="67">
        <v>244</v>
      </c>
      <c r="BB256" s="68">
        <f t="shared" si="66"/>
        <v>0</v>
      </c>
      <c r="BC256" s="192">
        <f t="shared" si="67"/>
        <v>0</v>
      </c>
      <c r="BD256" s="70">
        <f t="shared" si="68"/>
        <v>0</v>
      </c>
      <c r="BE256" s="70">
        <f t="shared" si="68"/>
        <v>0</v>
      </c>
      <c r="BF256" s="840">
        <v>290</v>
      </c>
      <c r="BG256" s="192">
        <f t="shared" si="62"/>
        <v>0</v>
      </c>
      <c r="BH256" s="192">
        <f t="shared" si="63"/>
        <v>0</v>
      </c>
      <c r="BI256" s="192" t="b">
        <v>0</v>
      </c>
      <c r="BJ256" s="840">
        <v>320</v>
      </c>
      <c r="BK256" s="192">
        <f t="shared" si="64"/>
        <v>0</v>
      </c>
      <c r="BL256" s="192">
        <f t="shared" si="65"/>
        <v>0</v>
      </c>
      <c r="BM256" s="192" t="b">
        <v>0</v>
      </c>
      <c r="BN256" s="192"/>
      <c r="BO256" s="192"/>
      <c r="BP256" s="192"/>
      <c r="BQ256" s="192"/>
      <c r="BR256" s="192"/>
      <c r="BS256" s="192"/>
      <c r="BT256" s="192"/>
      <c r="BU256" s="192"/>
      <c r="BV256" s="192"/>
      <c r="BW256" s="192"/>
      <c r="BX256" s="192"/>
      <c r="BY256" s="192"/>
      <c r="BZ256" s="192"/>
      <c r="CA256" s="192"/>
      <c r="CB256" s="192"/>
      <c r="CC256" s="192"/>
      <c r="CD256" s="192"/>
      <c r="CE256" s="192"/>
      <c r="CF256" s="192"/>
      <c r="CG256" s="192"/>
      <c r="CH256" s="192"/>
      <c r="CI256" s="796"/>
      <c r="CJ256" s="796"/>
      <c r="CK256" s="192"/>
      <c r="CL256" s="192"/>
      <c r="CM256" s="192"/>
      <c r="CN256" s="192"/>
      <c r="CO256" s="192"/>
      <c r="CP256" s="192"/>
      <c r="CQ256" s="192"/>
      <c r="CR256" s="192"/>
      <c r="CS256" s="192"/>
      <c r="CT256" s="192"/>
      <c r="CU256" s="192"/>
      <c r="CV256" s="192"/>
      <c r="CW256" s="192"/>
      <c r="CX256" s="192"/>
      <c r="CY256" s="192"/>
    </row>
    <row r="257" spans="1:103" ht="24.95" customHeight="1">
      <c r="A257" s="192"/>
      <c r="B257" s="192"/>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192"/>
      <c r="AL257" s="192"/>
      <c r="AM257" s="192"/>
      <c r="AN257" s="192"/>
      <c r="AO257" s="192"/>
      <c r="AP257" s="192"/>
      <c r="AQ257" s="192"/>
      <c r="AR257" s="192"/>
      <c r="AS257" s="192"/>
      <c r="AT257" s="192"/>
      <c r="AU257" s="192"/>
      <c r="AV257" s="192"/>
      <c r="AW257" s="192"/>
      <c r="AX257" s="192"/>
      <c r="AY257" s="192"/>
      <c r="AZ257" s="192"/>
      <c r="BA257" s="67">
        <v>245</v>
      </c>
      <c r="BB257" s="68">
        <f t="shared" si="66"/>
        <v>0</v>
      </c>
      <c r="BC257" s="192">
        <f t="shared" si="67"/>
        <v>0</v>
      </c>
      <c r="BD257" s="70">
        <f t="shared" si="68"/>
        <v>0</v>
      </c>
      <c r="BE257" s="70">
        <f t="shared" si="68"/>
        <v>0</v>
      </c>
      <c r="BF257" s="192"/>
      <c r="BG257" s="192"/>
      <c r="BH257" s="192"/>
      <c r="BI257" s="192"/>
      <c r="BJ257" s="192"/>
      <c r="BK257" s="192"/>
      <c r="BL257" s="192"/>
      <c r="BM257" s="192"/>
      <c r="BN257" s="192"/>
      <c r="BO257" s="192"/>
      <c r="BP257" s="192"/>
      <c r="BQ257" s="192"/>
      <c r="BR257" s="192"/>
      <c r="BS257" s="192"/>
      <c r="BT257" s="192"/>
      <c r="BU257" s="192"/>
      <c r="BV257" s="192"/>
      <c r="BW257" s="192"/>
      <c r="BX257" s="192"/>
      <c r="BY257" s="192"/>
      <c r="BZ257" s="192"/>
      <c r="CA257" s="192"/>
      <c r="CB257" s="192"/>
      <c r="CC257" s="192"/>
      <c r="CD257" s="192"/>
      <c r="CE257" s="192"/>
      <c r="CF257" s="192"/>
      <c r="CG257" s="192"/>
      <c r="CH257" s="192"/>
      <c r="CI257" s="796"/>
      <c r="CJ257" s="796"/>
      <c r="CK257" s="192"/>
      <c r="CL257" s="192"/>
      <c r="CM257" s="192"/>
      <c r="CN257" s="192"/>
      <c r="CO257" s="192"/>
      <c r="CP257" s="192"/>
      <c r="CQ257" s="192"/>
      <c r="CR257" s="192"/>
      <c r="CS257" s="192"/>
      <c r="CT257" s="192"/>
      <c r="CU257" s="192"/>
      <c r="CV257" s="192"/>
      <c r="CW257" s="192"/>
      <c r="CX257" s="192"/>
      <c r="CY257" s="192"/>
    </row>
    <row r="258" spans="1:103">
      <c r="A258" s="192"/>
      <c r="B258" s="192"/>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192"/>
      <c r="AD258" s="192"/>
      <c r="AE258" s="192"/>
      <c r="AF258" s="192"/>
      <c r="AG258" s="192"/>
      <c r="AH258" s="192"/>
      <c r="AI258" s="192"/>
      <c r="AJ258" s="192"/>
      <c r="AK258" s="192"/>
      <c r="AL258" s="192"/>
      <c r="AM258" s="192"/>
      <c r="AN258" s="192"/>
      <c r="AO258" s="192"/>
      <c r="AP258" s="192"/>
      <c r="AQ258" s="192"/>
      <c r="AR258" s="192"/>
      <c r="AS258" s="192"/>
      <c r="AT258" s="192"/>
      <c r="AU258" s="192"/>
      <c r="AV258" s="192"/>
      <c r="AW258" s="192"/>
      <c r="AX258" s="192"/>
      <c r="AY258" s="192"/>
      <c r="AZ258" s="192"/>
      <c r="BA258" s="67">
        <v>246</v>
      </c>
      <c r="BB258" s="68">
        <f t="shared" si="66"/>
        <v>0</v>
      </c>
      <c r="BC258" s="192">
        <f t="shared" si="67"/>
        <v>0</v>
      </c>
      <c r="BD258" s="70">
        <f t="shared" si="68"/>
        <v>0</v>
      </c>
      <c r="BE258" s="70">
        <f t="shared" si="68"/>
        <v>0</v>
      </c>
      <c r="BF258" s="192"/>
      <c r="BG258" s="192"/>
      <c r="BH258" s="192"/>
      <c r="BI258" s="192"/>
      <c r="BJ258" s="192"/>
      <c r="BK258" s="192"/>
      <c r="BL258" s="192"/>
      <c r="BM258" s="192"/>
      <c r="BN258" s="192"/>
      <c r="BO258" s="192"/>
      <c r="BP258" s="192"/>
      <c r="BQ258" s="192"/>
      <c r="BR258" s="192"/>
      <c r="BS258" s="192"/>
      <c r="BT258" s="192"/>
      <c r="BU258" s="192"/>
      <c r="BV258" s="192"/>
      <c r="BW258" s="192"/>
      <c r="BX258" s="192"/>
      <c r="BY258" s="192"/>
      <c r="BZ258" s="192"/>
      <c r="CA258" s="192"/>
      <c r="CB258" s="192"/>
      <c r="CC258" s="192"/>
      <c r="CD258" s="192"/>
      <c r="CE258" s="192"/>
      <c r="CF258" s="192"/>
      <c r="CG258" s="192"/>
      <c r="CH258" s="192"/>
      <c r="CI258" s="796"/>
      <c r="CJ258" s="796"/>
      <c r="CK258" s="192"/>
      <c r="CL258" s="192"/>
      <c r="CM258" s="192"/>
      <c r="CN258" s="192"/>
      <c r="CO258" s="192"/>
      <c r="CP258" s="192"/>
      <c r="CQ258" s="192"/>
      <c r="CR258" s="192"/>
      <c r="CS258" s="192"/>
      <c r="CT258" s="192"/>
      <c r="CU258" s="192"/>
      <c r="CV258" s="192"/>
      <c r="CW258" s="192"/>
      <c r="CX258" s="192"/>
      <c r="CY258" s="192"/>
    </row>
    <row r="259" spans="1:103">
      <c r="A259" s="192"/>
      <c r="B259" s="19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192"/>
      <c r="AD259" s="192"/>
      <c r="AE259" s="192"/>
      <c r="AF259" s="192"/>
      <c r="AG259" s="192"/>
      <c r="AH259" s="192"/>
      <c r="AI259" s="192"/>
      <c r="AJ259" s="192"/>
      <c r="AK259" s="192"/>
      <c r="AL259" s="192"/>
      <c r="AM259" s="192"/>
      <c r="AN259" s="192"/>
      <c r="AO259" s="192"/>
      <c r="AP259" s="192"/>
      <c r="AQ259" s="192"/>
      <c r="AR259" s="192"/>
      <c r="AS259" s="192"/>
      <c r="AT259" s="192"/>
      <c r="AU259" s="192"/>
      <c r="AV259" s="192"/>
      <c r="AW259" s="192"/>
      <c r="AX259" s="192"/>
      <c r="AY259" s="192"/>
      <c r="AZ259" s="192"/>
      <c r="BA259" s="67">
        <v>247</v>
      </c>
      <c r="BB259" s="68">
        <f t="shared" si="66"/>
        <v>0</v>
      </c>
      <c r="BC259" s="192">
        <f t="shared" si="67"/>
        <v>0</v>
      </c>
      <c r="BD259" s="70">
        <f t="shared" ref="BD259:BE272" si="69">BB259-COUNTA(H200)</f>
        <v>0</v>
      </c>
      <c r="BE259" s="70">
        <f t="shared" si="69"/>
        <v>0</v>
      </c>
      <c r="BF259" s="192"/>
      <c r="BG259" s="192"/>
      <c r="BH259" s="192"/>
      <c r="BI259" s="192"/>
      <c r="BJ259" s="192"/>
      <c r="BK259" s="192"/>
      <c r="BL259" s="192"/>
      <c r="BM259" s="192"/>
      <c r="BN259" s="192"/>
      <c r="BO259" s="192"/>
      <c r="BP259" s="192"/>
      <c r="BQ259" s="192"/>
      <c r="BR259" s="192"/>
      <c r="BS259" s="192"/>
      <c r="BT259" s="192"/>
      <c r="BU259" s="192"/>
      <c r="BV259" s="192"/>
      <c r="BW259" s="192"/>
      <c r="BX259" s="192"/>
      <c r="BY259" s="192"/>
      <c r="BZ259" s="192"/>
      <c r="CA259" s="192"/>
      <c r="CB259" s="192"/>
      <c r="CC259" s="192"/>
      <c r="CD259" s="192"/>
      <c r="CE259" s="192"/>
      <c r="CF259" s="192"/>
      <c r="CG259" s="192"/>
      <c r="CH259" s="192"/>
      <c r="CI259" s="796"/>
      <c r="CJ259" s="796"/>
      <c r="CK259" s="192"/>
      <c r="CL259" s="192"/>
      <c r="CM259" s="192"/>
      <c r="CN259" s="192"/>
      <c r="CO259" s="192"/>
      <c r="CP259" s="192"/>
      <c r="CQ259" s="192"/>
      <c r="CR259" s="192"/>
      <c r="CS259" s="192"/>
      <c r="CT259" s="192"/>
      <c r="CU259" s="192"/>
      <c r="CV259" s="192"/>
      <c r="CW259" s="192"/>
      <c r="CX259" s="192"/>
      <c r="CY259" s="192"/>
    </row>
    <row r="260" spans="1:103">
      <c r="A260" s="870" t="s">
        <v>535</v>
      </c>
      <c r="B260" s="870" t="s">
        <v>534</v>
      </c>
      <c r="C260" s="858" t="s">
        <v>533</v>
      </c>
      <c r="D260" s="192" t="s">
        <v>2981</v>
      </c>
      <c r="E260" s="870"/>
      <c r="F260" s="870"/>
      <c r="G260" s="192"/>
      <c r="H260" s="192"/>
      <c r="I260" s="870"/>
      <c r="J260" s="870"/>
      <c r="K260" s="870"/>
      <c r="L260" s="870"/>
      <c r="M260" s="870"/>
      <c r="N260" s="870"/>
      <c r="O260" s="870"/>
      <c r="P260" s="870"/>
      <c r="Q260" s="870"/>
      <c r="R260" s="870"/>
      <c r="S260" s="870"/>
      <c r="T260" s="870"/>
      <c r="U260" s="870"/>
      <c r="V260" s="870"/>
      <c r="W260" s="870"/>
      <c r="X260" s="870"/>
      <c r="Y260" s="870"/>
      <c r="Z260" s="870"/>
      <c r="AA260" s="192"/>
      <c r="AB260" s="1989"/>
      <c r="AC260" s="1989"/>
      <c r="AD260" s="1989"/>
      <c r="AE260" s="1989"/>
      <c r="AF260" s="1989"/>
      <c r="AG260" s="1989"/>
      <c r="AH260" s="1989"/>
      <c r="AI260" s="1989"/>
      <c r="AJ260" s="1989"/>
      <c r="AK260" s="1989"/>
      <c r="AL260" s="1989"/>
      <c r="AM260" s="1989"/>
      <c r="AN260" s="1989"/>
      <c r="AO260" s="1989"/>
      <c r="AP260" s="1989"/>
      <c r="AQ260" s="1989"/>
      <c r="AR260" s="1989"/>
      <c r="AS260" s="1989"/>
      <c r="AT260" s="1989"/>
      <c r="AU260" s="1989"/>
      <c r="AV260" s="1989"/>
      <c r="AW260" s="1989"/>
      <c r="AX260" s="1989"/>
      <c r="AY260" s="1989"/>
      <c r="AZ260" s="1989"/>
      <c r="BA260" s="67">
        <v>248</v>
      </c>
      <c r="BB260" s="68">
        <f t="shared" si="66"/>
        <v>0</v>
      </c>
      <c r="BC260" s="192">
        <f t="shared" si="67"/>
        <v>0</v>
      </c>
      <c r="BD260" s="70">
        <f t="shared" si="69"/>
        <v>0</v>
      </c>
      <c r="BE260" s="70">
        <f t="shared" si="69"/>
        <v>0</v>
      </c>
      <c r="BF260" s="192"/>
      <c r="BG260" s="192"/>
      <c r="BH260" s="192"/>
      <c r="BI260" s="192"/>
      <c r="BJ260" s="192"/>
      <c r="BK260" s="192"/>
      <c r="BL260" s="192"/>
      <c r="BM260" s="192"/>
      <c r="BN260" s="192"/>
      <c r="BO260" s="192"/>
      <c r="BP260" s="192"/>
      <c r="BQ260" s="192"/>
      <c r="BR260" s="192"/>
      <c r="BS260" s="192"/>
      <c r="BT260" s="192"/>
      <c r="BU260" s="192"/>
      <c r="BV260" s="192"/>
      <c r="BW260" s="192"/>
      <c r="BX260" s="192"/>
      <c r="BY260" s="192"/>
      <c r="BZ260" s="192"/>
      <c r="CA260" s="192"/>
      <c r="CB260" s="192"/>
      <c r="CC260" s="192"/>
      <c r="CD260" s="192"/>
      <c r="CE260" s="192"/>
      <c r="CF260" s="192"/>
      <c r="CG260" s="192"/>
      <c r="CH260" s="192"/>
      <c r="CI260" s="796"/>
      <c r="CJ260" s="796"/>
      <c r="CK260" s="192"/>
      <c r="CL260" s="192"/>
      <c r="CM260" s="192"/>
      <c r="CN260" s="192"/>
      <c r="CO260" s="192"/>
      <c r="CP260" s="192"/>
      <c r="CQ260" s="192"/>
      <c r="CR260" s="192"/>
      <c r="CS260" s="192"/>
      <c r="CT260" s="192"/>
      <c r="CU260" s="192"/>
      <c r="CV260" s="192"/>
      <c r="CW260" s="192"/>
      <c r="CX260" s="192"/>
      <c r="CY260" s="192"/>
    </row>
    <row r="261" spans="1:103">
      <c r="A261" s="840" t="s">
        <v>498</v>
      </c>
      <c r="B261" s="840" t="s">
        <v>498</v>
      </c>
      <c r="C261" s="845" t="s">
        <v>536</v>
      </c>
      <c r="D261" s="192" t="s">
        <v>2984</v>
      </c>
      <c r="E261" s="796"/>
      <c r="F261" s="796"/>
      <c r="G261" s="192"/>
      <c r="H261" s="192"/>
      <c r="I261" s="796"/>
      <c r="J261" s="796"/>
      <c r="K261" s="796"/>
      <c r="L261" s="796"/>
      <c r="M261" s="829"/>
      <c r="N261" s="829"/>
      <c r="O261" s="849"/>
      <c r="P261" s="849"/>
      <c r="Q261" s="849"/>
      <c r="R261" s="849"/>
      <c r="S261" s="849"/>
      <c r="T261" s="849"/>
      <c r="U261" s="829"/>
      <c r="V261" s="829"/>
      <c r="W261" s="829"/>
      <c r="X261" s="829"/>
      <c r="Y261" s="829"/>
      <c r="Z261" s="829"/>
      <c r="AA261" s="192"/>
      <c r="AB261" s="840"/>
      <c r="AC261" s="840"/>
      <c r="AD261" s="796"/>
      <c r="AE261" s="796"/>
      <c r="AF261" s="796"/>
      <c r="AG261" s="840"/>
      <c r="AH261" s="796"/>
      <c r="AI261" s="796"/>
      <c r="AJ261" s="796"/>
      <c r="AK261" s="796"/>
      <c r="AL261" s="796"/>
      <c r="AM261" s="829"/>
      <c r="AN261" s="829"/>
      <c r="AO261" s="849"/>
      <c r="AP261" s="849"/>
      <c r="AQ261" s="849"/>
      <c r="AR261" s="849"/>
      <c r="AS261" s="849"/>
      <c r="AT261" s="849"/>
      <c r="AU261" s="829"/>
      <c r="AV261" s="829"/>
      <c r="AW261" s="829"/>
      <c r="AX261" s="829"/>
      <c r="AY261" s="829"/>
      <c r="AZ261" s="829"/>
      <c r="BA261" s="67">
        <v>249</v>
      </c>
      <c r="BB261" s="68">
        <f t="shared" si="66"/>
        <v>0</v>
      </c>
      <c r="BC261" s="192">
        <f t="shared" si="67"/>
        <v>0</v>
      </c>
      <c r="BD261" s="70">
        <f t="shared" si="69"/>
        <v>0</v>
      </c>
      <c r="BE261" s="70">
        <f t="shared" si="69"/>
        <v>0</v>
      </c>
      <c r="BF261" s="192"/>
      <c r="BG261" s="192"/>
      <c r="BH261" s="192"/>
      <c r="BI261" s="192"/>
      <c r="BJ261" s="192"/>
      <c r="BK261" s="192"/>
      <c r="BL261" s="192"/>
      <c r="BM261" s="192"/>
      <c r="BN261" s="192"/>
      <c r="BO261" s="192"/>
      <c r="BP261" s="192"/>
      <c r="BQ261" s="192"/>
      <c r="BR261" s="192"/>
      <c r="BS261" s="192"/>
      <c r="BT261" s="192"/>
      <c r="BU261" s="192"/>
      <c r="BV261" s="192"/>
      <c r="BW261" s="192"/>
      <c r="BX261" s="192"/>
      <c r="BY261" s="192"/>
      <c r="BZ261" s="192"/>
      <c r="CA261" s="192"/>
      <c r="CB261" s="192"/>
      <c r="CC261" s="192"/>
      <c r="CD261" s="192"/>
      <c r="CE261" s="192"/>
      <c r="CF261" s="192"/>
      <c r="CG261" s="192"/>
      <c r="CH261" s="192"/>
      <c r="CI261" s="796"/>
      <c r="CJ261" s="796"/>
      <c r="CK261" s="192"/>
      <c r="CL261" s="192"/>
      <c r="CM261" s="192"/>
      <c r="CN261" s="192"/>
      <c r="CO261" s="192"/>
      <c r="CP261" s="192"/>
      <c r="CQ261" s="192"/>
      <c r="CR261" s="192"/>
      <c r="CS261" s="192"/>
      <c r="CT261" s="192"/>
      <c r="CU261" s="192"/>
      <c r="CV261" s="192"/>
      <c r="CW261" s="192"/>
      <c r="CX261" s="192"/>
      <c r="CY261" s="192"/>
    </row>
    <row r="262" spans="1:103">
      <c r="A262" s="840" t="s">
        <v>499</v>
      </c>
      <c r="B262" s="840" t="s">
        <v>499</v>
      </c>
      <c r="C262" s="192"/>
      <c r="D262" s="192"/>
      <c r="E262" s="192"/>
      <c r="F262" s="192"/>
      <c r="G262" s="192"/>
      <c r="H262" s="192"/>
      <c r="I262" s="192"/>
      <c r="J262" s="192"/>
      <c r="K262" s="192"/>
      <c r="L262" s="192"/>
      <c r="M262" s="192"/>
      <c r="N262" s="192"/>
      <c r="O262" s="192"/>
      <c r="P262" s="192"/>
      <c r="Q262" s="192"/>
      <c r="R262" s="192"/>
      <c r="S262" s="192"/>
      <c r="T262" s="192"/>
      <c r="U262" s="192"/>
      <c r="V262" s="192"/>
      <c r="W262" s="192"/>
      <c r="X262" s="192"/>
      <c r="Y262" s="192"/>
      <c r="Z262" s="192"/>
      <c r="AA262" s="192"/>
      <c r="AB262" s="192"/>
      <c r="AC262" s="192"/>
      <c r="AD262" s="192"/>
      <c r="AE262" s="192"/>
      <c r="AF262" s="192"/>
      <c r="AG262" s="192"/>
      <c r="AH262" s="192"/>
      <c r="AI262" s="192"/>
      <c r="AJ262" s="192"/>
      <c r="AK262" s="192"/>
      <c r="AL262" s="192"/>
      <c r="AM262" s="192"/>
      <c r="AN262" s="192"/>
      <c r="AO262" s="192"/>
      <c r="AP262" s="192"/>
      <c r="AQ262" s="192"/>
      <c r="AR262" s="192"/>
      <c r="AS262" s="192"/>
      <c r="AT262" s="192"/>
      <c r="AU262" s="192"/>
      <c r="AV262" s="192"/>
      <c r="AW262" s="192"/>
      <c r="AX262" s="192"/>
      <c r="AY262" s="192"/>
      <c r="AZ262" s="192"/>
      <c r="BA262" s="67">
        <v>250</v>
      </c>
      <c r="BB262" s="68">
        <f t="shared" si="66"/>
        <v>0</v>
      </c>
      <c r="BC262" s="192">
        <f t="shared" si="67"/>
        <v>0</v>
      </c>
      <c r="BD262" s="70">
        <f t="shared" si="69"/>
        <v>0</v>
      </c>
      <c r="BE262" s="70">
        <f t="shared" si="69"/>
        <v>0</v>
      </c>
      <c r="BF262" s="192"/>
      <c r="BG262" s="192"/>
      <c r="BH262" s="192"/>
      <c r="BI262" s="192"/>
      <c r="BJ262" s="192"/>
      <c r="BK262" s="192"/>
      <c r="BL262" s="192"/>
      <c r="BM262" s="192"/>
      <c r="BN262" s="192"/>
      <c r="BO262" s="192"/>
      <c r="BP262" s="192"/>
      <c r="BQ262" s="192"/>
      <c r="BR262" s="192"/>
      <c r="BS262" s="192"/>
      <c r="BT262" s="192"/>
      <c r="BU262" s="192"/>
      <c r="BV262" s="192"/>
      <c r="BW262" s="192"/>
      <c r="BX262" s="192"/>
      <c r="BY262" s="192"/>
      <c r="BZ262" s="192"/>
      <c r="CA262" s="192"/>
      <c r="CB262" s="192"/>
      <c r="CC262" s="192"/>
      <c r="CD262" s="192"/>
      <c r="CE262" s="192"/>
      <c r="CF262" s="192"/>
      <c r="CG262" s="192"/>
      <c r="CH262" s="192"/>
      <c r="CI262" s="796"/>
      <c r="CJ262" s="796"/>
      <c r="CK262" s="192"/>
      <c r="CL262" s="192"/>
      <c r="CM262" s="192"/>
      <c r="CN262" s="192"/>
      <c r="CO262" s="192"/>
      <c r="CP262" s="192"/>
      <c r="CQ262" s="192"/>
      <c r="CR262" s="192"/>
      <c r="CS262" s="192"/>
      <c r="CT262" s="192"/>
      <c r="CU262" s="192"/>
      <c r="CV262" s="192"/>
      <c r="CW262" s="192"/>
      <c r="CX262" s="192"/>
      <c r="CY262" s="192"/>
    </row>
    <row r="263" spans="1:103">
      <c r="A263" s="796" t="s">
        <v>500</v>
      </c>
      <c r="B263" s="796" t="s">
        <v>500</v>
      </c>
      <c r="C263" s="192"/>
      <c r="D263" s="192"/>
      <c r="E263" s="192"/>
      <c r="F263" s="192"/>
      <c r="G263" s="192"/>
      <c r="H263" s="192"/>
      <c r="I263" s="192"/>
      <c r="J263" s="192"/>
      <c r="K263" s="192"/>
      <c r="L263" s="192"/>
      <c r="M263" s="192"/>
      <c r="N263" s="192"/>
      <c r="O263" s="192"/>
      <c r="P263" s="192"/>
      <c r="Q263" s="192"/>
      <c r="R263" s="192"/>
      <c r="S263" s="192"/>
      <c r="T263" s="192"/>
      <c r="U263" s="192"/>
      <c r="V263" s="192"/>
      <c r="W263" s="192"/>
      <c r="X263" s="192"/>
      <c r="Y263" s="192"/>
      <c r="Z263" s="192"/>
      <c r="AA263" s="192"/>
      <c r="AB263" s="192"/>
      <c r="AC263" s="192"/>
      <c r="AD263" s="192"/>
      <c r="AE263" s="192"/>
      <c r="AF263" s="192"/>
      <c r="AG263" s="192"/>
      <c r="AH263" s="192"/>
      <c r="AI263" s="192"/>
      <c r="AJ263" s="192"/>
      <c r="AK263" s="192"/>
      <c r="AL263" s="192"/>
      <c r="AM263" s="192"/>
      <c r="AN263" s="192"/>
      <c r="AO263" s="192"/>
      <c r="AP263" s="192"/>
      <c r="AQ263" s="192"/>
      <c r="AR263" s="192"/>
      <c r="AS263" s="192"/>
      <c r="AT263" s="192"/>
      <c r="AU263" s="192"/>
      <c r="AV263" s="192"/>
      <c r="AW263" s="192"/>
      <c r="AX263" s="192"/>
      <c r="AY263" s="192"/>
      <c r="AZ263" s="192"/>
      <c r="BA263" s="67">
        <v>251</v>
      </c>
      <c r="BB263" s="68">
        <f t="shared" si="66"/>
        <v>0</v>
      </c>
      <c r="BC263" s="192">
        <f t="shared" si="67"/>
        <v>0</v>
      </c>
      <c r="BD263" s="70">
        <f t="shared" si="69"/>
        <v>0</v>
      </c>
      <c r="BE263" s="70">
        <f t="shared" si="69"/>
        <v>0</v>
      </c>
      <c r="BF263" s="192"/>
      <c r="BG263" s="192"/>
      <c r="BH263" s="192"/>
      <c r="BI263" s="192"/>
      <c r="BJ263" s="192"/>
      <c r="BK263" s="192"/>
      <c r="BL263" s="192"/>
      <c r="BM263" s="192"/>
      <c r="BN263" s="192"/>
      <c r="BO263" s="192"/>
      <c r="BP263" s="192"/>
      <c r="BQ263" s="192"/>
      <c r="BR263" s="192"/>
      <c r="BS263" s="192"/>
      <c r="BT263" s="192"/>
      <c r="BU263" s="192"/>
      <c r="BV263" s="192"/>
      <c r="BW263" s="192"/>
      <c r="BX263" s="192"/>
      <c r="BY263" s="192"/>
      <c r="BZ263" s="192"/>
      <c r="CA263" s="192"/>
      <c r="CB263" s="192"/>
      <c r="CC263" s="192"/>
      <c r="CD263" s="192"/>
      <c r="CE263" s="192"/>
      <c r="CF263" s="192"/>
      <c r="CG263" s="192"/>
      <c r="CH263" s="192"/>
      <c r="CI263" s="796"/>
      <c r="CJ263" s="796"/>
      <c r="CK263" s="192"/>
      <c r="CL263" s="192"/>
      <c r="CM263" s="192"/>
      <c r="CN263" s="192"/>
      <c r="CO263" s="192"/>
      <c r="CP263" s="192"/>
      <c r="CQ263" s="192"/>
      <c r="CR263" s="192"/>
      <c r="CS263" s="192"/>
      <c r="CT263" s="192"/>
      <c r="CU263" s="192"/>
      <c r="CV263" s="192"/>
      <c r="CW263" s="192"/>
      <c r="CX263" s="192"/>
      <c r="CY263" s="192"/>
    </row>
    <row r="264" spans="1:103">
      <c r="A264" s="796" t="s">
        <v>501</v>
      </c>
      <c r="B264" s="796" t="s">
        <v>501</v>
      </c>
      <c r="C264" s="192"/>
      <c r="D264" s="192"/>
      <c r="E264" s="192"/>
      <c r="F264" s="192"/>
      <c r="G264" s="192"/>
      <c r="H264" s="192"/>
      <c r="I264" s="192" t="s">
        <v>2982</v>
      </c>
      <c r="J264" s="192"/>
      <c r="K264" s="1989" t="s">
        <v>534</v>
      </c>
      <c r="L264" s="1989"/>
      <c r="M264" s="192"/>
      <c r="N264" s="192"/>
      <c r="O264" s="192"/>
      <c r="P264" s="192"/>
      <c r="Q264" s="192"/>
      <c r="R264" s="192"/>
      <c r="S264" s="192"/>
      <c r="T264" s="192"/>
      <c r="U264" s="192"/>
      <c r="V264" s="192"/>
      <c r="W264" s="192"/>
      <c r="X264" s="192"/>
      <c r="Y264" s="192"/>
      <c r="Z264" s="192"/>
      <c r="AA264" s="192"/>
      <c r="AB264" s="192"/>
      <c r="AC264" s="192"/>
      <c r="AD264" s="192"/>
      <c r="AE264" s="192"/>
      <c r="AF264" s="192"/>
      <c r="AG264" s="192"/>
      <c r="AH264" s="192"/>
      <c r="AI264" s="192"/>
      <c r="AJ264" s="192"/>
      <c r="AK264" s="192"/>
      <c r="AL264" s="192"/>
      <c r="AM264" s="192"/>
      <c r="AN264" s="192"/>
      <c r="AO264" s="192"/>
      <c r="AP264" s="192"/>
      <c r="AQ264" s="192"/>
      <c r="AR264" s="192"/>
      <c r="AS264" s="192"/>
      <c r="AT264" s="192"/>
      <c r="AU264" s="192"/>
      <c r="AV264" s="192"/>
      <c r="AW264" s="192"/>
      <c r="AX264" s="192"/>
      <c r="AY264" s="192"/>
      <c r="AZ264" s="192"/>
      <c r="BA264" s="67">
        <v>252</v>
      </c>
      <c r="BB264" s="68">
        <f t="shared" si="66"/>
        <v>0</v>
      </c>
      <c r="BC264" s="192">
        <f t="shared" si="67"/>
        <v>0</v>
      </c>
      <c r="BD264" s="70">
        <f t="shared" si="69"/>
        <v>0</v>
      </c>
      <c r="BE264" s="70">
        <f t="shared" si="69"/>
        <v>0</v>
      </c>
      <c r="BF264" s="192"/>
      <c r="BG264" s="192"/>
      <c r="BH264" s="192"/>
      <c r="BI264" s="192"/>
      <c r="BJ264" s="192"/>
      <c r="BK264" s="192"/>
      <c r="BL264" s="192"/>
      <c r="BM264" s="192"/>
      <c r="BN264" s="192"/>
      <c r="BO264" s="192"/>
      <c r="BP264" s="192"/>
      <c r="BQ264" s="192"/>
      <c r="BR264" s="192"/>
      <c r="BS264" s="192"/>
      <c r="BT264" s="192"/>
      <c r="BU264" s="192"/>
      <c r="BV264" s="192"/>
      <c r="BW264" s="192"/>
      <c r="BX264" s="192"/>
      <c r="BY264" s="192"/>
      <c r="BZ264" s="192"/>
      <c r="CA264" s="192"/>
      <c r="CB264" s="192"/>
      <c r="CC264" s="192"/>
      <c r="CD264" s="192"/>
      <c r="CE264" s="192"/>
      <c r="CF264" s="192"/>
      <c r="CG264" s="192"/>
      <c r="CH264" s="192"/>
      <c r="CI264" s="796"/>
      <c r="CJ264" s="796"/>
      <c r="CK264" s="192"/>
      <c r="CL264" s="192"/>
      <c r="CM264" s="192"/>
      <c r="CN264" s="192"/>
      <c r="CO264" s="192"/>
      <c r="CP264" s="192"/>
      <c r="CQ264" s="192"/>
      <c r="CR264" s="192"/>
      <c r="CS264" s="192"/>
      <c r="CT264" s="192"/>
      <c r="CU264" s="192"/>
      <c r="CV264" s="192"/>
      <c r="CW264" s="192"/>
      <c r="CX264" s="192"/>
      <c r="CY264" s="192"/>
    </row>
    <row r="265" spans="1:103">
      <c r="A265" s="796" t="s">
        <v>502</v>
      </c>
      <c r="B265" s="796" t="s">
        <v>502</v>
      </c>
      <c r="C265" s="192"/>
      <c r="D265" s="192"/>
      <c r="E265" s="192"/>
      <c r="F265" s="192"/>
      <c r="G265" s="192"/>
      <c r="H265" s="192"/>
      <c r="I265" s="192" t="s">
        <v>2983</v>
      </c>
      <c r="J265" s="192"/>
      <c r="K265" s="1989"/>
      <c r="L265" s="1989"/>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c r="AK265" s="192"/>
      <c r="AL265" s="192"/>
      <c r="AM265" s="192"/>
      <c r="AN265" s="192"/>
      <c r="AO265" s="192"/>
      <c r="AP265" s="192"/>
      <c r="AQ265" s="192"/>
      <c r="AR265" s="192"/>
      <c r="AS265" s="192"/>
      <c r="AT265" s="192"/>
      <c r="AU265" s="192"/>
      <c r="AV265" s="192"/>
      <c r="AW265" s="192"/>
      <c r="AX265" s="192"/>
      <c r="AY265" s="192"/>
      <c r="AZ265" s="192"/>
      <c r="BA265" s="67">
        <v>253</v>
      </c>
      <c r="BB265" s="68">
        <f t="shared" si="66"/>
        <v>0</v>
      </c>
      <c r="BC265" s="192">
        <f t="shared" si="67"/>
        <v>0</v>
      </c>
      <c r="BD265" s="70">
        <f t="shared" si="69"/>
        <v>0</v>
      </c>
      <c r="BE265" s="70">
        <f t="shared" si="69"/>
        <v>0</v>
      </c>
      <c r="BF265" s="192"/>
      <c r="BG265" s="192"/>
      <c r="BH265" s="192"/>
      <c r="BI265" s="192"/>
      <c r="BJ265" s="192"/>
      <c r="BK265" s="192"/>
      <c r="BL265" s="192"/>
      <c r="BM265" s="192"/>
      <c r="BN265" s="192"/>
      <c r="BO265" s="192"/>
      <c r="BP265" s="192"/>
      <c r="BQ265" s="192"/>
      <c r="BR265" s="192"/>
      <c r="BS265" s="192"/>
      <c r="BT265" s="192"/>
      <c r="BU265" s="192"/>
      <c r="BV265" s="192"/>
      <c r="BW265" s="192"/>
      <c r="BX265" s="192"/>
      <c r="BY265" s="192"/>
      <c r="BZ265" s="192"/>
      <c r="CA265" s="192"/>
      <c r="CB265" s="192"/>
      <c r="CC265" s="192"/>
      <c r="CD265" s="192"/>
      <c r="CE265" s="192"/>
      <c r="CF265" s="192"/>
      <c r="CG265" s="192"/>
      <c r="CH265" s="192"/>
      <c r="CI265" s="796"/>
      <c r="CJ265" s="796"/>
      <c r="CK265" s="192"/>
      <c r="CL265" s="192"/>
      <c r="CM265" s="192"/>
      <c r="CN265" s="192"/>
      <c r="CO265" s="192"/>
      <c r="CP265" s="192"/>
      <c r="CQ265" s="192"/>
      <c r="CR265" s="192"/>
      <c r="CS265" s="192"/>
      <c r="CT265" s="192"/>
      <c r="CU265" s="192"/>
      <c r="CV265" s="192"/>
      <c r="CW265" s="192"/>
      <c r="CX265" s="192"/>
      <c r="CY265" s="192"/>
    </row>
    <row r="266" spans="1:103">
      <c r="A266" s="840" t="s">
        <v>509</v>
      </c>
      <c r="B266" s="840" t="s">
        <v>509</v>
      </c>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92"/>
      <c r="AT266" s="192"/>
      <c r="AU266" s="192"/>
      <c r="AV266" s="192"/>
      <c r="AW266" s="192"/>
      <c r="AX266" s="192"/>
      <c r="AY266" s="192"/>
      <c r="AZ266" s="192"/>
      <c r="BA266" s="67">
        <v>254</v>
      </c>
      <c r="BB266" s="68">
        <f t="shared" si="66"/>
        <v>0</v>
      </c>
      <c r="BC266" s="192">
        <f t="shared" si="67"/>
        <v>0</v>
      </c>
      <c r="BD266" s="70">
        <f t="shared" si="69"/>
        <v>0</v>
      </c>
      <c r="BE266" s="70">
        <f t="shared" si="69"/>
        <v>0</v>
      </c>
      <c r="BF266" s="192"/>
      <c r="BG266" s="192"/>
      <c r="BH266" s="192"/>
      <c r="BI266" s="192"/>
      <c r="BJ266" s="192"/>
      <c r="BK266" s="192"/>
      <c r="BL266" s="192"/>
      <c r="BM266" s="192"/>
      <c r="BN266" s="192"/>
      <c r="BO266" s="192"/>
      <c r="BP266" s="192"/>
      <c r="BQ266" s="192"/>
      <c r="BR266" s="192"/>
      <c r="BS266" s="192"/>
      <c r="BT266" s="192"/>
      <c r="BU266" s="192"/>
      <c r="BV266" s="192"/>
      <c r="BW266" s="192"/>
      <c r="BX266" s="192"/>
      <c r="BY266" s="192"/>
      <c r="BZ266" s="192"/>
      <c r="CA266" s="192"/>
      <c r="CB266" s="192"/>
      <c r="CC266" s="192"/>
      <c r="CD266" s="192"/>
      <c r="CE266" s="192"/>
      <c r="CF266" s="192"/>
      <c r="CG266" s="192"/>
      <c r="CH266" s="192"/>
      <c r="CI266" s="796"/>
      <c r="CJ266" s="796"/>
      <c r="CK266" s="192"/>
      <c r="CL266" s="192"/>
      <c r="CM266" s="192"/>
      <c r="CN266" s="192"/>
      <c r="CO266" s="192"/>
      <c r="CP266" s="192"/>
      <c r="CQ266" s="192"/>
      <c r="CR266" s="192"/>
      <c r="CS266" s="192"/>
      <c r="CT266" s="192"/>
      <c r="CU266" s="192"/>
      <c r="CV266" s="192"/>
      <c r="CW266" s="192"/>
      <c r="CX266" s="192"/>
      <c r="CY266" s="192"/>
    </row>
    <row r="267" spans="1:103">
      <c r="A267" s="796" t="s">
        <v>510</v>
      </c>
      <c r="B267" s="796" t="s">
        <v>510</v>
      </c>
      <c r="C267" s="192"/>
      <c r="D267" s="192"/>
      <c r="E267" s="192"/>
      <c r="F267" s="192"/>
      <c r="G267" s="192"/>
      <c r="H267" s="192"/>
      <c r="I267" s="192"/>
      <c r="J267" s="192"/>
      <c r="K267" s="192"/>
      <c r="L267" s="192"/>
      <c r="M267" s="192"/>
      <c r="N267" s="192"/>
      <c r="O267" s="192"/>
      <c r="P267" s="192"/>
      <c r="Q267" s="192"/>
      <c r="R267" s="192"/>
      <c r="S267" s="192"/>
      <c r="T267" s="192"/>
      <c r="U267" s="192"/>
      <c r="V267" s="192"/>
      <c r="W267" s="192"/>
      <c r="X267" s="192"/>
      <c r="Y267" s="192"/>
      <c r="Z267" s="192"/>
      <c r="AA267" s="192"/>
      <c r="AB267" s="192"/>
      <c r="AC267" s="192"/>
      <c r="AD267" s="192"/>
      <c r="AE267" s="192"/>
      <c r="AF267" s="192"/>
      <c r="AG267" s="192"/>
      <c r="AH267" s="192"/>
      <c r="AI267" s="192"/>
      <c r="AJ267" s="192"/>
      <c r="AK267" s="192"/>
      <c r="AL267" s="192"/>
      <c r="AM267" s="192"/>
      <c r="AN267" s="192"/>
      <c r="AO267" s="192"/>
      <c r="AP267" s="192"/>
      <c r="AQ267" s="192"/>
      <c r="AR267" s="192"/>
      <c r="AS267" s="192"/>
      <c r="AT267" s="192"/>
      <c r="AU267" s="192"/>
      <c r="AV267" s="192"/>
      <c r="AW267" s="192"/>
      <c r="AX267" s="192"/>
      <c r="AY267" s="192"/>
      <c r="AZ267" s="192"/>
      <c r="BA267" s="67">
        <v>255</v>
      </c>
      <c r="BB267" s="68">
        <f t="shared" si="66"/>
        <v>0</v>
      </c>
      <c r="BC267" s="192">
        <f t="shared" si="67"/>
        <v>0</v>
      </c>
      <c r="BD267" s="70">
        <f t="shared" si="69"/>
        <v>0</v>
      </c>
      <c r="BE267" s="70">
        <f t="shared" si="69"/>
        <v>0</v>
      </c>
      <c r="BF267" s="192"/>
      <c r="BG267" s="192"/>
      <c r="BH267" s="192"/>
      <c r="BI267" s="192"/>
      <c r="BJ267" s="192"/>
      <c r="BK267" s="192"/>
      <c r="BL267" s="192"/>
      <c r="BM267" s="192"/>
      <c r="BN267" s="192"/>
      <c r="BO267" s="192"/>
      <c r="BP267" s="192"/>
      <c r="BQ267" s="192"/>
      <c r="BR267" s="192"/>
      <c r="BS267" s="192"/>
      <c r="BT267" s="192"/>
      <c r="BU267" s="192"/>
      <c r="BV267" s="192"/>
      <c r="BW267" s="192"/>
      <c r="BX267" s="192"/>
      <c r="BY267" s="192"/>
      <c r="BZ267" s="192"/>
      <c r="CA267" s="192"/>
      <c r="CB267" s="192"/>
      <c r="CC267" s="192"/>
      <c r="CD267" s="192"/>
      <c r="CE267" s="192"/>
      <c r="CF267" s="192"/>
      <c r="CG267" s="192"/>
      <c r="CH267" s="192"/>
      <c r="CI267" s="796"/>
      <c r="CJ267" s="796"/>
      <c r="CK267" s="192"/>
      <c r="CL267" s="192"/>
      <c r="CM267" s="192"/>
      <c r="CN267" s="192"/>
      <c r="CO267" s="192"/>
      <c r="CP267" s="192"/>
      <c r="CQ267" s="192"/>
      <c r="CR267" s="192"/>
      <c r="CS267" s="192"/>
      <c r="CT267" s="192"/>
      <c r="CU267" s="192"/>
      <c r="CV267" s="192"/>
      <c r="CW267" s="192"/>
      <c r="CX267" s="192"/>
      <c r="CY267" s="192"/>
    </row>
    <row r="268" spans="1:103">
      <c r="A268" s="796" t="s">
        <v>511</v>
      </c>
      <c r="B268" s="796" t="s">
        <v>511</v>
      </c>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c r="AF268" s="192"/>
      <c r="AG268" s="192"/>
      <c r="AH268" s="192"/>
      <c r="AI268" s="192"/>
      <c r="AJ268" s="192"/>
      <c r="AK268" s="192"/>
      <c r="AL268" s="192"/>
      <c r="AM268" s="192"/>
      <c r="AN268" s="192"/>
      <c r="AO268" s="192"/>
      <c r="AP268" s="192"/>
      <c r="AQ268" s="192"/>
      <c r="AR268" s="192"/>
      <c r="AS268" s="192"/>
      <c r="AT268" s="192"/>
      <c r="AU268" s="192"/>
      <c r="AV268" s="192"/>
      <c r="AW268" s="192"/>
      <c r="AX268" s="192"/>
      <c r="AY268" s="192"/>
      <c r="AZ268" s="192"/>
      <c r="BA268" s="67">
        <v>256</v>
      </c>
      <c r="BB268" s="68">
        <f t="shared" si="66"/>
        <v>0</v>
      </c>
      <c r="BC268" s="192">
        <f t="shared" si="67"/>
        <v>0</v>
      </c>
      <c r="BD268" s="70">
        <f t="shared" si="69"/>
        <v>0</v>
      </c>
      <c r="BE268" s="70">
        <f t="shared" si="69"/>
        <v>0</v>
      </c>
      <c r="BF268" s="192"/>
      <c r="BG268" s="192"/>
      <c r="BH268" s="192"/>
      <c r="BI268" s="192"/>
      <c r="BJ268" s="192"/>
      <c r="BK268" s="192"/>
      <c r="BL268" s="192"/>
      <c r="BM268" s="192"/>
      <c r="BN268" s="192"/>
      <c r="BO268" s="192"/>
      <c r="BP268" s="192"/>
      <c r="BQ268" s="192"/>
      <c r="BR268" s="192"/>
      <c r="BS268" s="192"/>
      <c r="BT268" s="192"/>
      <c r="BU268" s="192"/>
      <c r="BV268" s="192"/>
      <c r="BW268" s="192"/>
      <c r="BX268" s="192"/>
      <c r="BY268" s="192"/>
      <c r="BZ268" s="192"/>
      <c r="CA268" s="192"/>
      <c r="CB268" s="192"/>
      <c r="CC268" s="192"/>
      <c r="CD268" s="192"/>
      <c r="CE268" s="192"/>
      <c r="CF268" s="192"/>
      <c r="CG268" s="192"/>
      <c r="CH268" s="192"/>
      <c r="CI268" s="796"/>
      <c r="CJ268" s="796"/>
      <c r="CK268" s="192"/>
      <c r="CL268" s="192"/>
      <c r="CM268" s="192"/>
      <c r="CN268" s="192"/>
      <c r="CO268" s="192"/>
      <c r="CP268" s="192"/>
      <c r="CQ268" s="192"/>
      <c r="CR268" s="192"/>
      <c r="CS268" s="192"/>
      <c r="CT268" s="192"/>
      <c r="CU268" s="192"/>
      <c r="CV268" s="192"/>
      <c r="CW268" s="192"/>
      <c r="CX268" s="192"/>
      <c r="CY268" s="192"/>
    </row>
    <row r="269" spans="1:103">
      <c r="A269" s="796" t="s">
        <v>512</v>
      </c>
      <c r="B269" s="796" t="s">
        <v>512</v>
      </c>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192"/>
      <c r="AD269" s="192"/>
      <c r="AE269" s="192"/>
      <c r="AF269" s="192"/>
      <c r="AG269" s="192"/>
      <c r="AH269" s="192"/>
      <c r="AI269" s="192"/>
      <c r="AJ269" s="192"/>
      <c r="AK269" s="192"/>
      <c r="AL269" s="192"/>
      <c r="AM269" s="192"/>
      <c r="AN269" s="192"/>
      <c r="AO269" s="192"/>
      <c r="AP269" s="192"/>
      <c r="AQ269" s="192"/>
      <c r="AR269" s="192"/>
      <c r="AS269" s="192"/>
      <c r="AT269" s="192"/>
      <c r="AU269" s="192"/>
      <c r="AV269" s="192"/>
      <c r="AW269" s="192"/>
      <c r="AX269" s="192"/>
      <c r="AY269" s="192"/>
      <c r="AZ269" s="192"/>
      <c r="BA269" s="67">
        <v>257</v>
      </c>
      <c r="BB269" s="68">
        <f t="shared" si="66"/>
        <v>0</v>
      </c>
      <c r="BC269" s="69">
        <f t="shared" si="67"/>
        <v>0</v>
      </c>
      <c r="BD269" s="70">
        <f t="shared" si="69"/>
        <v>0</v>
      </c>
      <c r="BE269" s="70">
        <f t="shared" si="69"/>
        <v>0</v>
      </c>
    </row>
    <row r="270" spans="1:103">
      <c r="A270" s="796" t="s">
        <v>513</v>
      </c>
      <c r="B270" s="796" t="s">
        <v>513</v>
      </c>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192"/>
      <c r="AD270" s="192"/>
      <c r="AE270" s="192"/>
      <c r="AF270" s="192"/>
      <c r="AG270" s="192"/>
      <c r="AH270" s="192"/>
      <c r="AI270" s="192"/>
      <c r="AJ270" s="192"/>
      <c r="AK270" s="192"/>
      <c r="AL270" s="192"/>
      <c r="AM270" s="192"/>
      <c r="AN270" s="192"/>
      <c r="AO270" s="192"/>
      <c r="AP270" s="192"/>
      <c r="AQ270" s="192"/>
      <c r="AR270" s="192"/>
      <c r="AS270" s="192"/>
      <c r="AT270" s="192"/>
      <c r="AU270" s="192"/>
      <c r="AV270" s="192"/>
      <c r="AW270" s="192"/>
      <c r="AX270" s="192"/>
      <c r="AY270" s="192"/>
      <c r="AZ270" s="192"/>
      <c r="BA270" s="67">
        <v>258</v>
      </c>
      <c r="BB270" s="68">
        <f t="shared" si="66"/>
        <v>0</v>
      </c>
      <c r="BC270" s="69">
        <f t="shared" si="67"/>
        <v>0</v>
      </c>
      <c r="BD270" s="70">
        <f t="shared" si="69"/>
        <v>0</v>
      </c>
      <c r="BE270" s="70">
        <f t="shared" si="69"/>
        <v>0</v>
      </c>
    </row>
    <row r="271" spans="1:103">
      <c r="A271" s="796" t="s">
        <v>514</v>
      </c>
      <c r="B271" s="796" t="s">
        <v>514</v>
      </c>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192"/>
      <c r="AD271" s="192"/>
      <c r="AE271" s="192"/>
      <c r="AF271" s="192"/>
      <c r="AG271" s="192"/>
      <c r="AH271" s="192"/>
      <c r="AI271" s="192"/>
      <c r="AJ271" s="192"/>
      <c r="AK271" s="192"/>
      <c r="AL271" s="192"/>
      <c r="AM271" s="192"/>
      <c r="AN271" s="192"/>
      <c r="AO271" s="192"/>
      <c r="AP271" s="192"/>
      <c r="AQ271" s="192"/>
      <c r="AR271" s="192"/>
      <c r="AS271" s="192"/>
      <c r="AT271" s="192"/>
      <c r="AU271" s="192"/>
      <c r="AV271" s="192"/>
      <c r="AW271" s="192"/>
      <c r="AX271" s="192"/>
      <c r="AY271" s="192"/>
      <c r="AZ271" s="192"/>
      <c r="BA271" s="67">
        <v>259</v>
      </c>
      <c r="BB271" s="68">
        <f t="shared" si="66"/>
        <v>0</v>
      </c>
      <c r="BC271" s="69">
        <f t="shared" si="67"/>
        <v>0</v>
      </c>
      <c r="BD271" s="70">
        <f t="shared" si="69"/>
        <v>0</v>
      </c>
      <c r="BE271" s="70">
        <f t="shared" si="69"/>
        <v>0</v>
      </c>
    </row>
    <row r="272" spans="1:103">
      <c r="A272" s="829" t="s">
        <v>515</v>
      </c>
      <c r="B272" s="829" t="s">
        <v>515</v>
      </c>
      <c r="C272" s="192"/>
      <c r="D272" s="192"/>
      <c r="E272" s="192"/>
      <c r="F272" s="192"/>
      <c r="G272" s="192"/>
      <c r="H272" s="192"/>
      <c r="I272" s="192"/>
      <c r="J272" s="192"/>
      <c r="K272" s="192"/>
      <c r="L272" s="192"/>
      <c r="M272" s="192"/>
      <c r="N272" s="192"/>
      <c r="O272" s="192"/>
      <c r="P272" s="192"/>
      <c r="Q272" s="192"/>
      <c r="R272" s="192"/>
      <c r="S272" s="192"/>
      <c r="T272" s="192"/>
      <c r="U272" s="192"/>
      <c r="V272" s="192"/>
      <c r="W272" s="192"/>
      <c r="X272" s="192"/>
      <c r="Y272" s="192"/>
      <c r="Z272" s="192"/>
      <c r="AA272" s="192"/>
      <c r="AB272" s="192"/>
      <c r="AC272" s="192"/>
      <c r="AD272" s="192"/>
      <c r="AE272" s="192"/>
      <c r="AF272" s="192"/>
      <c r="AG272" s="192"/>
      <c r="AH272" s="192"/>
      <c r="AI272" s="192"/>
      <c r="AJ272" s="192"/>
      <c r="AK272" s="192"/>
      <c r="AL272" s="192"/>
      <c r="AM272" s="192"/>
      <c r="AN272" s="192"/>
      <c r="AO272" s="192"/>
      <c r="AP272" s="192"/>
      <c r="AQ272" s="192"/>
      <c r="AR272" s="192"/>
      <c r="AS272" s="192"/>
      <c r="AT272" s="192"/>
      <c r="AU272" s="192"/>
      <c r="AV272" s="192"/>
      <c r="AW272" s="192"/>
      <c r="AX272" s="192"/>
      <c r="AY272" s="192"/>
      <c r="AZ272" s="192"/>
      <c r="BA272" s="67">
        <v>260</v>
      </c>
      <c r="BB272" s="68">
        <f t="shared" si="66"/>
        <v>0</v>
      </c>
      <c r="BC272" s="69">
        <f t="shared" si="67"/>
        <v>0</v>
      </c>
      <c r="BD272" s="70">
        <f t="shared" si="69"/>
        <v>0</v>
      </c>
      <c r="BE272" s="70">
        <f t="shared" si="69"/>
        <v>0</v>
      </c>
    </row>
    <row r="273" spans="1:57">
      <c r="A273" s="829" t="s">
        <v>516</v>
      </c>
      <c r="B273" s="829" t="s">
        <v>516</v>
      </c>
      <c r="C273" s="192"/>
      <c r="D273" s="192"/>
      <c r="E273" s="192"/>
      <c r="F273" s="192"/>
      <c r="G273" s="192"/>
      <c r="H273" s="192"/>
      <c r="I273" s="192"/>
      <c r="J273" s="192"/>
      <c r="K273" s="192"/>
      <c r="L273" s="192"/>
      <c r="M273" s="192"/>
      <c r="N273" s="192"/>
      <c r="O273" s="192"/>
      <c r="P273" s="192"/>
      <c r="Q273" s="192"/>
      <c r="R273" s="192"/>
      <c r="S273" s="192"/>
      <c r="T273" s="192"/>
      <c r="U273" s="192"/>
      <c r="V273" s="192"/>
      <c r="W273" s="192"/>
      <c r="X273" s="192"/>
      <c r="Y273" s="192"/>
      <c r="Z273" s="192"/>
      <c r="AA273" s="192"/>
      <c r="AB273" s="192"/>
      <c r="AC273" s="192"/>
      <c r="AD273" s="192"/>
      <c r="AE273" s="192"/>
      <c r="AF273" s="192"/>
      <c r="AG273" s="192"/>
      <c r="AH273" s="192"/>
      <c r="AI273" s="192"/>
      <c r="AJ273" s="192"/>
      <c r="AK273" s="192"/>
      <c r="AL273" s="192"/>
      <c r="AM273" s="192"/>
      <c r="AN273" s="192"/>
      <c r="AO273" s="192"/>
      <c r="AP273" s="192"/>
      <c r="AQ273" s="192"/>
      <c r="AR273" s="192"/>
      <c r="AS273" s="192"/>
      <c r="AT273" s="192"/>
      <c r="AU273" s="192"/>
      <c r="AV273" s="192"/>
      <c r="AW273" s="192"/>
      <c r="AX273" s="192"/>
      <c r="AY273" s="192"/>
      <c r="AZ273" s="192"/>
      <c r="BA273" s="67">
        <v>261</v>
      </c>
      <c r="BB273" s="68">
        <f>COUNTA(H227:I227)</f>
        <v>0</v>
      </c>
      <c r="BC273" s="69">
        <f>COUNTA(X227)</f>
        <v>0</v>
      </c>
      <c r="BD273" s="70">
        <f t="shared" ref="BD273:BE302" si="70">BB273-COUNTA(H227)</f>
        <v>0</v>
      </c>
      <c r="BE273" s="70">
        <f t="shared" si="70"/>
        <v>0</v>
      </c>
    </row>
    <row r="274" spans="1:57">
      <c r="A274" s="849" t="s">
        <v>517</v>
      </c>
      <c r="B274" s="849" t="s">
        <v>517</v>
      </c>
      <c r="C274" s="192"/>
      <c r="D274" s="192"/>
      <c r="E274" s="192"/>
      <c r="F274" s="192"/>
      <c r="G274" s="192"/>
      <c r="H274" s="192"/>
      <c r="I274" s="192"/>
      <c r="J274" s="192"/>
      <c r="K274" s="192"/>
      <c r="L274" s="192"/>
      <c r="M274" s="192"/>
      <c r="N274" s="192"/>
      <c r="O274" s="192"/>
      <c r="P274" s="192"/>
      <c r="Q274" s="192"/>
      <c r="R274" s="192"/>
      <c r="S274" s="192"/>
      <c r="T274" s="192"/>
      <c r="U274" s="192"/>
      <c r="V274" s="192"/>
      <c r="W274" s="192"/>
      <c r="X274" s="192"/>
      <c r="Y274" s="192"/>
      <c r="Z274" s="192"/>
      <c r="AA274" s="192"/>
      <c r="AB274" s="192"/>
      <c r="AC274" s="192"/>
      <c r="AD274" s="192"/>
      <c r="AE274" s="192"/>
      <c r="AF274" s="192"/>
      <c r="AG274" s="192"/>
      <c r="AH274" s="192"/>
      <c r="AI274" s="192"/>
      <c r="AJ274" s="192"/>
      <c r="AK274" s="192"/>
      <c r="AL274" s="192"/>
      <c r="AM274" s="192"/>
      <c r="AN274" s="192"/>
      <c r="AO274" s="192"/>
      <c r="AP274" s="192"/>
      <c r="AQ274" s="192"/>
      <c r="AR274" s="192"/>
      <c r="AS274" s="192"/>
      <c r="AT274" s="192"/>
      <c r="AU274" s="192"/>
      <c r="AV274" s="192"/>
      <c r="AW274" s="192"/>
      <c r="AX274" s="192"/>
      <c r="AY274" s="192"/>
      <c r="AZ274" s="192"/>
      <c r="BA274" s="67">
        <v>262</v>
      </c>
      <c r="BB274" s="68">
        <f t="shared" ref="BB274:BB302" si="71">COUNTA(H228:I228)</f>
        <v>0</v>
      </c>
      <c r="BC274" s="69">
        <f t="shared" ref="BC274:BC302" si="72">COUNTA(X228)</f>
        <v>0</v>
      </c>
      <c r="BD274" s="70">
        <f t="shared" si="70"/>
        <v>0</v>
      </c>
      <c r="BE274" s="70">
        <f t="shared" si="70"/>
        <v>0</v>
      </c>
    </row>
    <row r="275" spans="1:57">
      <c r="A275" s="849" t="s">
        <v>518</v>
      </c>
      <c r="B275" s="849" t="s">
        <v>518</v>
      </c>
      <c r="C275" s="192"/>
      <c r="D275" s="192"/>
      <c r="E275" s="192"/>
      <c r="F275" s="192"/>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192"/>
      <c r="AD275" s="192"/>
      <c r="AE275" s="192"/>
      <c r="AF275" s="192"/>
      <c r="AG275" s="192"/>
      <c r="AH275" s="192"/>
      <c r="AI275" s="192"/>
      <c r="AJ275" s="192"/>
      <c r="AK275" s="192"/>
      <c r="AL275" s="192"/>
      <c r="AM275" s="192"/>
      <c r="AN275" s="192"/>
      <c r="AO275" s="192"/>
      <c r="AP275" s="192"/>
      <c r="AQ275" s="192"/>
      <c r="AR275" s="192"/>
      <c r="AS275" s="192"/>
      <c r="AT275" s="192"/>
      <c r="AU275" s="192"/>
      <c r="AV275" s="192"/>
      <c r="AW275" s="192"/>
      <c r="AX275" s="192"/>
      <c r="AY275" s="192"/>
      <c r="AZ275" s="192"/>
      <c r="BA275" s="67">
        <v>263</v>
      </c>
      <c r="BB275" s="68">
        <f t="shared" si="71"/>
        <v>0</v>
      </c>
      <c r="BC275" s="69">
        <f t="shared" si="72"/>
        <v>0</v>
      </c>
      <c r="BD275" s="70">
        <f t="shared" si="70"/>
        <v>0</v>
      </c>
      <c r="BE275" s="70">
        <f t="shared" si="70"/>
        <v>0</v>
      </c>
    </row>
    <row r="276" spans="1:57">
      <c r="A276" s="849" t="s">
        <v>519</v>
      </c>
      <c r="B276" s="849" t="s">
        <v>519</v>
      </c>
      <c r="C276" s="192"/>
      <c r="D276" s="192"/>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192"/>
      <c r="AD276" s="192"/>
      <c r="AE276" s="192"/>
      <c r="AF276" s="192"/>
      <c r="AG276" s="192"/>
      <c r="AH276" s="192"/>
      <c r="AI276" s="192"/>
      <c r="AJ276" s="192"/>
      <c r="AK276" s="192"/>
      <c r="AL276" s="192"/>
      <c r="AM276" s="192"/>
      <c r="AN276" s="192"/>
      <c r="AO276" s="192"/>
      <c r="AP276" s="192"/>
      <c r="AQ276" s="192"/>
      <c r="AR276" s="192"/>
      <c r="AS276" s="192"/>
      <c r="AT276" s="192"/>
      <c r="AU276" s="192"/>
      <c r="AV276" s="192"/>
      <c r="AW276" s="192"/>
      <c r="AX276" s="192"/>
      <c r="AY276" s="192"/>
      <c r="AZ276" s="192"/>
      <c r="BA276" s="67">
        <v>264</v>
      </c>
      <c r="BB276" s="68">
        <f t="shared" si="71"/>
        <v>0</v>
      </c>
      <c r="BC276" s="69">
        <f t="shared" si="72"/>
        <v>0</v>
      </c>
      <c r="BD276" s="70">
        <f t="shared" si="70"/>
        <v>0</v>
      </c>
      <c r="BE276" s="70">
        <f t="shared" si="70"/>
        <v>0</v>
      </c>
    </row>
    <row r="277" spans="1:57">
      <c r="A277" s="849" t="s">
        <v>520</v>
      </c>
      <c r="B277" s="849" t="s">
        <v>520</v>
      </c>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192"/>
      <c r="AL277" s="192"/>
      <c r="AM277" s="192"/>
      <c r="AN277" s="192"/>
      <c r="AO277" s="192"/>
      <c r="AP277" s="192"/>
      <c r="AQ277" s="192"/>
      <c r="AR277" s="192"/>
      <c r="AS277" s="192"/>
      <c r="AT277" s="192"/>
      <c r="AU277" s="192"/>
      <c r="AV277" s="192"/>
      <c r="AW277" s="192"/>
      <c r="AX277" s="192"/>
      <c r="AY277" s="192"/>
      <c r="AZ277" s="192"/>
      <c r="BA277" s="67">
        <v>265</v>
      </c>
      <c r="BB277" s="68">
        <f t="shared" si="71"/>
        <v>0</v>
      </c>
      <c r="BC277" s="69">
        <f t="shared" si="72"/>
        <v>0</v>
      </c>
      <c r="BD277" s="70">
        <f t="shared" si="70"/>
        <v>0</v>
      </c>
      <c r="BE277" s="70">
        <f t="shared" si="70"/>
        <v>0</v>
      </c>
    </row>
    <row r="278" spans="1:57">
      <c r="A278" s="849" t="s">
        <v>521</v>
      </c>
      <c r="B278" s="849" t="s">
        <v>521</v>
      </c>
      <c r="C278" s="192"/>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192"/>
      <c r="AK278" s="192"/>
      <c r="AL278" s="192"/>
      <c r="AM278" s="192"/>
      <c r="AN278" s="192"/>
      <c r="AO278" s="192"/>
      <c r="AP278" s="192"/>
      <c r="AQ278" s="192"/>
      <c r="AR278" s="192"/>
      <c r="AS278" s="192"/>
      <c r="AT278" s="192"/>
      <c r="AU278" s="192"/>
      <c r="AV278" s="192"/>
      <c r="AW278" s="192"/>
      <c r="AX278" s="192"/>
      <c r="AY278" s="192"/>
      <c r="AZ278" s="192"/>
      <c r="BA278" s="67">
        <v>266</v>
      </c>
      <c r="BB278" s="68">
        <f t="shared" si="71"/>
        <v>0</v>
      </c>
      <c r="BC278" s="69">
        <f t="shared" si="72"/>
        <v>0</v>
      </c>
      <c r="BD278" s="70">
        <f t="shared" si="70"/>
        <v>0</v>
      </c>
      <c r="BE278" s="70">
        <f t="shared" si="70"/>
        <v>0</v>
      </c>
    </row>
    <row r="279" spans="1:57">
      <c r="A279" s="849" t="s">
        <v>522</v>
      </c>
      <c r="B279" s="849" t="s">
        <v>522</v>
      </c>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c r="AG279" s="192"/>
      <c r="AH279" s="192"/>
      <c r="AI279" s="192"/>
      <c r="AJ279" s="192"/>
      <c r="AK279" s="192"/>
      <c r="AL279" s="192"/>
      <c r="AM279" s="192"/>
      <c r="AN279" s="192"/>
      <c r="AO279" s="192"/>
      <c r="AP279" s="192"/>
      <c r="AQ279" s="192"/>
      <c r="AR279" s="192"/>
      <c r="AS279" s="192"/>
      <c r="AT279" s="192"/>
      <c r="AU279" s="192"/>
      <c r="AV279" s="192"/>
      <c r="AW279" s="192"/>
      <c r="AX279" s="192"/>
      <c r="AY279" s="192"/>
      <c r="AZ279" s="192"/>
      <c r="BA279" s="67">
        <v>267</v>
      </c>
      <c r="BB279" s="68">
        <f t="shared" si="71"/>
        <v>0</v>
      </c>
      <c r="BC279" s="69">
        <f t="shared" si="72"/>
        <v>0</v>
      </c>
      <c r="BD279" s="70">
        <f t="shared" si="70"/>
        <v>0</v>
      </c>
      <c r="BE279" s="70">
        <f t="shared" si="70"/>
        <v>0</v>
      </c>
    </row>
    <row r="280" spans="1:57">
      <c r="A280" s="829" t="s">
        <v>523</v>
      </c>
      <c r="B280" s="829" t="s">
        <v>523</v>
      </c>
      <c r="C280" s="192"/>
      <c r="D280" s="192"/>
      <c r="E280" s="192"/>
      <c r="F280" s="192"/>
      <c r="G280" s="192"/>
      <c r="H280" s="192"/>
      <c r="I280" s="192"/>
      <c r="J280" s="192"/>
      <c r="K280" s="192"/>
      <c r="L280" s="192"/>
      <c r="M280" s="192"/>
      <c r="N280" s="192"/>
      <c r="O280" s="192"/>
      <c r="P280" s="192"/>
      <c r="Q280" s="192"/>
      <c r="R280" s="192"/>
      <c r="S280" s="192"/>
      <c r="T280" s="192"/>
      <c r="U280" s="192"/>
      <c r="V280" s="192"/>
      <c r="W280" s="192"/>
      <c r="X280" s="192"/>
      <c r="Y280" s="192"/>
      <c r="Z280" s="192"/>
      <c r="AA280" s="192"/>
      <c r="AB280" s="192"/>
      <c r="AC280" s="192"/>
      <c r="AD280" s="192"/>
      <c r="AE280" s="192"/>
      <c r="AF280" s="192"/>
      <c r="AG280" s="192"/>
      <c r="AH280" s="192"/>
      <c r="AI280" s="192"/>
      <c r="AJ280" s="192"/>
      <c r="AK280" s="192"/>
      <c r="AL280" s="192"/>
      <c r="AM280" s="192"/>
      <c r="AN280" s="192"/>
      <c r="AO280" s="192"/>
      <c r="AP280" s="192"/>
      <c r="AQ280" s="192"/>
      <c r="AR280" s="192"/>
      <c r="AS280" s="192"/>
      <c r="AT280" s="192"/>
      <c r="AU280" s="192"/>
      <c r="AV280" s="192"/>
      <c r="AW280" s="192"/>
      <c r="AX280" s="192"/>
      <c r="AY280" s="192"/>
      <c r="AZ280" s="192"/>
      <c r="BA280" s="67">
        <v>268</v>
      </c>
      <c r="BB280" s="68">
        <f t="shared" si="71"/>
        <v>0</v>
      </c>
      <c r="BC280" s="69">
        <f t="shared" si="72"/>
        <v>0</v>
      </c>
      <c r="BD280" s="70">
        <f t="shared" si="70"/>
        <v>0</v>
      </c>
      <c r="BE280" s="70">
        <f t="shared" si="70"/>
        <v>0</v>
      </c>
    </row>
    <row r="281" spans="1:57">
      <c r="A281" s="829" t="s">
        <v>524</v>
      </c>
      <c r="B281" s="829" t="s">
        <v>524</v>
      </c>
      <c r="C281" s="192"/>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2"/>
      <c r="AL281" s="192"/>
      <c r="AM281" s="192"/>
      <c r="AN281" s="192"/>
      <c r="AO281" s="192"/>
      <c r="AP281" s="192"/>
      <c r="AQ281" s="192"/>
      <c r="AR281" s="192"/>
      <c r="AS281" s="192"/>
      <c r="AT281" s="192"/>
      <c r="AU281" s="192"/>
      <c r="AV281" s="192"/>
      <c r="AW281" s="192"/>
      <c r="AX281" s="192"/>
      <c r="AY281" s="192"/>
      <c r="AZ281" s="192"/>
      <c r="BA281" s="67">
        <v>269</v>
      </c>
      <c r="BB281" s="68">
        <f t="shared" si="71"/>
        <v>0</v>
      </c>
      <c r="BC281" s="69">
        <f t="shared" si="72"/>
        <v>0</v>
      </c>
      <c r="BD281" s="70">
        <f t="shared" si="70"/>
        <v>0</v>
      </c>
      <c r="BE281" s="70">
        <f t="shared" si="70"/>
        <v>0</v>
      </c>
    </row>
    <row r="282" spans="1:57">
      <c r="A282" s="829" t="s">
        <v>525</v>
      </c>
      <c r="B282" s="829" t="s">
        <v>525</v>
      </c>
      <c r="C282" s="192"/>
      <c r="D282" s="192"/>
      <c r="E282" s="192"/>
      <c r="F282" s="192"/>
      <c r="G282" s="192"/>
      <c r="H282" s="192"/>
      <c r="I282" s="192"/>
      <c r="J282" s="192"/>
      <c r="K282" s="192"/>
      <c r="L282" s="192"/>
      <c r="M282" s="192"/>
      <c r="N282" s="192"/>
      <c r="O282" s="192"/>
      <c r="P282" s="192"/>
      <c r="Q282" s="192"/>
      <c r="R282" s="192"/>
      <c r="S282" s="192"/>
      <c r="T282" s="192"/>
      <c r="U282" s="192"/>
      <c r="V282" s="192"/>
      <c r="W282" s="192"/>
      <c r="X282" s="192"/>
      <c r="Y282" s="192"/>
      <c r="Z282" s="192"/>
      <c r="AA282" s="192"/>
      <c r="AB282" s="192"/>
      <c r="AC282" s="192"/>
      <c r="AD282" s="192"/>
      <c r="AE282" s="192"/>
      <c r="AF282" s="192"/>
      <c r="AG282" s="192"/>
      <c r="AH282" s="192"/>
      <c r="AI282" s="192"/>
      <c r="AJ282" s="192"/>
      <c r="AK282" s="192"/>
      <c r="AL282" s="192"/>
      <c r="AM282" s="192"/>
      <c r="AN282" s="192"/>
      <c r="AO282" s="192"/>
      <c r="AP282" s="192"/>
      <c r="AQ282" s="192"/>
      <c r="AR282" s="192"/>
      <c r="AS282" s="192"/>
      <c r="AT282" s="192"/>
      <c r="AU282" s="192"/>
      <c r="AV282" s="192"/>
      <c r="AW282" s="192"/>
      <c r="AX282" s="192"/>
      <c r="AY282" s="192"/>
      <c r="AZ282" s="192"/>
      <c r="BA282" s="67">
        <v>270</v>
      </c>
      <c r="BB282" s="68">
        <f t="shared" si="71"/>
        <v>0</v>
      </c>
      <c r="BC282" s="69">
        <f t="shared" si="72"/>
        <v>0</v>
      </c>
      <c r="BD282" s="70">
        <f t="shared" si="70"/>
        <v>0</v>
      </c>
      <c r="BE282" s="70">
        <f t="shared" si="70"/>
        <v>0</v>
      </c>
    </row>
    <row r="283" spans="1:57">
      <c r="A283" s="829" t="s">
        <v>526</v>
      </c>
      <c r="B283" s="829" t="s">
        <v>526</v>
      </c>
      <c r="C283" s="192"/>
      <c r="D283" s="192"/>
      <c r="E283" s="192"/>
      <c r="F283" s="192"/>
      <c r="G283" s="192"/>
      <c r="H283" s="192"/>
      <c r="I283" s="192"/>
      <c r="J283" s="192"/>
      <c r="K283" s="192"/>
      <c r="L283" s="192"/>
      <c r="M283" s="192"/>
      <c r="N283" s="192"/>
      <c r="O283" s="192"/>
      <c r="P283" s="192"/>
      <c r="Q283" s="192"/>
      <c r="R283" s="192"/>
      <c r="S283" s="192"/>
      <c r="T283" s="192"/>
      <c r="U283" s="192"/>
      <c r="V283" s="192"/>
      <c r="W283" s="192"/>
      <c r="X283" s="192"/>
      <c r="Y283" s="192"/>
      <c r="Z283" s="192"/>
      <c r="AA283" s="192"/>
      <c r="AB283" s="192"/>
      <c r="AC283" s="192"/>
      <c r="AD283" s="192"/>
      <c r="AE283" s="192"/>
      <c r="AF283" s="192"/>
      <c r="AG283" s="192"/>
      <c r="AH283" s="192"/>
      <c r="AI283" s="192"/>
      <c r="AJ283" s="192"/>
      <c r="AK283" s="192"/>
      <c r="AL283" s="192"/>
      <c r="AM283" s="192"/>
      <c r="AN283" s="192"/>
      <c r="AO283" s="192"/>
      <c r="AP283" s="192"/>
      <c r="AQ283" s="192"/>
      <c r="AR283" s="192"/>
      <c r="AS283" s="192"/>
      <c r="AT283" s="192"/>
      <c r="AU283" s="192"/>
      <c r="AV283" s="192"/>
      <c r="AW283" s="192"/>
      <c r="AX283" s="192"/>
      <c r="AY283" s="192"/>
      <c r="AZ283" s="192"/>
      <c r="BA283" s="67">
        <v>271</v>
      </c>
      <c r="BB283" s="68">
        <f t="shared" si="71"/>
        <v>0</v>
      </c>
      <c r="BC283" s="69">
        <f t="shared" si="72"/>
        <v>0</v>
      </c>
      <c r="BD283" s="70">
        <f t="shared" si="70"/>
        <v>0</v>
      </c>
      <c r="BE283" s="70">
        <f t="shared" si="70"/>
        <v>0</v>
      </c>
    </row>
    <row r="284" spans="1:57">
      <c r="A284" s="829" t="s">
        <v>527</v>
      </c>
      <c r="B284" s="829" t="s">
        <v>527</v>
      </c>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192"/>
      <c r="AL284" s="192"/>
      <c r="AM284" s="192"/>
      <c r="AN284" s="192"/>
      <c r="AO284" s="192"/>
      <c r="AP284" s="192"/>
      <c r="AQ284" s="192"/>
      <c r="AR284" s="192"/>
      <c r="AS284" s="192"/>
      <c r="AT284" s="192"/>
      <c r="AU284" s="192"/>
      <c r="AV284" s="192"/>
      <c r="AW284" s="192"/>
      <c r="AX284" s="192"/>
      <c r="AY284" s="192"/>
      <c r="AZ284" s="192"/>
      <c r="BA284" s="67">
        <v>272</v>
      </c>
      <c r="BB284" s="68">
        <f t="shared" si="71"/>
        <v>0</v>
      </c>
      <c r="BC284" s="69">
        <f t="shared" si="72"/>
        <v>0</v>
      </c>
      <c r="BD284" s="70">
        <f t="shared" si="70"/>
        <v>0</v>
      </c>
      <c r="BE284" s="70">
        <f t="shared" si="70"/>
        <v>0</v>
      </c>
    </row>
    <row r="285" spans="1:57">
      <c r="A285" s="829" t="s">
        <v>544</v>
      </c>
      <c r="B285" s="829" t="s">
        <v>544</v>
      </c>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c r="AF285" s="192"/>
      <c r="AG285" s="192"/>
      <c r="AH285" s="192"/>
      <c r="AI285" s="192"/>
      <c r="AJ285" s="192"/>
      <c r="AK285" s="192"/>
      <c r="AL285" s="192"/>
      <c r="AM285" s="192"/>
      <c r="AN285" s="192"/>
      <c r="AO285" s="192"/>
      <c r="AP285" s="192"/>
      <c r="AQ285" s="192"/>
      <c r="AR285" s="192"/>
      <c r="AS285" s="192"/>
      <c r="AT285" s="192"/>
      <c r="AU285" s="192"/>
      <c r="AV285" s="192"/>
      <c r="AW285" s="192"/>
      <c r="AX285" s="192"/>
      <c r="AY285" s="192"/>
      <c r="AZ285" s="192"/>
      <c r="BA285" s="67">
        <v>273</v>
      </c>
      <c r="BB285" s="68">
        <f t="shared" si="71"/>
        <v>0</v>
      </c>
      <c r="BC285" s="69">
        <f t="shared" si="72"/>
        <v>0</v>
      </c>
      <c r="BD285" s="70">
        <f t="shared" si="70"/>
        <v>0</v>
      </c>
      <c r="BE285" s="70">
        <f t="shared" si="70"/>
        <v>0</v>
      </c>
    </row>
    <row r="286" spans="1:57">
      <c r="A286" s="192"/>
      <c r="B286" s="192"/>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192"/>
      <c r="AK286" s="192"/>
      <c r="AL286" s="192"/>
      <c r="AM286" s="192"/>
      <c r="AN286" s="192"/>
      <c r="AO286" s="192"/>
      <c r="AP286" s="192"/>
      <c r="AQ286" s="192"/>
      <c r="AR286" s="192"/>
      <c r="AS286" s="192"/>
      <c r="AT286" s="192"/>
      <c r="AU286" s="192"/>
      <c r="AV286" s="192"/>
      <c r="AW286" s="192"/>
      <c r="AX286" s="192"/>
      <c r="AY286" s="192"/>
      <c r="AZ286" s="192"/>
      <c r="BA286" s="67">
        <v>274</v>
      </c>
      <c r="BB286" s="68">
        <f t="shared" si="71"/>
        <v>0</v>
      </c>
      <c r="BC286" s="69">
        <f t="shared" si="72"/>
        <v>0</v>
      </c>
      <c r="BD286" s="70">
        <f t="shared" si="70"/>
        <v>0</v>
      </c>
      <c r="BE286" s="70">
        <f t="shared" si="70"/>
        <v>0</v>
      </c>
    </row>
    <row r="287" spans="1:57">
      <c r="A287" s="192"/>
      <c r="B287" s="192"/>
      <c r="C287" s="192"/>
      <c r="D287" s="192"/>
      <c r="E287" s="192"/>
      <c r="F287" s="192"/>
      <c r="G287" s="192"/>
      <c r="H287" s="192"/>
      <c r="I287" s="192"/>
      <c r="J287" s="192"/>
      <c r="K287" s="192"/>
      <c r="L287" s="192"/>
      <c r="M287" s="192"/>
      <c r="N287" s="192"/>
      <c r="O287" s="192"/>
      <c r="P287" s="192"/>
      <c r="Q287" s="192"/>
      <c r="R287" s="192"/>
      <c r="S287" s="192"/>
      <c r="T287" s="192"/>
      <c r="U287" s="192"/>
      <c r="V287" s="192"/>
      <c r="W287" s="192"/>
      <c r="X287" s="192"/>
      <c r="Y287" s="192"/>
      <c r="Z287" s="192"/>
      <c r="AA287" s="192"/>
      <c r="AB287" s="192"/>
      <c r="AC287" s="192"/>
      <c r="AD287" s="192"/>
      <c r="AE287" s="192"/>
      <c r="AF287" s="192"/>
      <c r="AG287" s="192"/>
      <c r="AH287" s="192"/>
      <c r="AI287" s="192"/>
      <c r="AJ287" s="192"/>
      <c r="AK287" s="192"/>
      <c r="AL287" s="192"/>
      <c r="AM287" s="192"/>
      <c r="AN287" s="192"/>
      <c r="AO287" s="192"/>
      <c r="AP287" s="192"/>
      <c r="AQ287" s="192"/>
      <c r="AR287" s="192"/>
      <c r="AS287" s="192"/>
      <c r="AT287" s="192"/>
      <c r="AU287" s="192"/>
      <c r="AV287" s="192"/>
      <c r="AW287" s="192"/>
      <c r="AX287" s="192"/>
      <c r="AY287" s="192"/>
      <c r="AZ287" s="192"/>
      <c r="BA287" s="67">
        <v>275</v>
      </c>
      <c r="BB287" s="68">
        <f t="shared" si="71"/>
        <v>0</v>
      </c>
      <c r="BC287" s="69">
        <f t="shared" si="72"/>
        <v>0</v>
      </c>
      <c r="BD287" s="70">
        <f t="shared" si="70"/>
        <v>0</v>
      </c>
      <c r="BE287" s="70">
        <f t="shared" si="70"/>
        <v>0</v>
      </c>
    </row>
    <row r="288" spans="1:57">
      <c r="A288" s="192"/>
      <c r="B288" s="192"/>
      <c r="C288" s="192"/>
      <c r="D288" s="192"/>
      <c r="E288" s="192"/>
      <c r="F288" s="192"/>
      <c r="G288" s="192"/>
      <c r="H288" s="192"/>
      <c r="I288" s="192"/>
      <c r="J288" s="192"/>
      <c r="K288" s="192"/>
      <c r="L288" s="192"/>
      <c r="M288" s="192"/>
      <c r="N288" s="192"/>
      <c r="O288" s="192"/>
      <c r="P288" s="192"/>
      <c r="Q288" s="192"/>
      <c r="R288" s="192"/>
      <c r="S288" s="192"/>
      <c r="T288" s="192"/>
      <c r="U288" s="192"/>
      <c r="V288" s="192"/>
      <c r="W288" s="192"/>
      <c r="X288" s="192"/>
      <c r="Y288" s="192"/>
      <c r="Z288" s="192"/>
      <c r="AA288" s="192"/>
      <c r="AB288" s="192"/>
      <c r="AC288" s="192"/>
      <c r="AD288" s="192"/>
      <c r="AE288" s="192"/>
      <c r="AF288" s="192"/>
      <c r="AG288" s="192"/>
      <c r="AH288" s="192"/>
      <c r="AI288" s="192"/>
      <c r="AJ288" s="192"/>
      <c r="AK288" s="192"/>
      <c r="AL288" s="192"/>
      <c r="AM288" s="192"/>
      <c r="AN288" s="192"/>
      <c r="AO288" s="192"/>
      <c r="AP288" s="192"/>
      <c r="AQ288" s="192"/>
      <c r="AR288" s="192"/>
      <c r="AS288" s="192"/>
      <c r="AT288" s="192"/>
      <c r="AU288" s="192"/>
      <c r="AV288" s="192"/>
      <c r="AW288" s="192"/>
      <c r="AX288" s="192"/>
      <c r="AY288" s="192"/>
      <c r="AZ288" s="192"/>
      <c r="BA288" s="67">
        <v>276</v>
      </c>
      <c r="BB288" s="68">
        <f t="shared" si="71"/>
        <v>0</v>
      </c>
      <c r="BC288" s="69">
        <f t="shared" si="72"/>
        <v>0</v>
      </c>
      <c r="BD288" s="70">
        <f t="shared" si="70"/>
        <v>0</v>
      </c>
      <c r="BE288" s="70">
        <f t="shared" si="70"/>
        <v>0</v>
      </c>
    </row>
    <row r="289" spans="1:57">
      <c r="A289" s="192"/>
      <c r="B289" s="192"/>
      <c r="C289" s="192"/>
      <c r="D289" s="192"/>
      <c r="E289" s="192"/>
      <c r="F289" s="192"/>
      <c r="G289" s="192"/>
      <c r="H289" s="192"/>
      <c r="I289" s="192"/>
      <c r="J289" s="192"/>
      <c r="K289" s="192"/>
      <c r="L289" s="192"/>
      <c r="M289" s="192"/>
      <c r="N289" s="192"/>
      <c r="O289" s="192"/>
      <c r="P289" s="192"/>
      <c r="Q289" s="192"/>
      <c r="R289" s="192"/>
      <c r="S289" s="192"/>
      <c r="T289" s="192"/>
      <c r="U289" s="192"/>
      <c r="V289" s="192"/>
      <c r="W289" s="192"/>
      <c r="X289" s="192"/>
      <c r="Y289" s="192"/>
      <c r="Z289" s="192"/>
      <c r="AA289" s="192"/>
      <c r="AB289" s="192"/>
      <c r="AC289" s="192"/>
      <c r="AD289" s="192"/>
      <c r="AE289" s="192"/>
      <c r="AF289" s="192"/>
      <c r="AG289" s="192"/>
      <c r="AH289" s="192"/>
      <c r="AI289" s="192"/>
      <c r="AJ289" s="192"/>
      <c r="AK289" s="192"/>
      <c r="AL289" s="192"/>
      <c r="AM289" s="192"/>
      <c r="AN289" s="192"/>
      <c r="AO289" s="192"/>
      <c r="AP289" s="192"/>
      <c r="AQ289" s="192"/>
      <c r="AR289" s="192"/>
      <c r="AS289" s="192"/>
      <c r="AT289" s="192"/>
      <c r="AU289" s="192"/>
      <c r="AV289" s="192"/>
      <c r="AW289" s="192"/>
      <c r="AX289" s="192"/>
      <c r="AY289" s="192"/>
      <c r="AZ289" s="192"/>
      <c r="BA289" s="67">
        <v>277</v>
      </c>
      <c r="BB289" s="68">
        <f t="shared" si="71"/>
        <v>0</v>
      </c>
      <c r="BC289" s="69">
        <f t="shared" si="72"/>
        <v>0</v>
      </c>
      <c r="BD289" s="70">
        <f t="shared" si="70"/>
        <v>0</v>
      </c>
      <c r="BE289" s="70">
        <f t="shared" si="70"/>
        <v>0</v>
      </c>
    </row>
    <row r="290" spans="1:57">
      <c r="A290" s="192"/>
      <c r="B290" s="192"/>
      <c r="C290" s="192"/>
      <c r="D290" s="192"/>
      <c r="E290" s="192"/>
      <c r="F290" s="192"/>
      <c r="G290" s="192"/>
      <c r="H290" s="192"/>
      <c r="I290" s="192"/>
      <c r="J290" s="192"/>
      <c r="K290" s="192"/>
      <c r="L290" s="192"/>
      <c r="M290" s="192"/>
      <c r="N290" s="192"/>
      <c r="O290" s="192"/>
      <c r="P290" s="192"/>
      <c r="Q290" s="192"/>
      <c r="R290" s="192"/>
      <c r="S290" s="192"/>
      <c r="T290" s="192"/>
      <c r="U290" s="192"/>
      <c r="V290" s="192"/>
      <c r="W290" s="192"/>
      <c r="X290" s="192"/>
      <c r="Y290" s="192"/>
      <c r="Z290" s="192"/>
      <c r="AA290" s="192"/>
      <c r="AB290" s="192"/>
      <c r="AC290" s="192"/>
      <c r="AD290" s="192"/>
      <c r="AE290" s="192"/>
      <c r="AF290" s="192"/>
      <c r="AG290" s="192"/>
      <c r="AH290" s="192"/>
      <c r="AI290" s="192"/>
      <c r="AJ290" s="192"/>
      <c r="AK290" s="192"/>
      <c r="AL290" s="192"/>
      <c r="AM290" s="192"/>
      <c r="AN290" s="192"/>
      <c r="AO290" s="192"/>
      <c r="AP290" s="192"/>
      <c r="AQ290" s="192"/>
      <c r="AR290" s="192"/>
      <c r="AS290" s="192"/>
      <c r="AT290" s="192"/>
      <c r="AU290" s="192"/>
      <c r="AV290" s="192"/>
      <c r="AW290" s="192"/>
      <c r="AX290" s="192"/>
      <c r="AY290" s="192"/>
      <c r="AZ290" s="192"/>
      <c r="BA290" s="67">
        <v>278</v>
      </c>
      <c r="BB290" s="68">
        <f t="shared" si="71"/>
        <v>0</v>
      </c>
      <c r="BC290" s="69">
        <f t="shared" si="72"/>
        <v>0</v>
      </c>
      <c r="BD290" s="70">
        <f t="shared" si="70"/>
        <v>0</v>
      </c>
      <c r="BE290" s="70">
        <f t="shared" si="70"/>
        <v>0</v>
      </c>
    </row>
    <row r="291" spans="1:57">
      <c r="A291" s="192"/>
      <c r="B291" s="192"/>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2"/>
      <c r="AY291" s="192"/>
      <c r="AZ291" s="192"/>
      <c r="BA291" s="67">
        <v>279</v>
      </c>
      <c r="BB291" s="68">
        <f t="shared" si="71"/>
        <v>0</v>
      </c>
      <c r="BC291" s="69">
        <f t="shared" si="72"/>
        <v>0</v>
      </c>
      <c r="BD291" s="70">
        <f t="shared" si="70"/>
        <v>0</v>
      </c>
      <c r="BE291" s="70">
        <f t="shared" si="70"/>
        <v>0</v>
      </c>
    </row>
    <row r="292" spans="1:57">
      <c r="A292" s="192"/>
      <c r="B292" s="192"/>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2"/>
      <c r="AY292" s="192"/>
      <c r="AZ292" s="192"/>
      <c r="BA292" s="67">
        <v>280</v>
      </c>
      <c r="BB292" s="68">
        <f t="shared" si="71"/>
        <v>0</v>
      </c>
      <c r="BC292" s="69">
        <f t="shared" si="72"/>
        <v>0</v>
      </c>
      <c r="BD292" s="70">
        <f t="shared" si="70"/>
        <v>0</v>
      </c>
      <c r="BE292" s="70">
        <f t="shared" si="70"/>
        <v>0</v>
      </c>
    </row>
    <row r="293" spans="1:57">
      <c r="A293" s="192"/>
      <c r="B293" s="192"/>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192"/>
      <c r="AD293" s="192"/>
      <c r="AE293" s="192"/>
      <c r="AF293" s="192"/>
      <c r="AG293" s="192"/>
      <c r="AH293" s="192"/>
      <c r="AI293" s="192"/>
      <c r="AJ293" s="192"/>
      <c r="AK293" s="192"/>
      <c r="AL293" s="192"/>
      <c r="AM293" s="192"/>
      <c r="AN293" s="192"/>
      <c r="AO293" s="192"/>
      <c r="AP293" s="192"/>
      <c r="AQ293" s="192"/>
      <c r="AR293" s="192"/>
      <c r="AS293" s="192"/>
      <c r="AT293" s="192"/>
      <c r="AU293" s="192"/>
      <c r="AV293" s="192"/>
      <c r="AW293" s="192"/>
      <c r="AX293" s="192"/>
      <c r="AY293" s="192"/>
      <c r="AZ293" s="192"/>
      <c r="BA293" s="67">
        <v>281</v>
      </c>
      <c r="BB293" s="68">
        <f t="shared" si="71"/>
        <v>0</v>
      </c>
      <c r="BC293" s="69">
        <f t="shared" si="72"/>
        <v>0</v>
      </c>
      <c r="BD293" s="70">
        <f t="shared" si="70"/>
        <v>0</v>
      </c>
      <c r="BE293" s="70">
        <f t="shared" si="70"/>
        <v>0</v>
      </c>
    </row>
    <row r="294" spans="1:57">
      <c r="A294" s="192"/>
      <c r="B294" s="192"/>
      <c r="C294" s="192"/>
      <c r="D294" s="192"/>
      <c r="E294" s="192"/>
      <c r="F294" s="192"/>
      <c r="G294" s="192"/>
      <c r="H294" s="192"/>
      <c r="I294" s="192"/>
      <c r="J294" s="192"/>
      <c r="K294" s="192"/>
      <c r="L294" s="192"/>
      <c r="M294" s="192"/>
      <c r="N294" s="192"/>
      <c r="O294" s="192"/>
      <c r="P294" s="192"/>
      <c r="Q294" s="192"/>
      <c r="R294" s="192"/>
      <c r="S294" s="192"/>
      <c r="T294" s="192"/>
      <c r="U294" s="192"/>
      <c r="V294" s="192"/>
      <c r="W294" s="192"/>
      <c r="X294" s="192"/>
      <c r="Y294" s="192"/>
      <c r="Z294" s="192"/>
      <c r="AA294" s="192"/>
      <c r="AB294" s="192"/>
      <c r="AC294" s="192"/>
      <c r="AD294" s="192"/>
      <c r="AE294" s="192"/>
      <c r="AF294" s="192"/>
      <c r="AG294" s="192"/>
      <c r="AH294" s="192"/>
      <c r="AI294" s="192"/>
      <c r="AJ294" s="192"/>
      <c r="AK294" s="192"/>
      <c r="AL294" s="192"/>
      <c r="AM294" s="192"/>
      <c r="AN294" s="192"/>
      <c r="AO294" s="192"/>
      <c r="AP294" s="192"/>
      <c r="AQ294" s="192"/>
      <c r="AR294" s="192"/>
      <c r="AS294" s="192"/>
      <c r="AT294" s="192"/>
      <c r="AU294" s="192"/>
      <c r="AV294" s="192"/>
      <c r="AW294" s="192"/>
      <c r="AX294" s="192"/>
      <c r="AY294" s="192"/>
      <c r="AZ294" s="192"/>
      <c r="BA294" s="67">
        <v>282</v>
      </c>
      <c r="BB294" s="68">
        <f t="shared" si="71"/>
        <v>0</v>
      </c>
      <c r="BC294" s="69">
        <f t="shared" si="72"/>
        <v>0</v>
      </c>
      <c r="BD294" s="70">
        <f t="shared" si="70"/>
        <v>0</v>
      </c>
      <c r="BE294" s="70">
        <f t="shared" si="70"/>
        <v>0</v>
      </c>
    </row>
    <row r="295" spans="1:57">
      <c r="A295" s="192"/>
      <c r="B295" s="192"/>
      <c r="C295" s="192"/>
      <c r="D295" s="192"/>
      <c r="E295" s="192"/>
      <c r="F295" s="192"/>
      <c r="G295" s="192"/>
      <c r="H295" s="192"/>
      <c r="I295" s="192"/>
      <c r="J295" s="192"/>
      <c r="K295" s="192"/>
      <c r="L295" s="192"/>
      <c r="M295" s="192"/>
      <c r="N295" s="192"/>
      <c r="O295" s="192"/>
      <c r="P295" s="192"/>
      <c r="Q295" s="192"/>
      <c r="R295" s="192"/>
      <c r="S295" s="192"/>
      <c r="T295" s="192"/>
      <c r="U295" s="192"/>
      <c r="V295" s="192"/>
      <c r="W295" s="192"/>
      <c r="X295" s="192"/>
      <c r="Y295" s="192"/>
      <c r="Z295" s="192"/>
      <c r="AA295" s="192"/>
      <c r="AB295" s="192"/>
      <c r="AC295" s="192"/>
      <c r="AD295" s="192"/>
      <c r="AE295" s="192"/>
      <c r="AF295" s="192"/>
      <c r="AG295" s="192"/>
      <c r="AH295" s="192"/>
      <c r="AI295" s="192"/>
      <c r="AJ295" s="192"/>
      <c r="AK295" s="192"/>
      <c r="AL295" s="192"/>
      <c r="AM295" s="192"/>
      <c r="AN295" s="192"/>
      <c r="AO295" s="192"/>
      <c r="AP295" s="192"/>
      <c r="AQ295" s="192"/>
      <c r="AR295" s="192"/>
      <c r="AS295" s="192"/>
      <c r="AT295" s="192"/>
      <c r="AU295" s="192"/>
      <c r="AV295" s="192"/>
      <c r="AW295" s="192"/>
      <c r="AX295" s="192"/>
      <c r="AY295" s="192"/>
      <c r="AZ295" s="192"/>
      <c r="BA295" s="67">
        <v>283</v>
      </c>
      <c r="BB295" s="68">
        <f t="shared" si="71"/>
        <v>0</v>
      </c>
      <c r="BC295" s="69">
        <f t="shared" si="72"/>
        <v>0</v>
      </c>
      <c r="BD295" s="70">
        <f t="shared" si="70"/>
        <v>0</v>
      </c>
      <c r="BE295" s="70">
        <f t="shared" si="70"/>
        <v>0</v>
      </c>
    </row>
    <row r="296" spans="1:57">
      <c r="A296" s="192"/>
      <c r="B296" s="192"/>
      <c r="C296" s="192"/>
      <c r="D296" s="192"/>
      <c r="E296" s="192"/>
      <c r="F296" s="192"/>
      <c r="G296" s="192"/>
      <c r="H296" s="192"/>
      <c r="I296" s="192"/>
      <c r="J296" s="192"/>
      <c r="K296" s="192"/>
      <c r="L296" s="192"/>
      <c r="M296" s="192"/>
      <c r="N296" s="192"/>
      <c r="O296" s="192"/>
      <c r="P296" s="192"/>
      <c r="Q296" s="192"/>
      <c r="R296" s="192"/>
      <c r="S296" s="192"/>
      <c r="T296" s="192"/>
      <c r="U296" s="192"/>
      <c r="V296" s="192"/>
      <c r="W296" s="192"/>
      <c r="X296" s="192"/>
      <c r="Y296" s="192"/>
      <c r="Z296" s="192"/>
      <c r="AA296" s="192"/>
      <c r="AB296" s="192"/>
      <c r="AC296" s="192"/>
      <c r="AD296" s="192"/>
      <c r="AE296" s="192"/>
      <c r="AF296" s="192"/>
      <c r="AG296" s="192"/>
      <c r="AH296" s="192"/>
      <c r="AI296" s="192"/>
      <c r="AJ296" s="192"/>
      <c r="AK296" s="192"/>
      <c r="AL296" s="192"/>
      <c r="AM296" s="192"/>
      <c r="AN296" s="192"/>
      <c r="AO296" s="192"/>
      <c r="AP296" s="192"/>
      <c r="AQ296" s="192"/>
      <c r="AR296" s="192"/>
      <c r="AS296" s="192"/>
      <c r="AT296" s="192"/>
      <c r="AU296" s="192"/>
      <c r="AV296" s="192"/>
      <c r="AW296" s="192"/>
      <c r="AX296" s="192"/>
      <c r="AY296" s="192"/>
      <c r="AZ296" s="192"/>
      <c r="BA296" s="67">
        <v>284</v>
      </c>
      <c r="BB296" s="68">
        <f t="shared" si="71"/>
        <v>0</v>
      </c>
      <c r="BC296" s="69">
        <f t="shared" si="72"/>
        <v>0</v>
      </c>
      <c r="BD296" s="70">
        <f t="shared" si="70"/>
        <v>0</v>
      </c>
      <c r="BE296" s="70">
        <f t="shared" si="70"/>
        <v>0</v>
      </c>
    </row>
    <row r="297" spans="1:57">
      <c r="A297" s="192"/>
      <c r="B297" s="192"/>
      <c r="C297" s="192"/>
      <c r="D297" s="192"/>
      <c r="E297" s="192"/>
      <c r="F297" s="192"/>
      <c r="G297" s="192"/>
      <c r="H297" s="192"/>
      <c r="I297" s="192"/>
      <c r="J297" s="192"/>
      <c r="K297" s="192"/>
      <c r="L297" s="192"/>
      <c r="M297" s="192"/>
      <c r="N297" s="192"/>
      <c r="O297" s="192"/>
      <c r="P297" s="192"/>
      <c r="Q297" s="192"/>
      <c r="R297" s="192"/>
      <c r="S297" s="192"/>
      <c r="T297" s="192"/>
      <c r="U297" s="192"/>
      <c r="V297" s="192"/>
      <c r="W297" s="192"/>
      <c r="X297" s="192"/>
      <c r="Y297" s="192"/>
      <c r="Z297" s="192"/>
      <c r="AA297" s="192"/>
      <c r="AB297" s="192"/>
      <c r="AC297" s="192"/>
      <c r="AD297" s="192"/>
      <c r="AE297" s="192"/>
      <c r="AF297" s="192"/>
      <c r="AG297" s="192"/>
      <c r="AH297" s="192"/>
      <c r="AI297" s="192"/>
      <c r="AJ297" s="192"/>
      <c r="AK297" s="192"/>
      <c r="AL297" s="192"/>
      <c r="AM297" s="192"/>
      <c r="AN297" s="192"/>
      <c r="AO297" s="192"/>
      <c r="AP297" s="192"/>
      <c r="AQ297" s="192"/>
      <c r="AR297" s="192"/>
      <c r="AS297" s="192"/>
      <c r="AT297" s="192"/>
      <c r="AU297" s="192"/>
      <c r="AV297" s="192"/>
      <c r="AW297" s="192"/>
      <c r="AX297" s="192"/>
      <c r="AY297" s="192"/>
      <c r="AZ297" s="192"/>
      <c r="BA297" s="67">
        <v>285</v>
      </c>
      <c r="BB297" s="68">
        <f t="shared" si="71"/>
        <v>0</v>
      </c>
      <c r="BC297" s="69">
        <f t="shared" si="72"/>
        <v>0</v>
      </c>
      <c r="BD297" s="70">
        <f t="shared" si="70"/>
        <v>0</v>
      </c>
      <c r="BE297" s="70">
        <f t="shared" si="70"/>
        <v>0</v>
      </c>
    </row>
    <row r="298" spans="1:57">
      <c r="BA298" s="67">
        <v>286</v>
      </c>
      <c r="BB298" s="68">
        <f t="shared" si="71"/>
        <v>0</v>
      </c>
      <c r="BC298" s="69">
        <f t="shared" si="72"/>
        <v>0</v>
      </c>
      <c r="BD298" s="70">
        <f t="shared" si="70"/>
        <v>0</v>
      </c>
      <c r="BE298" s="70">
        <f t="shared" si="70"/>
        <v>0</v>
      </c>
    </row>
    <row r="299" spans="1:57">
      <c r="BA299" s="67">
        <v>287</v>
      </c>
      <c r="BB299" s="68">
        <f t="shared" si="71"/>
        <v>0</v>
      </c>
      <c r="BC299" s="69">
        <f t="shared" si="72"/>
        <v>0</v>
      </c>
      <c r="BD299" s="70">
        <f t="shared" si="70"/>
        <v>0</v>
      </c>
      <c r="BE299" s="70">
        <f t="shared" si="70"/>
        <v>0</v>
      </c>
    </row>
    <row r="300" spans="1:57">
      <c r="BA300" s="67">
        <v>288</v>
      </c>
      <c r="BB300" s="68">
        <f t="shared" si="71"/>
        <v>0</v>
      </c>
      <c r="BC300" s="69">
        <f t="shared" si="72"/>
        <v>0</v>
      </c>
      <c r="BD300" s="70">
        <f t="shared" si="70"/>
        <v>0</v>
      </c>
      <c r="BE300" s="70">
        <f t="shared" si="70"/>
        <v>0</v>
      </c>
    </row>
    <row r="301" spans="1:57">
      <c r="BA301" s="67">
        <v>289</v>
      </c>
      <c r="BB301" s="68">
        <f t="shared" si="71"/>
        <v>0</v>
      </c>
      <c r="BC301" s="69">
        <f t="shared" si="72"/>
        <v>0</v>
      </c>
      <c r="BD301" s="70">
        <f t="shared" si="70"/>
        <v>0</v>
      </c>
      <c r="BE301" s="70">
        <f t="shared" si="70"/>
        <v>0</v>
      </c>
    </row>
    <row r="302" spans="1:57">
      <c r="BA302" s="67">
        <v>290</v>
      </c>
      <c r="BB302" s="68">
        <f t="shared" si="71"/>
        <v>0</v>
      </c>
      <c r="BC302" s="69">
        <f t="shared" si="72"/>
        <v>0</v>
      </c>
      <c r="BD302" s="70">
        <f t="shared" si="70"/>
        <v>0</v>
      </c>
      <c r="BE302" s="70">
        <f t="shared" si="70"/>
        <v>0</v>
      </c>
    </row>
    <row r="303" spans="1:57">
      <c r="BA303" s="67">
        <v>291</v>
      </c>
      <c r="BB303" s="68">
        <f>COUNTA(H227:I227)</f>
        <v>0</v>
      </c>
      <c r="BC303" s="69">
        <f>COUNTA(X227)</f>
        <v>0</v>
      </c>
      <c r="BD303" s="70">
        <f t="shared" ref="BD303:BE332" si="73">BB303-COUNTA(H227)</f>
        <v>0</v>
      </c>
      <c r="BE303" s="70">
        <f t="shared" si="73"/>
        <v>0</v>
      </c>
    </row>
    <row r="304" spans="1:57">
      <c r="BA304" s="67">
        <v>292</v>
      </c>
      <c r="BB304" s="68">
        <f t="shared" ref="BB304:BB332" si="74">COUNTA(H228:I228)</f>
        <v>0</v>
      </c>
      <c r="BC304" s="69">
        <f t="shared" ref="BC304:BC332" si="75">COUNTA(X228)</f>
        <v>0</v>
      </c>
      <c r="BD304" s="70">
        <f t="shared" si="73"/>
        <v>0</v>
      </c>
      <c r="BE304" s="70">
        <f t="shared" si="73"/>
        <v>0</v>
      </c>
    </row>
    <row r="305" spans="53:57">
      <c r="BA305" s="67">
        <v>293</v>
      </c>
      <c r="BB305" s="68">
        <f t="shared" si="74"/>
        <v>0</v>
      </c>
      <c r="BC305" s="69">
        <f t="shared" si="75"/>
        <v>0</v>
      </c>
      <c r="BD305" s="70">
        <f t="shared" si="73"/>
        <v>0</v>
      </c>
      <c r="BE305" s="70">
        <f t="shared" si="73"/>
        <v>0</v>
      </c>
    </row>
    <row r="306" spans="53:57">
      <c r="BA306" s="67">
        <v>294</v>
      </c>
      <c r="BB306" s="68">
        <f t="shared" si="74"/>
        <v>0</v>
      </c>
      <c r="BC306" s="69">
        <f t="shared" si="75"/>
        <v>0</v>
      </c>
      <c r="BD306" s="70">
        <f t="shared" si="73"/>
        <v>0</v>
      </c>
      <c r="BE306" s="70">
        <f t="shared" si="73"/>
        <v>0</v>
      </c>
    </row>
    <row r="307" spans="53:57">
      <c r="BA307" s="67">
        <v>295</v>
      </c>
      <c r="BB307" s="68">
        <f t="shared" si="74"/>
        <v>0</v>
      </c>
      <c r="BC307" s="69">
        <f t="shared" si="75"/>
        <v>0</v>
      </c>
      <c r="BD307" s="70">
        <f t="shared" si="73"/>
        <v>0</v>
      </c>
      <c r="BE307" s="70">
        <f t="shared" si="73"/>
        <v>0</v>
      </c>
    </row>
    <row r="308" spans="53:57">
      <c r="BA308" s="67">
        <v>296</v>
      </c>
      <c r="BB308" s="68">
        <f t="shared" si="74"/>
        <v>0</v>
      </c>
      <c r="BC308" s="69">
        <f t="shared" si="75"/>
        <v>0</v>
      </c>
      <c r="BD308" s="70">
        <f t="shared" si="73"/>
        <v>0</v>
      </c>
      <c r="BE308" s="70">
        <f t="shared" si="73"/>
        <v>0</v>
      </c>
    </row>
    <row r="309" spans="53:57">
      <c r="BA309" s="67">
        <v>297</v>
      </c>
      <c r="BB309" s="68">
        <f t="shared" si="74"/>
        <v>0</v>
      </c>
      <c r="BC309" s="69">
        <f t="shared" si="75"/>
        <v>0</v>
      </c>
      <c r="BD309" s="70">
        <f t="shared" si="73"/>
        <v>0</v>
      </c>
      <c r="BE309" s="70">
        <f t="shared" si="73"/>
        <v>0</v>
      </c>
    </row>
    <row r="310" spans="53:57">
      <c r="BA310" s="67">
        <v>298</v>
      </c>
      <c r="BB310" s="68">
        <f t="shared" si="74"/>
        <v>0</v>
      </c>
      <c r="BC310" s="69">
        <f t="shared" si="75"/>
        <v>0</v>
      </c>
      <c r="BD310" s="70">
        <f t="shared" si="73"/>
        <v>0</v>
      </c>
      <c r="BE310" s="70">
        <f t="shared" si="73"/>
        <v>0</v>
      </c>
    </row>
    <row r="311" spans="53:57">
      <c r="BA311" s="67">
        <v>299</v>
      </c>
      <c r="BB311" s="68">
        <f t="shared" si="74"/>
        <v>0</v>
      </c>
      <c r="BC311" s="69">
        <f t="shared" si="75"/>
        <v>0</v>
      </c>
      <c r="BD311" s="70">
        <f t="shared" si="73"/>
        <v>0</v>
      </c>
      <c r="BE311" s="70">
        <f t="shared" si="73"/>
        <v>0</v>
      </c>
    </row>
    <row r="312" spans="53:57">
      <c r="BA312" s="67">
        <v>300</v>
      </c>
      <c r="BB312" s="68">
        <f t="shared" si="74"/>
        <v>0</v>
      </c>
      <c r="BC312" s="69">
        <f t="shared" si="75"/>
        <v>0</v>
      </c>
      <c r="BD312" s="70">
        <f t="shared" si="73"/>
        <v>0</v>
      </c>
      <c r="BE312" s="70">
        <f t="shared" si="73"/>
        <v>0</v>
      </c>
    </row>
    <row r="313" spans="53:57">
      <c r="BA313" s="67">
        <v>301</v>
      </c>
      <c r="BB313" s="68">
        <f t="shared" si="74"/>
        <v>0</v>
      </c>
      <c r="BC313" s="69">
        <f t="shared" si="75"/>
        <v>0</v>
      </c>
      <c r="BD313" s="70">
        <f t="shared" si="73"/>
        <v>0</v>
      </c>
      <c r="BE313" s="70">
        <f t="shared" si="73"/>
        <v>0</v>
      </c>
    </row>
    <row r="314" spans="53:57">
      <c r="BA314" s="67">
        <v>302</v>
      </c>
      <c r="BB314" s="68">
        <f t="shared" si="74"/>
        <v>0</v>
      </c>
      <c r="BC314" s="69">
        <f t="shared" si="75"/>
        <v>0</v>
      </c>
      <c r="BD314" s="70">
        <f t="shared" si="73"/>
        <v>0</v>
      </c>
      <c r="BE314" s="70">
        <f t="shared" si="73"/>
        <v>0</v>
      </c>
    </row>
    <row r="315" spans="53:57">
      <c r="BA315" s="67">
        <v>303</v>
      </c>
      <c r="BB315" s="68">
        <f t="shared" si="74"/>
        <v>0</v>
      </c>
      <c r="BC315" s="69">
        <f t="shared" si="75"/>
        <v>0</v>
      </c>
      <c r="BD315" s="70">
        <f t="shared" si="73"/>
        <v>0</v>
      </c>
      <c r="BE315" s="70">
        <f t="shared" si="73"/>
        <v>0</v>
      </c>
    </row>
    <row r="316" spans="53:57">
      <c r="BA316" s="67">
        <v>304</v>
      </c>
      <c r="BB316" s="68">
        <f t="shared" si="74"/>
        <v>0</v>
      </c>
      <c r="BC316" s="69">
        <f t="shared" si="75"/>
        <v>0</v>
      </c>
      <c r="BD316" s="70">
        <f t="shared" si="73"/>
        <v>0</v>
      </c>
      <c r="BE316" s="70">
        <f t="shared" si="73"/>
        <v>0</v>
      </c>
    </row>
    <row r="317" spans="53:57">
      <c r="BA317" s="67">
        <v>305</v>
      </c>
      <c r="BB317" s="68">
        <f t="shared" si="74"/>
        <v>0</v>
      </c>
      <c r="BC317" s="69">
        <f t="shared" si="75"/>
        <v>0</v>
      </c>
      <c r="BD317" s="70">
        <f t="shared" si="73"/>
        <v>0</v>
      </c>
      <c r="BE317" s="70">
        <f t="shared" si="73"/>
        <v>0</v>
      </c>
    </row>
    <row r="318" spans="53:57">
      <c r="BA318" s="67">
        <v>306</v>
      </c>
      <c r="BB318" s="68">
        <f t="shared" si="74"/>
        <v>0</v>
      </c>
      <c r="BC318" s="69">
        <f t="shared" si="75"/>
        <v>0</v>
      </c>
      <c r="BD318" s="70">
        <f t="shared" si="73"/>
        <v>0</v>
      </c>
      <c r="BE318" s="70">
        <f t="shared" si="73"/>
        <v>0</v>
      </c>
    </row>
    <row r="319" spans="53:57">
      <c r="BA319" s="67">
        <v>307</v>
      </c>
      <c r="BB319" s="68">
        <f t="shared" si="74"/>
        <v>0</v>
      </c>
      <c r="BC319" s="69">
        <f t="shared" si="75"/>
        <v>0</v>
      </c>
      <c r="BD319" s="70">
        <f t="shared" si="73"/>
        <v>0</v>
      </c>
      <c r="BE319" s="70">
        <f t="shared" si="73"/>
        <v>0</v>
      </c>
    </row>
    <row r="320" spans="53:57">
      <c r="BA320" s="67">
        <v>308</v>
      </c>
      <c r="BB320" s="68">
        <f t="shared" si="74"/>
        <v>0</v>
      </c>
      <c r="BC320" s="69">
        <f t="shared" si="75"/>
        <v>0</v>
      </c>
      <c r="BD320" s="70">
        <f t="shared" si="73"/>
        <v>0</v>
      </c>
      <c r="BE320" s="70">
        <f t="shared" si="73"/>
        <v>0</v>
      </c>
    </row>
    <row r="321" spans="53:57">
      <c r="BA321" s="67">
        <v>309</v>
      </c>
      <c r="BB321" s="68">
        <f t="shared" si="74"/>
        <v>0</v>
      </c>
      <c r="BC321" s="69">
        <f t="shared" si="75"/>
        <v>0</v>
      </c>
      <c r="BD321" s="70">
        <f t="shared" si="73"/>
        <v>0</v>
      </c>
      <c r="BE321" s="70">
        <f t="shared" si="73"/>
        <v>0</v>
      </c>
    </row>
    <row r="322" spans="53:57">
      <c r="BA322" s="67">
        <v>310</v>
      </c>
      <c r="BB322" s="68">
        <f t="shared" si="74"/>
        <v>0</v>
      </c>
      <c r="BC322" s="69">
        <f t="shared" si="75"/>
        <v>0</v>
      </c>
      <c r="BD322" s="70">
        <f t="shared" si="73"/>
        <v>0</v>
      </c>
      <c r="BE322" s="70">
        <f t="shared" si="73"/>
        <v>0</v>
      </c>
    </row>
    <row r="323" spans="53:57">
      <c r="BA323" s="67">
        <v>311</v>
      </c>
      <c r="BB323" s="68">
        <f t="shared" si="74"/>
        <v>0</v>
      </c>
      <c r="BC323" s="69">
        <f t="shared" si="75"/>
        <v>0</v>
      </c>
      <c r="BD323" s="70">
        <f t="shared" si="73"/>
        <v>0</v>
      </c>
      <c r="BE323" s="70">
        <f t="shared" si="73"/>
        <v>0</v>
      </c>
    </row>
    <row r="324" spans="53:57">
      <c r="BA324" s="67">
        <v>312</v>
      </c>
      <c r="BB324" s="68">
        <f t="shared" si="74"/>
        <v>0</v>
      </c>
      <c r="BC324" s="69">
        <f t="shared" si="75"/>
        <v>0</v>
      </c>
      <c r="BD324" s="70">
        <f t="shared" si="73"/>
        <v>0</v>
      </c>
      <c r="BE324" s="70">
        <f t="shared" si="73"/>
        <v>0</v>
      </c>
    </row>
    <row r="325" spans="53:57">
      <c r="BA325" s="67">
        <v>313</v>
      </c>
      <c r="BB325" s="68">
        <f t="shared" si="74"/>
        <v>0</v>
      </c>
      <c r="BC325" s="69">
        <f t="shared" si="75"/>
        <v>0</v>
      </c>
      <c r="BD325" s="70">
        <f t="shared" si="73"/>
        <v>0</v>
      </c>
      <c r="BE325" s="70">
        <f t="shared" si="73"/>
        <v>0</v>
      </c>
    </row>
    <row r="326" spans="53:57">
      <c r="BA326" s="67">
        <v>314</v>
      </c>
      <c r="BB326" s="68">
        <f t="shared" si="74"/>
        <v>0</v>
      </c>
      <c r="BC326" s="69">
        <f t="shared" si="75"/>
        <v>0</v>
      </c>
      <c r="BD326" s="70">
        <f t="shared" si="73"/>
        <v>0</v>
      </c>
      <c r="BE326" s="70">
        <f t="shared" si="73"/>
        <v>0</v>
      </c>
    </row>
    <row r="327" spans="53:57">
      <c r="BA327" s="67">
        <v>315</v>
      </c>
      <c r="BB327" s="68">
        <f t="shared" si="74"/>
        <v>0</v>
      </c>
      <c r="BC327" s="69">
        <f t="shared" si="75"/>
        <v>0</v>
      </c>
      <c r="BD327" s="70">
        <f t="shared" si="73"/>
        <v>0</v>
      </c>
      <c r="BE327" s="70">
        <f t="shared" si="73"/>
        <v>0</v>
      </c>
    </row>
    <row r="328" spans="53:57">
      <c r="BA328" s="67">
        <v>316</v>
      </c>
      <c r="BB328" s="68">
        <f t="shared" si="74"/>
        <v>0</v>
      </c>
      <c r="BC328" s="69">
        <f t="shared" si="75"/>
        <v>0</v>
      </c>
      <c r="BD328" s="70">
        <f t="shared" si="73"/>
        <v>0</v>
      </c>
      <c r="BE328" s="70">
        <f t="shared" si="73"/>
        <v>0</v>
      </c>
    </row>
    <row r="329" spans="53:57">
      <c r="BA329" s="67">
        <v>317</v>
      </c>
      <c r="BB329" s="68">
        <f t="shared" si="74"/>
        <v>0</v>
      </c>
      <c r="BC329" s="69">
        <f t="shared" si="75"/>
        <v>0</v>
      </c>
      <c r="BD329" s="70">
        <f t="shared" si="73"/>
        <v>0</v>
      </c>
      <c r="BE329" s="70">
        <f t="shared" si="73"/>
        <v>0</v>
      </c>
    </row>
    <row r="330" spans="53:57">
      <c r="BA330" s="67">
        <v>318</v>
      </c>
      <c r="BB330" s="68">
        <f t="shared" si="74"/>
        <v>0</v>
      </c>
      <c r="BC330" s="69">
        <f t="shared" si="75"/>
        <v>0</v>
      </c>
      <c r="BD330" s="70">
        <f t="shared" si="73"/>
        <v>0</v>
      </c>
      <c r="BE330" s="70">
        <f t="shared" si="73"/>
        <v>0</v>
      </c>
    </row>
    <row r="331" spans="53:57">
      <c r="BA331" s="67">
        <v>319</v>
      </c>
      <c r="BB331" s="68">
        <f t="shared" si="74"/>
        <v>0</v>
      </c>
      <c r="BC331" s="69">
        <f t="shared" si="75"/>
        <v>0</v>
      </c>
      <c r="BD331" s="70">
        <f t="shared" si="73"/>
        <v>0</v>
      </c>
      <c r="BE331" s="70">
        <f t="shared" si="73"/>
        <v>0</v>
      </c>
    </row>
    <row r="332" spans="53:57">
      <c r="BA332" s="67">
        <v>320</v>
      </c>
      <c r="BB332" s="68">
        <f t="shared" si="74"/>
        <v>0</v>
      </c>
      <c r="BC332" s="69">
        <f t="shared" si="75"/>
        <v>0</v>
      </c>
      <c r="BD332" s="70">
        <f t="shared" si="73"/>
        <v>0</v>
      </c>
      <c r="BE332" s="70">
        <f t="shared" si="73"/>
        <v>0</v>
      </c>
    </row>
    <row r="333" spans="53:57">
      <c r="BA333" s="63"/>
      <c r="BB333" s="63"/>
      <c r="BC333" s="63"/>
      <c r="BD333" s="63"/>
      <c r="BE333" s="63"/>
    </row>
  </sheetData>
  <sheetProtection algorithmName="SHA-512" hashValue="g2Xs7YCZwiznSpGIgbW1RJP3NERcu51bR6dzNxvhCtkTwrGSC8eZrplT1RCTw3UbNG6pTdYwrbPEXOOGWX+F5Q==" saltValue="c1QEOyu3qzFKixrZqom+cA==" spinCount="100000" sheet="1" selectLockedCells="1"/>
  <dataConsolidate/>
  <mergeCells count="1153">
    <mergeCell ref="CN10:CP10"/>
    <mergeCell ref="CM1:CP1"/>
    <mergeCell ref="AU42:AV42"/>
    <mergeCell ref="AW42:AY42"/>
    <mergeCell ref="AJ8:AM9"/>
    <mergeCell ref="AK10:AM12"/>
    <mergeCell ref="AK13:AM13"/>
    <mergeCell ref="AK14:AM14"/>
    <mergeCell ref="AK15:AM15"/>
    <mergeCell ref="AK16:AM16"/>
    <mergeCell ref="AK17:AM17"/>
    <mergeCell ref="AK18:AM18"/>
    <mergeCell ref="AK19:AM19"/>
    <mergeCell ref="AK20:AM20"/>
    <mergeCell ref="AK21:AM21"/>
    <mergeCell ref="AK22:AM22"/>
    <mergeCell ref="AW8:AZ9"/>
    <mergeCell ref="AX10:AZ12"/>
    <mergeCell ref="AX13:AZ13"/>
    <mergeCell ref="AX14:AZ14"/>
    <mergeCell ref="AX15:AZ15"/>
    <mergeCell ref="AX16:AZ16"/>
    <mergeCell ref="AX17:AZ17"/>
    <mergeCell ref="AX18:AZ18"/>
    <mergeCell ref="AX19:AZ19"/>
    <mergeCell ref="AP37:AQ37"/>
    <mergeCell ref="AM34:AN34"/>
    <mergeCell ref="AK37:AM37"/>
    <mergeCell ref="AR37:AT37"/>
    <mergeCell ref="AV37:AW37"/>
    <mergeCell ref="AX37:AY37"/>
    <mergeCell ref="AS5:AS6"/>
    <mergeCell ref="H30:I31"/>
    <mergeCell ref="R30:S31"/>
    <mergeCell ref="T30:U31"/>
    <mergeCell ref="V30:W31"/>
    <mergeCell ref="I35:J35"/>
    <mergeCell ref="K35:L35"/>
    <mergeCell ref="M35:N35"/>
    <mergeCell ref="AM33:AN33"/>
    <mergeCell ref="AF30:AG31"/>
    <mergeCell ref="AI33:AJ33"/>
    <mergeCell ref="AK33:AL33"/>
    <mergeCell ref="AE34:AF34"/>
    <mergeCell ref="AG34:AH34"/>
    <mergeCell ref="AI34:AJ34"/>
    <mergeCell ref="AK34:AL34"/>
    <mergeCell ref="G35:H35"/>
    <mergeCell ref="CH1:CK1"/>
    <mergeCell ref="AB28:AC29"/>
    <mergeCell ref="AD28:AE29"/>
    <mergeCell ref="AF28:AG29"/>
    <mergeCell ref="AH28:AI29"/>
    <mergeCell ref="AJ28:AK29"/>
    <mergeCell ref="AL28:AM29"/>
    <mergeCell ref="AN28:AO29"/>
    <mergeCell ref="AV28:AW29"/>
    <mergeCell ref="AX28:AY29"/>
    <mergeCell ref="F28:G29"/>
    <mergeCell ref="H28:I29"/>
    <mergeCell ref="J28:K29"/>
    <mergeCell ref="L28:M29"/>
    <mergeCell ref="K21:M21"/>
    <mergeCell ref="K22:M22"/>
    <mergeCell ref="K99:M99"/>
    <mergeCell ref="X99:Z99"/>
    <mergeCell ref="AA36:AM36"/>
    <mergeCell ref="AP36:AZ36"/>
    <mergeCell ref="AB37:AD37"/>
    <mergeCell ref="AX38:AY38"/>
    <mergeCell ref="X37:Y37"/>
    <mergeCell ref="V37:W37"/>
    <mergeCell ref="K64:M64"/>
    <mergeCell ref="V52:V54"/>
    <mergeCell ref="W44:X44"/>
    <mergeCell ref="U52:U54"/>
    <mergeCell ref="AA43:AZ46"/>
    <mergeCell ref="AE42:AG42"/>
    <mergeCell ref="AH42:AJ42"/>
    <mergeCell ref="AK42:AM42"/>
    <mergeCell ref="AN42:AP42"/>
    <mergeCell ref="AQ42:AS42"/>
    <mergeCell ref="AP39:AQ39"/>
    <mergeCell ref="AR39:AT39"/>
    <mergeCell ref="AV39:AW39"/>
    <mergeCell ref="AX39:AY39"/>
    <mergeCell ref="AP38:AQ38"/>
    <mergeCell ref="X39:Y39"/>
    <mergeCell ref="P39:Q39"/>
    <mergeCell ref="V39:W39"/>
    <mergeCell ref="X38:Y38"/>
    <mergeCell ref="V38:W38"/>
    <mergeCell ref="AE37:AG37"/>
    <mergeCell ref="AH37:AJ37"/>
    <mergeCell ref="A43:Z43"/>
    <mergeCell ref="A46:B46"/>
    <mergeCell ref="O80:T80"/>
    <mergeCell ref="O81:T81"/>
    <mergeCell ref="G47:G48"/>
    <mergeCell ref="H47:H48"/>
    <mergeCell ref="E41:G41"/>
    <mergeCell ref="H41:J41"/>
    <mergeCell ref="X95:Z97"/>
    <mergeCell ref="X250:Z250"/>
    <mergeCell ref="X251:Z251"/>
    <mergeCell ref="X252:Z252"/>
    <mergeCell ref="X212:Z212"/>
    <mergeCell ref="X213:Z213"/>
    <mergeCell ref="X124:Z124"/>
    <mergeCell ref="X187:Z187"/>
    <mergeCell ref="W222:Z223"/>
    <mergeCell ref="X224:Z226"/>
    <mergeCell ref="X227:Z227"/>
    <mergeCell ref="X228:Z228"/>
    <mergeCell ref="X236:Z236"/>
    <mergeCell ref="X163:Z163"/>
    <mergeCell ref="X164:Z164"/>
    <mergeCell ref="X119:Z119"/>
    <mergeCell ref="X112:Z112"/>
    <mergeCell ref="X113:Z113"/>
    <mergeCell ref="X114:Z114"/>
    <mergeCell ref="X191:Z191"/>
    <mergeCell ref="X192:Z192"/>
    <mergeCell ref="X189:Z189"/>
    <mergeCell ref="X190:Z190"/>
    <mergeCell ref="X111:Z111"/>
    <mergeCell ref="A172:Z172"/>
    <mergeCell ref="A175:B175"/>
    <mergeCell ref="K61:M61"/>
    <mergeCell ref="K62:M62"/>
    <mergeCell ref="X58:Z58"/>
    <mergeCell ref="B74:G74"/>
    <mergeCell ref="K65:M65"/>
    <mergeCell ref="K66:M66"/>
    <mergeCell ref="K67:M67"/>
    <mergeCell ref="O75:T75"/>
    <mergeCell ref="B78:G78"/>
    <mergeCell ref="B76:G76"/>
    <mergeCell ref="B77:G77"/>
    <mergeCell ref="E47:E48"/>
    <mergeCell ref="F47:F48"/>
    <mergeCell ref="O74:T74"/>
    <mergeCell ref="B71:G71"/>
    <mergeCell ref="O71:T71"/>
    <mergeCell ref="B72:G72"/>
    <mergeCell ref="O72:T72"/>
    <mergeCell ref="K73:M73"/>
    <mergeCell ref="O76:T76"/>
    <mergeCell ref="O77:T77"/>
    <mergeCell ref="O78:T78"/>
    <mergeCell ref="X62:Z62"/>
    <mergeCell ref="X63:Z63"/>
    <mergeCell ref="X66:Z66"/>
    <mergeCell ref="J47:J48"/>
    <mergeCell ref="K72:M72"/>
    <mergeCell ref="X60:Z60"/>
    <mergeCell ref="X72:Z72"/>
    <mergeCell ref="X73:Z73"/>
    <mergeCell ref="X61:Z61"/>
    <mergeCell ref="P47:P48"/>
    <mergeCell ref="K82:M82"/>
    <mergeCell ref="K83:M83"/>
    <mergeCell ref="J93:M94"/>
    <mergeCell ref="K95:M97"/>
    <mergeCell ref="J179:M180"/>
    <mergeCell ref="K181:M183"/>
    <mergeCell ref="K184:M184"/>
    <mergeCell ref="K194:M194"/>
    <mergeCell ref="K195:M195"/>
    <mergeCell ref="X194:Z194"/>
    <mergeCell ref="X195:Z195"/>
    <mergeCell ref="X109:Z109"/>
    <mergeCell ref="X110:Z110"/>
    <mergeCell ref="X14:Z14"/>
    <mergeCell ref="X15:Z15"/>
    <mergeCell ref="X16:Z16"/>
    <mergeCell ref="X77:Z77"/>
    <mergeCell ref="X78:Z78"/>
    <mergeCell ref="X79:Z79"/>
    <mergeCell ref="W42:Y42"/>
    <mergeCell ref="X17:Z17"/>
    <mergeCell ref="X18:Z18"/>
    <mergeCell ref="X19:Z19"/>
    <mergeCell ref="X20:Z20"/>
    <mergeCell ref="X21:Z21"/>
    <mergeCell ref="X30:Y31"/>
    <mergeCell ref="B27:Y27"/>
    <mergeCell ref="P36:Z36"/>
    <mergeCell ref="R39:T39"/>
    <mergeCell ref="N30:O31"/>
    <mergeCell ref="P30:Q31"/>
    <mergeCell ref="K79:M79"/>
    <mergeCell ref="X145:Z145"/>
    <mergeCell ref="X155:Z155"/>
    <mergeCell ref="V138:V140"/>
    <mergeCell ref="W138:W140"/>
    <mergeCell ref="W173:X173"/>
    <mergeCell ref="Y173:Z173"/>
    <mergeCell ref="X188:Z188"/>
    <mergeCell ref="BF72:BN72"/>
    <mergeCell ref="AB30:AC31"/>
    <mergeCell ref="X253:Z253"/>
    <mergeCell ref="X239:Z239"/>
    <mergeCell ref="X240:Z240"/>
    <mergeCell ref="X241:Z241"/>
    <mergeCell ref="X242:Z242"/>
    <mergeCell ref="AB38:AD39"/>
    <mergeCell ref="AE38:AG39"/>
    <mergeCell ref="AH38:AJ39"/>
    <mergeCell ref="AK38:AM39"/>
    <mergeCell ref="AR38:AT38"/>
    <mergeCell ref="AV38:AW38"/>
    <mergeCell ref="X84:Z84"/>
    <mergeCell ref="W93:Z94"/>
    <mergeCell ref="W91:X91"/>
    <mergeCell ref="X80:Z80"/>
    <mergeCell ref="X81:Z81"/>
    <mergeCell ref="X82:Z82"/>
    <mergeCell ref="X105:Z105"/>
    <mergeCell ref="X106:Z106"/>
    <mergeCell ref="AE35:AF35"/>
    <mergeCell ref="X142:Z142"/>
    <mergeCell ref="X143:Z143"/>
    <mergeCell ref="W136:Z137"/>
    <mergeCell ref="K84:M84"/>
    <mergeCell ref="K74:M74"/>
    <mergeCell ref="X100:Z100"/>
    <mergeCell ref="X117:Z117"/>
    <mergeCell ref="BN6:BO6"/>
    <mergeCell ref="K203:M203"/>
    <mergeCell ref="K204:M204"/>
    <mergeCell ref="K205:M205"/>
    <mergeCell ref="K16:M16"/>
    <mergeCell ref="K17:M17"/>
    <mergeCell ref="K18:M18"/>
    <mergeCell ref="K19:M19"/>
    <mergeCell ref="K196:M196"/>
    <mergeCell ref="K197:M197"/>
    <mergeCell ref="X196:Z196"/>
    <mergeCell ref="X197:Z197"/>
    <mergeCell ref="X198:Z198"/>
    <mergeCell ref="X199:Z199"/>
    <mergeCell ref="K201:M201"/>
    <mergeCell ref="K202:M202"/>
    <mergeCell ref="K198:M198"/>
    <mergeCell ref="K199:M199"/>
    <mergeCell ref="K200:M200"/>
    <mergeCell ref="X64:Z64"/>
    <mergeCell ref="K185:M185"/>
    <mergeCell ref="K186:M186"/>
    <mergeCell ref="X184:Z184"/>
    <mergeCell ref="X185:Z185"/>
    <mergeCell ref="X193:Z193"/>
    <mergeCell ref="X138:Z140"/>
    <mergeCell ref="X13:Z13"/>
    <mergeCell ref="X144:Z144"/>
    <mergeCell ref="K80:M80"/>
    <mergeCell ref="X67:Z67"/>
    <mergeCell ref="O64:T64"/>
    <mergeCell ref="K63:M63"/>
    <mergeCell ref="X121:Z121"/>
    <mergeCell ref="X122:Z122"/>
    <mergeCell ref="X123:Z123"/>
    <mergeCell ref="X125:Z125"/>
    <mergeCell ref="X68:Z68"/>
    <mergeCell ref="X69:Z69"/>
    <mergeCell ref="X74:Z74"/>
    <mergeCell ref="X75:Z75"/>
    <mergeCell ref="X76:Z76"/>
    <mergeCell ref="K70:M70"/>
    <mergeCell ref="W87:X87"/>
    <mergeCell ref="Y87:Z87"/>
    <mergeCell ref="O90:O91"/>
    <mergeCell ref="K68:M68"/>
    <mergeCell ref="K69:M69"/>
    <mergeCell ref="K71:M71"/>
    <mergeCell ref="X116:Z116"/>
    <mergeCell ref="K119:M119"/>
    <mergeCell ref="K108:M108"/>
    <mergeCell ref="K109:M109"/>
    <mergeCell ref="K77:M77"/>
    <mergeCell ref="K78:M78"/>
    <mergeCell ref="K120:M120"/>
    <mergeCell ref="K125:M125"/>
    <mergeCell ref="O79:T79"/>
    <mergeCell ref="X98:Z98"/>
    <mergeCell ref="X101:Z101"/>
    <mergeCell ref="X118:Z118"/>
    <mergeCell ref="K229:M229"/>
    <mergeCell ref="X203:Z203"/>
    <mergeCell ref="O246:T246"/>
    <mergeCell ref="B244:G244"/>
    <mergeCell ref="X165:Z165"/>
    <mergeCell ref="O169:T169"/>
    <mergeCell ref="U136:V137"/>
    <mergeCell ref="O193:T193"/>
    <mergeCell ref="K153:M153"/>
    <mergeCell ref="X156:Z156"/>
    <mergeCell ref="X157:Z157"/>
    <mergeCell ref="X158:Z158"/>
    <mergeCell ref="X159:Z159"/>
    <mergeCell ref="X160:Z160"/>
    <mergeCell ref="X55:Z55"/>
    <mergeCell ref="X56:Z56"/>
    <mergeCell ref="X57:Z57"/>
    <mergeCell ref="K100:M100"/>
    <mergeCell ref="X83:Z83"/>
    <mergeCell ref="K81:M81"/>
    <mergeCell ref="P90:P91"/>
    <mergeCell ref="O99:T99"/>
    <mergeCell ref="W95:W97"/>
    <mergeCell ref="K60:M60"/>
    <mergeCell ref="K55:M55"/>
    <mergeCell ref="K56:M56"/>
    <mergeCell ref="O55:T55"/>
    <mergeCell ref="U90:V90"/>
    <mergeCell ref="X65:Z65"/>
    <mergeCell ref="X70:Z70"/>
    <mergeCell ref="X71:Z71"/>
    <mergeCell ref="X186:Z186"/>
    <mergeCell ref="K249:M249"/>
    <mergeCell ref="K107:M107"/>
    <mergeCell ref="K112:M112"/>
    <mergeCell ref="K113:M113"/>
    <mergeCell ref="K114:M114"/>
    <mergeCell ref="C218:T218"/>
    <mergeCell ref="C176:D177"/>
    <mergeCell ref="G34:H34"/>
    <mergeCell ref="G33:H33"/>
    <mergeCell ref="I34:J34"/>
    <mergeCell ref="K34:L34"/>
    <mergeCell ref="M34:N34"/>
    <mergeCell ref="M33:N33"/>
    <mergeCell ref="C219:D220"/>
    <mergeCell ref="B68:G68"/>
    <mergeCell ref="O68:T68"/>
    <mergeCell ref="B65:G65"/>
    <mergeCell ref="O65:T65"/>
    <mergeCell ref="B66:G66"/>
    <mergeCell ref="O66:T66"/>
    <mergeCell ref="B63:G63"/>
    <mergeCell ref="O63:T63"/>
    <mergeCell ref="B64:G64"/>
    <mergeCell ref="B248:G248"/>
    <mergeCell ref="O127:T127"/>
    <mergeCell ref="O160:T160"/>
    <mergeCell ref="O248:T248"/>
    <mergeCell ref="O195:T195"/>
    <mergeCell ref="B249:G249"/>
    <mergeCell ref="O249:T249"/>
    <mergeCell ref="K164:M164"/>
    <mergeCell ref="K146:M146"/>
    <mergeCell ref="K248:M248"/>
    <mergeCell ref="K247:M247"/>
    <mergeCell ref="K143:M143"/>
    <mergeCell ref="K144:M144"/>
    <mergeCell ref="K145:M145"/>
    <mergeCell ref="K138:M140"/>
    <mergeCell ref="K206:M206"/>
    <mergeCell ref="K207:M207"/>
    <mergeCell ref="K117:M117"/>
    <mergeCell ref="K118:M118"/>
    <mergeCell ref="K105:M105"/>
    <mergeCell ref="K106:M106"/>
    <mergeCell ref="C89:T89"/>
    <mergeCell ref="O158:T158"/>
    <mergeCell ref="K161:M161"/>
    <mergeCell ref="K192:M192"/>
    <mergeCell ref="K193:M193"/>
    <mergeCell ref="Q133:Q134"/>
    <mergeCell ref="O133:O134"/>
    <mergeCell ref="K110:M110"/>
    <mergeCell ref="K111:M111"/>
    <mergeCell ref="K122:M122"/>
    <mergeCell ref="K123:M123"/>
    <mergeCell ref="O244:T244"/>
    <mergeCell ref="B245:G245"/>
    <mergeCell ref="K162:M162"/>
    <mergeCell ref="K237:M237"/>
    <mergeCell ref="K240:M240"/>
    <mergeCell ref="K241:M241"/>
    <mergeCell ref="A215:Z215"/>
    <mergeCell ref="X107:Z107"/>
    <mergeCell ref="X108:Z108"/>
    <mergeCell ref="A136:A140"/>
    <mergeCell ref="P133:P134"/>
    <mergeCell ref="F133:F134"/>
    <mergeCell ref="C4:T4"/>
    <mergeCell ref="A5:B6"/>
    <mergeCell ref="C5:D6"/>
    <mergeCell ref="I33:J33"/>
    <mergeCell ref="K33:L33"/>
    <mergeCell ref="C90:D91"/>
    <mergeCell ref="J90:J91"/>
    <mergeCell ref="N90:N91"/>
    <mergeCell ref="B73:G73"/>
    <mergeCell ref="O73:T73"/>
    <mergeCell ref="B69:G69"/>
    <mergeCell ref="O69:T69"/>
    <mergeCell ref="B70:G70"/>
    <mergeCell ref="O70:T70"/>
    <mergeCell ref="B67:G67"/>
    <mergeCell ref="O67:T67"/>
    <mergeCell ref="K15:M15"/>
    <mergeCell ref="K20:M20"/>
    <mergeCell ref="B127:G127"/>
    <mergeCell ref="B117:G117"/>
    <mergeCell ref="B118:G118"/>
    <mergeCell ref="B126:G126"/>
    <mergeCell ref="B125:G125"/>
    <mergeCell ref="K126:M126"/>
    <mergeCell ref="K127:M127"/>
    <mergeCell ref="E133:E134"/>
    <mergeCell ref="G133:G134"/>
    <mergeCell ref="H133:H134"/>
    <mergeCell ref="I133:I134"/>
    <mergeCell ref="X115:Z115"/>
    <mergeCell ref="X102:Z102"/>
    <mergeCell ref="X103:Z103"/>
    <mergeCell ref="X104:Z104"/>
    <mergeCell ref="K75:M75"/>
    <mergeCell ref="K76:M76"/>
    <mergeCell ref="X141:Z141"/>
    <mergeCell ref="X146:Z146"/>
    <mergeCell ref="X147:Z147"/>
    <mergeCell ref="X148:Z148"/>
    <mergeCell ref="X149:Z149"/>
    <mergeCell ref="X150:Z150"/>
    <mergeCell ref="X151:Z151"/>
    <mergeCell ref="X152:Z152"/>
    <mergeCell ref="O148:T148"/>
    <mergeCell ref="O117:T117"/>
    <mergeCell ref="O118:T118"/>
    <mergeCell ref="O125:T125"/>
    <mergeCell ref="A129:Z129"/>
    <mergeCell ref="A132:B132"/>
    <mergeCell ref="C132:T132"/>
    <mergeCell ref="A133:B134"/>
    <mergeCell ref="C133:D134"/>
    <mergeCell ref="U133:V133"/>
    <mergeCell ref="U134:V134"/>
    <mergeCell ref="O126:T126"/>
    <mergeCell ref="W130:X130"/>
    <mergeCell ref="X126:Z126"/>
    <mergeCell ref="X127:Z127"/>
    <mergeCell ref="U138:U140"/>
    <mergeCell ref="B150:G150"/>
    <mergeCell ref="O150:T150"/>
    <mergeCell ref="X153:Z153"/>
    <mergeCell ref="X154:Z154"/>
    <mergeCell ref="B154:G154"/>
    <mergeCell ref="O154:T154"/>
    <mergeCell ref="O153:T153"/>
    <mergeCell ref="I224:I226"/>
    <mergeCell ref="K233:M233"/>
    <mergeCell ref="K234:M234"/>
    <mergeCell ref="K211:M211"/>
    <mergeCell ref="A219:B220"/>
    <mergeCell ref="K231:M231"/>
    <mergeCell ref="K232:M232"/>
    <mergeCell ref="K210:M210"/>
    <mergeCell ref="K163:M163"/>
    <mergeCell ref="K147:M147"/>
    <mergeCell ref="K148:M148"/>
    <mergeCell ref="K165:M165"/>
    <mergeCell ref="U177:V177"/>
    <mergeCell ref="A218:B218"/>
    <mergeCell ref="X231:Z231"/>
    <mergeCell ref="X232:Z232"/>
    <mergeCell ref="X233:Z233"/>
    <mergeCell ref="X234:Z234"/>
    <mergeCell ref="X181:Z183"/>
    <mergeCell ref="P219:P220"/>
    <mergeCell ref="A221:Z221"/>
    <mergeCell ref="F219:F220"/>
    <mergeCell ref="G219:G220"/>
    <mergeCell ref="H219:H220"/>
    <mergeCell ref="W220:X220"/>
    <mergeCell ref="X229:Z229"/>
    <mergeCell ref="X230:Z230"/>
    <mergeCell ref="B246:G246"/>
    <mergeCell ref="U220:V220"/>
    <mergeCell ref="B235:G235"/>
    <mergeCell ref="O235:T235"/>
    <mergeCell ref="B232:G232"/>
    <mergeCell ref="O232:T232"/>
    <mergeCell ref="B233:G233"/>
    <mergeCell ref="Q219:Q220"/>
    <mergeCell ref="E219:E220"/>
    <mergeCell ref="M219:M220"/>
    <mergeCell ref="O233:T233"/>
    <mergeCell ref="K235:M235"/>
    <mergeCell ref="I219:I220"/>
    <mergeCell ref="K245:M245"/>
    <mergeCell ref="K244:M244"/>
    <mergeCell ref="X243:Z243"/>
    <mergeCell ref="X244:Z244"/>
    <mergeCell ref="X245:Z245"/>
    <mergeCell ref="X246:Z246"/>
    <mergeCell ref="X237:Z237"/>
    <mergeCell ref="X238:Z238"/>
    <mergeCell ref="O240:T240"/>
    <mergeCell ref="B241:G241"/>
    <mergeCell ref="V224:V226"/>
    <mergeCell ref="O245:T245"/>
    <mergeCell ref="K246:M246"/>
    <mergeCell ref="B242:G242"/>
    <mergeCell ref="O242:T242"/>
    <mergeCell ref="B243:G243"/>
    <mergeCell ref="O243:T243"/>
    <mergeCell ref="B240:G240"/>
    <mergeCell ref="X235:Z235"/>
    <mergeCell ref="B236:G236"/>
    <mergeCell ref="O236:T236"/>
    <mergeCell ref="B237:G237"/>
    <mergeCell ref="O237:T237"/>
    <mergeCell ref="K236:M236"/>
    <mergeCell ref="O239:T239"/>
    <mergeCell ref="K238:M238"/>
    <mergeCell ref="K239:M239"/>
    <mergeCell ref="A222:A226"/>
    <mergeCell ref="O241:T241"/>
    <mergeCell ref="K242:M242"/>
    <mergeCell ref="K243:M243"/>
    <mergeCell ref="B238:G238"/>
    <mergeCell ref="O238:T238"/>
    <mergeCell ref="B239:G239"/>
    <mergeCell ref="X210:Z210"/>
    <mergeCell ref="X207:Z207"/>
    <mergeCell ref="X209:Z209"/>
    <mergeCell ref="S219:S220"/>
    <mergeCell ref="K208:M208"/>
    <mergeCell ref="K213:M213"/>
    <mergeCell ref="W216:X216"/>
    <mergeCell ref="Y216:Z216"/>
    <mergeCell ref="X208:Z208"/>
    <mergeCell ref="W224:W226"/>
    <mergeCell ref="B230:G230"/>
    <mergeCell ref="O230:T230"/>
    <mergeCell ref="B231:G231"/>
    <mergeCell ref="O231:T231"/>
    <mergeCell ref="B228:G228"/>
    <mergeCell ref="O228:T228"/>
    <mergeCell ref="B229:G229"/>
    <mergeCell ref="O229:T229"/>
    <mergeCell ref="U224:U226"/>
    <mergeCell ref="B227:G227"/>
    <mergeCell ref="O227:T227"/>
    <mergeCell ref="O222:T226"/>
    <mergeCell ref="J224:J226"/>
    <mergeCell ref="U222:V223"/>
    <mergeCell ref="K224:M226"/>
    <mergeCell ref="K227:M227"/>
    <mergeCell ref="K228:M228"/>
    <mergeCell ref="J222:M223"/>
    <mergeCell ref="K230:M230"/>
    <mergeCell ref="B222:G226"/>
    <mergeCell ref="H222:I223"/>
    <mergeCell ref="H224:H226"/>
    <mergeCell ref="O152:T152"/>
    <mergeCell ref="B153:G153"/>
    <mergeCell ref="B202:G202"/>
    <mergeCell ref="O202:T202"/>
    <mergeCell ref="B203:G203"/>
    <mergeCell ref="O203:T203"/>
    <mergeCell ref="B200:G200"/>
    <mergeCell ref="O200:T200"/>
    <mergeCell ref="B201:G201"/>
    <mergeCell ref="O201:T201"/>
    <mergeCell ref="J219:J220"/>
    <mergeCell ref="K219:K220"/>
    <mergeCell ref="B198:G198"/>
    <mergeCell ref="O198:T198"/>
    <mergeCell ref="B199:G199"/>
    <mergeCell ref="O199:T199"/>
    <mergeCell ref="K155:M155"/>
    <mergeCell ref="X200:Z200"/>
    <mergeCell ref="X201:Z201"/>
    <mergeCell ref="X202:Z202"/>
    <mergeCell ref="X211:Z211"/>
    <mergeCell ref="X204:Z204"/>
    <mergeCell ref="X205:Z205"/>
    <mergeCell ref="X206:Z206"/>
    <mergeCell ref="B204:G204"/>
    <mergeCell ref="T219:T220"/>
    <mergeCell ref="B205:G205"/>
    <mergeCell ref="O205:T205"/>
    <mergeCell ref="B211:G211"/>
    <mergeCell ref="B210:G210"/>
    <mergeCell ref="O210:T210"/>
    <mergeCell ref="O204:T204"/>
    <mergeCell ref="L219:L220"/>
    <mergeCell ref="B196:G196"/>
    <mergeCell ref="O196:T196"/>
    <mergeCell ref="B197:G197"/>
    <mergeCell ref="O197:T197"/>
    <mergeCell ref="U219:V219"/>
    <mergeCell ref="B194:G194"/>
    <mergeCell ref="O194:T194"/>
    <mergeCell ref="B195:G195"/>
    <mergeCell ref="B191:G191"/>
    <mergeCell ref="B190:G190"/>
    <mergeCell ref="O190:T190"/>
    <mergeCell ref="B188:G188"/>
    <mergeCell ref="O188:T188"/>
    <mergeCell ref="B189:G189"/>
    <mergeCell ref="O189:T189"/>
    <mergeCell ref="B155:G155"/>
    <mergeCell ref="O155:T155"/>
    <mergeCell ref="B158:G158"/>
    <mergeCell ref="O191:T191"/>
    <mergeCell ref="O184:T184"/>
    <mergeCell ref="N179:N183"/>
    <mergeCell ref="K189:M189"/>
    <mergeCell ref="K190:M190"/>
    <mergeCell ref="K191:M191"/>
    <mergeCell ref="C175:T175"/>
    <mergeCell ref="K170:M170"/>
    <mergeCell ref="K188:M188"/>
    <mergeCell ref="B186:G186"/>
    <mergeCell ref="O186:T186"/>
    <mergeCell ref="B187:G187"/>
    <mergeCell ref="O187:T187"/>
    <mergeCell ref="O179:T183"/>
    <mergeCell ref="B185:G185"/>
    <mergeCell ref="K187:M187"/>
    <mergeCell ref="X162:Z162"/>
    <mergeCell ref="B170:G170"/>
    <mergeCell ref="O170:T170"/>
    <mergeCell ref="O161:T161"/>
    <mergeCell ref="K160:M160"/>
    <mergeCell ref="X166:Z166"/>
    <mergeCell ref="K166:M166"/>
    <mergeCell ref="K167:M167"/>
    <mergeCell ref="K159:M159"/>
    <mergeCell ref="X167:Z167"/>
    <mergeCell ref="X168:Z168"/>
    <mergeCell ref="X161:Z161"/>
    <mergeCell ref="X170:Z170"/>
    <mergeCell ref="X169:Z169"/>
    <mergeCell ref="K156:M156"/>
    <mergeCell ref="K157:M157"/>
    <mergeCell ref="K168:M168"/>
    <mergeCell ref="K169:M169"/>
    <mergeCell ref="A179:A183"/>
    <mergeCell ref="B179:G183"/>
    <mergeCell ref="H179:I180"/>
    <mergeCell ref="W181:W183"/>
    <mergeCell ref="U179:V180"/>
    <mergeCell ref="F176:F177"/>
    <mergeCell ref="T176:T177"/>
    <mergeCell ref="R176:R177"/>
    <mergeCell ref="G176:G177"/>
    <mergeCell ref="Q176:Q177"/>
    <mergeCell ref="I176:I177"/>
    <mergeCell ref="J176:J177"/>
    <mergeCell ref="K176:K177"/>
    <mergeCell ref="L176:L177"/>
    <mergeCell ref="H181:H183"/>
    <mergeCell ref="I181:I183"/>
    <mergeCell ref="J181:J183"/>
    <mergeCell ref="A176:B177"/>
    <mergeCell ref="U176:V176"/>
    <mergeCell ref="W179:Z180"/>
    <mergeCell ref="E176:E177"/>
    <mergeCell ref="H176:H177"/>
    <mergeCell ref="M176:M177"/>
    <mergeCell ref="P176:P177"/>
    <mergeCell ref="V181:V183"/>
    <mergeCell ref="W177:X177"/>
    <mergeCell ref="S176:S177"/>
    <mergeCell ref="N176:N177"/>
    <mergeCell ref="O176:O177"/>
    <mergeCell ref="B145:G145"/>
    <mergeCell ref="O145:T145"/>
    <mergeCell ref="B157:G157"/>
    <mergeCell ref="O157:T157"/>
    <mergeCell ref="B136:G140"/>
    <mergeCell ref="H136:I137"/>
    <mergeCell ref="K149:M149"/>
    <mergeCell ref="K150:M150"/>
    <mergeCell ref="K151:M151"/>
    <mergeCell ref="K154:M154"/>
    <mergeCell ref="B152:G152"/>
    <mergeCell ref="J136:M137"/>
    <mergeCell ref="B141:G141"/>
    <mergeCell ref="O141:T141"/>
    <mergeCell ref="O136:T140"/>
    <mergeCell ref="J138:J140"/>
    <mergeCell ref="N136:N140"/>
    <mergeCell ref="T133:T134"/>
    <mergeCell ref="B146:G146"/>
    <mergeCell ref="O146:T146"/>
    <mergeCell ref="B147:G147"/>
    <mergeCell ref="O147:T147"/>
    <mergeCell ref="O167:T167"/>
    <mergeCell ref="O168:T168"/>
    <mergeCell ref="B192:G192"/>
    <mergeCell ref="B149:G149"/>
    <mergeCell ref="O149:T149"/>
    <mergeCell ref="K152:M152"/>
    <mergeCell ref="B162:G162"/>
    <mergeCell ref="O162:T162"/>
    <mergeCell ref="B142:G142"/>
    <mergeCell ref="O142:T142"/>
    <mergeCell ref="B143:G143"/>
    <mergeCell ref="K142:M142"/>
    <mergeCell ref="O143:T143"/>
    <mergeCell ref="O185:T185"/>
    <mergeCell ref="B160:G160"/>
    <mergeCell ref="B161:G161"/>
    <mergeCell ref="B166:G166"/>
    <mergeCell ref="B159:G159"/>
    <mergeCell ref="O159:T159"/>
    <mergeCell ref="B169:G169"/>
    <mergeCell ref="B151:G151"/>
    <mergeCell ref="O151:T151"/>
    <mergeCell ref="B156:G156"/>
    <mergeCell ref="O156:T156"/>
    <mergeCell ref="K141:M141"/>
    <mergeCell ref="B144:G144"/>
    <mergeCell ref="O144:T144"/>
    <mergeCell ref="K255:M255"/>
    <mergeCell ref="O166:T166"/>
    <mergeCell ref="B163:G163"/>
    <mergeCell ref="O163:T163"/>
    <mergeCell ref="B164:G164"/>
    <mergeCell ref="B109:G109"/>
    <mergeCell ref="O109:T109"/>
    <mergeCell ref="B110:G110"/>
    <mergeCell ref="O110:T110"/>
    <mergeCell ref="B115:G115"/>
    <mergeCell ref="O115:T115"/>
    <mergeCell ref="B116:G116"/>
    <mergeCell ref="O116:T116"/>
    <mergeCell ref="B208:G208"/>
    <mergeCell ref="O208:T208"/>
    <mergeCell ref="R133:R134"/>
    <mergeCell ref="S133:S134"/>
    <mergeCell ref="L133:L134"/>
    <mergeCell ref="M133:M134"/>
    <mergeCell ref="N133:N134"/>
    <mergeCell ref="K252:M252"/>
    <mergeCell ref="K253:M253"/>
    <mergeCell ref="B168:G168"/>
    <mergeCell ref="B167:G167"/>
    <mergeCell ref="B165:G165"/>
    <mergeCell ref="O165:T165"/>
    <mergeCell ref="B250:G250"/>
    <mergeCell ref="O250:T250"/>
    <mergeCell ref="B251:G251"/>
    <mergeCell ref="O251:T251"/>
    <mergeCell ref="J133:J134"/>
    <mergeCell ref="K133:K134"/>
    <mergeCell ref="K256:M256"/>
    <mergeCell ref="X247:Z247"/>
    <mergeCell ref="X248:Z248"/>
    <mergeCell ref="X249:Z249"/>
    <mergeCell ref="X254:Z254"/>
    <mergeCell ref="X255:Z255"/>
    <mergeCell ref="K209:M209"/>
    <mergeCell ref="K212:M212"/>
    <mergeCell ref="B213:G213"/>
    <mergeCell ref="O213:T213"/>
    <mergeCell ref="B247:G247"/>
    <mergeCell ref="O247:T247"/>
    <mergeCell ref="R219:R220"/>
    <mergeCell ref="O219:O220"/>
    <mergeCell ref="N219:N220"/>
    <mergeCell ref="N222:N226"/>
    <mergeCell ref="B234:G234"/>
    <mergeCell ref="O234:T234"/>
    <mergeCell ref="X256:Z256"/>
    <mergeCell ref="B209:G209"/>
    <mergeCell ref="O209:T209"/>
    <mergeCell ref="O211:T211"/>
    <mergeCell ref="B212:G212"/>
    <mergeCell ref="O212:T212"/>
    <mergeCell ref="B256:G256"/>
    <mergeCell ref="O256:T256"/>
    <mergeCell ref="B255:G255"/>
    <mergeCell ref="O255:T255"/>
    <mergeCell ref="B254:G254"/>
    <mergeCell ref="B253:G253"/>
    <mergeCell ref="K251:M251"/>
    <mergeCell ref="K254:M254"/>
    <mergeCell ref="B105:G105"/>
    <mergeCell ref="O105:T105"/>
    <mergeCell ref="B106:G106"/>
    <mergeCell ref="O106:T106"/>
    <mergeCell ref="Y130:Z130"/>
    <mergeCell ref="B104:G104"/>
    <mergeCell ref="O104:T104"/>
    <mergeCell ref="B101:G101"/>
    <mergeCell ref="O101:T101"/>
    <mergeCell ref="B102:G102"/>
    <mergeCell ref="O102:T102"/>
    <mergeCell ref="K101:M101"/>
    <mergeCell ref="K102:M102"/>
    <mergeCell ref="K103:M103"/>
    <mergeCell ref="U181:U183"/>
    <mergeCell ref="O206:T206"/>
    <mergeCell ref="B207:G207"/>
    <mergeCell ref="O207:T207"/>
    <mergeCell ref="B206:G206"/>
    <mergeCell ref="B184:G184"/>
    <mergeCell ref="B111:G111"/>
    <mergeCell ref="O111:T111"/>
    <mergeCell ref="B112:G112"/>
    <mergeCell ref="O112:T112"/>
    <mergeCell ref="O192:T192"/>
    <mergeCell ref="B193:G193"/>
    <mergeCell ref="H138:H140"/>
    <mergeCell ref="I138:I140"/>
    <mergeCell ref="K158:M158"/>
    <mergeCell ref="B148:G148"/>
    <mergeCell ref="X120:Z120"/>
    <mergeCell ref="W134:X134"/>
    <mergeCell ref="B100:G100"/>
    <mergeCell ref="O100:T100"/>
    <mergeCell ref="B124:G124"/>
    <mergeCell ref="O124:T124"/>
    <mergeCell ref="B122:G122"/>
    <mergeCell ref="B123:G123"/>
    <mergeCell ref="B99:G99"/>
    <mergeCell ref="B103:G103"/>
    <mergeCell ref="O103:T103"/>
    <mergeCell ref="O122:T122"/>
    <mergeCell ref="O123:T123"/>
    <mergeCell ref="O98:T98"/>
    <mergeCell ref="B120:G120"/>
    <mergeCell ref="O120:T120"/>
    <mergeCell ref="B121:G121"/>
    <mergeCell ref="O121:T121"/>
    <mergeCell ref="B119:G119"/>
    <mergeCell ref="O119:T119"/>
    <mergeCell ref="B98:G98"/>
    <mergeCell ref="B107:G107"/>
    <mergeCell ref="O107:T107"/>
    <mergeCell ref="B108:G108"/>
    <mergeCell ref="O108:T108"/>
    <mergeCell ref="B113:G113"/>
    <mergeCell ref="O113:T113"/>
    <mergeCell ref="B114:G114"/>
    <mergeCell ref="O114:T114"/>
    <mergeCell ref="K115:M115"/>
    <mergeCell ref="K104:M104"/>
    <mergeCell ref="K124:M124"/>
    <mergeCell ref="K116:M116"/>
    <mergeCell ref="K121:M121"/>
    <mergeCell ref="J95:J97"/>
    <mergeCell ref="A90:B91"/>
    <mergeCell ref="K98:M98"/>
    <mergeCell ref="U93:V94"/>
    <mergeCell ref="N93:N97"/>
    <mergeCell ref="O93:T97"/>
    <mergeCell ref="U95:U97"/>
    <mergeCell ref="V95:V97"/>
    <mergeCell ref="A93:A97"/>
    <mergeCell ref="B93:G97"/>
    <mergeCell ref="H93:I94"/>
    <mergeCell ref="B82:G82"/>
    <mergeCell ref="H95:H97"/>
    <mergeCell ref="I95:I97"/>
    <mergeCell ref="E90:E91"/>
    <mergeCell ref="I90:I91"/>
    <mergeCell ref="A86:Z86"/>
    <mergeCell ref="A89:B89"/>
    <mergeCell ref="U91:V91"/>
    <mergeCell ref="O84:T84"/>
    <mergeCell ref="Q90:Q91"/>
    <mergeCell ref="R90:R91"/>
    <mergeCell ref="S90:S91"/>
    <mergeCell ref="T90:T91"/>
    <mergeCell ref="O83:T83"/>
    <mergeCell ref="O82:T82"/>
    <mergeCell ref="L90:L91"/>
    <mergeCell ref="M90:M91"/>
    <mergeCell ref="G90:G91"/>
    <mergeCell ref="H90:H91"/>
    <mergeCell ref="B84:G84"/>
    <mergeCell ref="K90:K91"/>
    <mergeCell ref="X59:Z59"/>
    <mergeCell ref="X52:Z54"/>
    <mergeCell ref="W52:W54"/>
    <mergeCell ref="O59:T59"/>
    <mergeCell ref="K59:M59"/>
    <mergeCell ref="N50:N54"/>
    <mergeCell ref="O50:T54"/>
    <mergeCell ref="H50:I51"/>
    <mergeCell ref="H52:H54"/>
    <mergeCell ref="H42:J42"/>
    <mergeCell ref="K42:M42"/>
    <mergeCell ref="B79:G79"/>
    <mergeCell ref="B80:G80"/>
    <mergeCell ref="B62:G62"/>
    <mergeCell ref="O62:T62"/>
    <mergeCell ref="B81:G81"/>
    <mergeCell ref="B83:G83"/>
    <mergeCell ref="B56:G56"/>
    <mergeCell ref="B60:G60"/>
    <mergeCell ref="O60:T60"/>
    <mergeCell ref="B57:G57"/>
    <mergeCell ref="B58:G58"/>
    <mergeCell ref="O58:T58"/>
    <mergeCell ref="Y44:Z44"/>
    <mergeCell ref="B59:G59"/>
    <mergeCell ref="A47:B48"/>
    <mergeCell ref="B42:D42"/>
    <mergeCell ref="A50:A54"/>
    <mergeCell ref="B50:G54"/>
    <mergeCell ref="C47:D48"/>
    <mergeCell ref="A41:A42"/>
    <mergeCell ref="N42:P42"/>
    <mergeCell ref="U47:V47"/>
    <mergeCell ref="K47:K48"/>
    <mergeCell ref="L47:L48"/>
    <mergeCell ref="U48:V48"/>
    <mergeCell ref="U50:V51"/>
    <mergeCell ref="O56:T56"/>
    <mergeCell ref="O57:T57"/>
    <mergeCell ref="K57:M57"/>
    <mergeCell ref="K58:M58"/>
    <mergeCell ref="M47:M48"/>
    <mergeCell ref="N47:N48"/>
    <mergeCell ref="W50:Z51"/>
    <mergeCell ref="AA41:AA42"/>
    <mergeCell ref="AB41:AD41"/>
    <mergeCell ref="AB42:AD42"/>
    <mergeCell ref="AH41:AJ41"/>
    <mergeCell ref="Q42:S42"/>
    <mergeCell ref="Q47:Q48"/>
    <mergeCell ref="R47:R48"/>
    <mergeCell ref="S47:S48"/>
    <mergeCell ref="T47:T48"/>
    <mergeCell ref="O47:O48"/>
    <mergeCell ref="C46:T46"/>
    <mergeCell ref="U42:V42"/>
    <mergeCell ref="B75:G75"/>
    <mergeCell ref="AB17:AG17"/>
    <mergeCell ref="AR28:AS29"/>
    <mergeCell ref="AT28:AU29"/>
    <mergeCell ref="AN41:AP41"/>
    <mergeCell ref="AE41:AG41"/>
    <mergeCell ref="Q41:S41"/>
    <mergeCell ref="B41:D41"/>
    <mergeCell ref="AA37:AA39"/>
    <mergeCell ref="K41:M41"/>
    <mergeCell ref="N41:P41"/>
    <mergeCell ref="D28:E29"/>
    <mergeCell ref="AP28:AQ29"/>
    <mergeCell ref="B22:G22"/>
    <mergeCell ref="O22:T22"/>
    <mergeCell ref="AB22:AG22"/>
    <mergeCell ref="AO22:AT22"/>
    <mergeCell ref="B21:G21"/>
    <mergeCell ref="O21:T21"/>
    <mergeCell ref="X22:Z22"/>
    <mergeCell ref="N28:O29"/>
    <mergeCell ref="P28:Q29"/>
    <mergeCell ref="R28:S29"/>
    <mergeCell ref="T28:U29"/>
    <mergeCell ref="V28:W29"/>
    <mergeCell ref="AB27:AY27"/>
    <mergeCell ref="AV30:AW31"/>
    <mergeCell ref="AX30:AY31"/>
    <mergeCell ref="AA47:AZ59"/>
    <mergeCell ref="W48:X48"/>
    <mergeCell ref="K38:M39"/>
    <mergeCell ref="I47:I48"/>
    <mergeCell ref="R38:T38"/>
    <mergeCell ref="P38:Q38"/>
    <mergeCell ref="R37:T37"/>
    <mergeCell ref="P37:Q37"/>
    <mergeCell ref="AH30:AI31"/>
    <mergeCell ref="AJ30:AK31"/>
    <mergeCell ref="AL30:AM31"/>
    <mergeCell ref="AN30:AO31"/>
    <mergeCell ref="AR30:AS31"/>
    <mergeCell ref="AT30:AU31"/>
    <mergeCell ref="AB33:AD35"/>
    <mergeCell ref="AE33:AF33"/>
    <mergeCell ref="AG33:AH33"/>
    <mergeCell ref="AD30:AE31"/>
    <mergeCell ref="E42:G42"/>
    <mergeCell ref="AG35:AH35"/>
    <mergeCell ref="AI35:AJ35"/>
    <mergeCell ref="AK35:AL35"/>
    <mergeCell ref="AM35:AN35"/>
    <mergeCell ref="K37:M37"/>
    <mergeCell ref="A36:M36"/>
    <mergeCell ref="AK41:AM41"/>
    <mergeCell ref="AQ41:AS41"/>
    <mergeCell ref="J30:K31"/>
    <mergeCell ref="L30:M31"/>
    <mergeCell ref="E35:F35"/>
    <mergeCell ref="B33:D35"/>
    <mergeCell ref="E33:F33"/>
    <mergeCell ref="B30:C31"/>
    <mergeCell ref="AP30:AQ31"/>
    <mergeCell ref="D30:E31"/>
    <mergeCell ref="F30:G31"/>
    <mergeCell ref="B28:C29"/>
    <mergeCell ref="X28:Y29"/>
    <mergeCell ref="F5:F6"/>
    <mergeCell ref="G5:G6"/>
    <mergeCell ref="H5:H6"/>
    <mergeCell ref="I5:I6"/>
    <mergeCell ref="J5:J6"/>
    <mergeCell ref="K5:K6"/>
    <mergeCell ref="M5:M6"/>
    <mergeCell ref="O164:T164"/>
    <mergeCell ref="O254:T254"/>
    <mergeCell ref="O253:T253"/>
    <mergeCell ref="B252:G252"/>
    <mergeCell ref="O252:T252"/>
    <mergeCell ref="K250:M250"/>
    <mergeCell ref="K10:M12"/>
    <mergeCell ref="J8:M9"/>
    <mergeCell ref="B13:G13"/>
    <mergeCell ref="R5:R6"/>
    <mergeCell ref="F90:F91"/>
    <mergeCell ref="B16:G16"/>
    <mergeCell ref="I52:I54"/>
    <mergeCell ref="J50:M51"/>
    <mergeCell ref="K52:M54"/>
    <mergeCell ref="B55:G55"/>
    <mergeCell ref="J52:J54"/>
    <mergeCell ref="B61:G61"/>
    <mergeCell ref="O61:T61"/>
    <mergeCell ref="B17:G17"/>
    <mergeCell ref="O17:T17"/>
    <mergeCell ref="B15:G15"/>
    <mergeCell ref="O15:T15"/>
    <mergeCell ref="AA4:AB4"/>
    <mergeCell ref="AC4:AT4"/>
    <mergeCell ref="AU8:AV9"/>
    <mergeCell ref="AJ10:AJ12"/>
    <mergeCell ref="AH10:AH12"/>
    <mergeCell ref="AI10:AI12"/>
    <mergeCell ref="U10:U12"/>
    <mergeCell ref="V10:V12"/>
    <mergeCell ref="AF5:AF6"/>
    <mergeCell ref="O13:T13"/>
    <mergeCell ref="H10:H12"/>
    <mergeCell ref="I10:I12"/>
    <mergeCell ref="J10:J12"/>
    <mergeCell ref="N5:N6"/>
    <mergeCell ref="O5:O6"/>
    <mergeCell ref="P5:P6"/>
    <mergeCell ref="Q5:Q6"/>
    <mergeCell ref="AK5:AK6"/>
    <mergeCell ref="AU10:AU12"/>
    <mergeCell ref="AV10:AV12"/>
    <mergeCell ref="T5:T6"/>
    <mergeCell ref="AA5:AB6"/>
    <mergeCell ref="AC5:AD6"/>
    <mergeCell ref="AB13:AG13"/>
    <mergeCell ref="AA7:AZ7"/>
    <mergeCell ref="AH8:AI9"/>
    <mergeCell ref="AH5:AH6"/>
    <mergeCell ref="AG5:AG6"/>
    <mergeCell ref="AR5:AR6"/>
    <mergeCell ref="AW6:AX6"/>
    <mergeCell ref="AO13:AT13"/>
    <mergeCell ref="AB18:AG18"/>
    <mergeCell ref="AO18:AT18"/>
    <mergeCell ref="B20:G20"/>
    <mergeCell ref="O20:T20"/>
    <mergeCell ref="AB20:AG20"/>
    <mergeCell ref="A26:Z26"/>
    <mergeCell ref="AO20:AT20"/>
    <mergeCell ref="B19:G19"/>
    <mergeCell ref="O19:T19"/>
    <mergeCell ref="AB19:AG19"/>
    <mergeCell ref="AO17:AT17"/>
    <mergeCell ref="A25:Z25"/>
    <mergeCell ref="O16:T16"/>
    <mergeCell ref="AB16:AG16"/>
    <mergeCell ref="AA26:AZ26"/>
    <mergeCell ref="AX20:AZ20"/>
    <mergeCell ref="AX21:AZ21"/>
    <mergeCell ref="AX22:AZ22"/>
    <mergeCell ref="AA24:AZ24"/>
    <mergeCell ref="AA25:AZ25"/>
    <mergeCell ref="AO21:AT21"/>
    <mergeCell ref="AB21:AG21"/>
    <mergeCell ref="B18:G18"/>
    <mergeCell ref="O18:T18"/>
    <mergeCell ref="A1:Z1"/>
    <mergeCell ref="AA1:AZ1"/>
    <mergeCell ref="W2:X2"/>
    <mergeCell ref="S5:S6"/>
    <mergeCell ref="Y2:Z2"/>
    <mergeCell ref="E5:E6"/>
    <mergeCell ref="AO5:AO6"/>
    <mergeCell ref="AP5:AP6"/>
    <mergeCell ref="AQ5:AQ6"/>
    <mergeCell ref="AJ5:AJ6"/>
    <mergeCell ref="AL5:AL6"/>
    <mergeCell ref="AM5:AM6"/>
    <mergeCell ref="AT5:AT6"/>
    <mergeCell ref="AU5:AV5"/>
    <mergeCell ref="AU6:AV6"/>
    <mergeCell ref="AN8:AN12"/>
    <mergeCell ref="AO8:AT12"/>
    <mergeCell ref="W10:W12"/>
    <mergeCell ref="O8:T12"/>
    <mergeCell ref="U8:V9"/>
    <mergeCell ref="N8:N12"/>
    <mergeCell ref="AA8:AA12"/>
    <mergeCell ref="AB8:AG12"/>
    <mergeCell ref="AW2:AX2"/>
    <mergeCell ref="AY2:AZ2"/>
    <mergeCell ref="A8:A12"/>
    <mergeCell ref="B8:G12"/>
    <mergeCell ref="H8:I9"/>
    <mergeCell ref="AW10:AW12"/>
    <mergeCell ref="AN5:AN6"/>
    <mergeCell ref="W8:Z9"/>
    <mergeCell ref="X10:Z12"/>
    <mergeCell ref="AB260:AZ260"/>
    <mergeCell ref="K264:L264"/>
    <mergeCell ref="K265:L265"/>
    <mergeCell ref="BN7:BO7"/>
    <mergeCell ref="BN8:BO8"/>
    <mergeCell ref="B37:D37"/>
    <mergeCell ref="B38:D39"/>
    <mergeCell ref="E37:G37"/>
    <mergeCell ref="E38:G39"/>
    <mergeCell ref="H37:J37"/>
    <mergeCell ref="H38:J39"/>
    <mergeCell ref="U5:V5"/>
    <mergeCell ref="L5:L6"/>
    <mergeCell ref="AI5:AI6"/>
    <mergeCell ref="U6:V6"/>
    <mergeCell ref="W6:X6"/>
    <mergeCell ref="AE5:AE6"/>
    <mergeCell ref="BN9:BO9"/>
    <mergeCell ref="BN10:BO10"/>
    <mergeCell ref="AO16:AT16"/>
    <mergeCell ref="AB14:AG14"/>
    <mergeCell ref="K13:M13"/>
    <mergeCell ref="K14:M14"/>
    <mergeCell ref="A24:Z24"/>
    <mergeCell ref="A37:A39"/>
    <mergeCell ref="E34:F34"/>
    <mergeCell ref="B14:G14"/>
    <mergeCell ref="O14:T14"/>
    <mergeCell ref="AO14:AT14"/>
    <mergeCell ref="AO15:AT15"/>
    <mergeCell ref="AB15:AG15"/>
    <mergeCell ref="AO19:AT19"/>
  </mergeCells>
  <phoneticPr fontId="8"/>
  <conditionalFormatting sqref="O13:Z22 B55:M84 O55:Z84 B98:M127 O98:Z127 B141:M170 O141:Z170 B13:M22">
    <cfRule type="containsBlanks" dxfId="444" priority="1">
      <formula>LEN(TRIM(B13))=0</formula>
    </cfRule>
  </conditionalFormatting>
  <dataValidations count="12">
    <dataValidation type="list" allowBlank="1" showInputMessage="1" showErrorMessage="1" sqref="AW13:AW22 AJ13:AJ22" xr:uid="{00000000-0002-0000-0600-000000000000}">
      <formula1>$BF$3:$BF$6</formula1>
    </dataValidation>
    <dataValidation type="list" allowBlank="1" showInputMessage="1" showErrorMessage="1" sqref="I227:I256 AI17:AI18 AI21:AI22 AI14:AI15 AV13:AV20 V184:V213 I184:I213 I141:I170 V141:V170 V227:V256 V13:V22 I98:I127 I55:I84 V55:V84 V98:V127 I17:I18 I21:I22 I14:I15" xr:uid="{00000000-0002-0000-0600-000001000000}">
      <formula1>$AA$13:$AA$14</formula1>
    </dataValidation>
    <dataValidation type="list" allowBlank="1" showInputMessage="1" showErrorMessage="1" sqref="H227:H256 H141:H170 AU21:AU22 U184:U213 H184:H213 U141:U170 U227:U256 U98:U127 H98:H127 U13:U22 H55:H84 H13:H22 U55:U84" xr:uid="{00000000-0002-0000-0600-000002000000}">
      <formula1>$AA$13</formula1>
    </dataValidation>
    <dataValidation type="list" allowBlank="1" showInputMessage="1" showErrorMessage="1" sqref="U171:V171 H214:I214 U214:V214 H171:I171" xr:uid="{00000000-0002-0000-0600-000003000000}">
      <formula1>$C$31:$L$31</formula1>
    </dataValidation>
    <dataValidation type="list" allowBlank="1" showInputMessage="1" showErrorMessage="1" sqref="AK13:AK22 AX13:AX22" xr:uid="{00000000-0002-0000-0600-000004000000}">
      <formula1>$BF$12:$BF$37</formula1>
    </dataValidation>
    <dataValidation type="list" allowBlank="1" showInputMessage="1" sqref="AI19:AI20 AI13 AI16 I19:I20 I13 I16" xr:uid="{00000000-0002-0000-0600-000005000000}">
      <formula1>$AA$13:$AA$14</formula1>
    </dataValidation>
    <dataValidation type="custom" operator="lessThan" allowBlank="1" showInputMessage="1" showErrorMessage="1" errorTitle="引率割引適応者の人数を再確認！" error="引率者割引の適応者は、生徒数の20%までとなっております。" sqref="K34:L34" xr:uid="{00000000-0002-0000-0600-000006000000}">
      <formula1>$G$34*0.2&gt;K34</formula1>
    </dataValidation>
    <dataValidation operator="lessThan" allowBlank="1" showInputMessage="1" showErrorMessage="1" errorTitle="引率割引適応者の人数を再確認！" error="引率者割引の適応者は、生徒数の20%までとなっております。" sqref="AK34:AL34" xr:uid="{00000000-0002-0000-0600-000007000000}"/>
    <dataValidation type="list" allowBlank="1" showInputMessage="1" showErrorMessage="1" sqref="K264:L264 J227:J256 W227:W256 J184:J213 W184:W213 J141:J170 W141:W170 J98:J127 W98:W127 J13:J22 W55:W84 W13:W22 J55:J84" xr:uid="{69398FC8-8284-4558-84DA-22434F909627}">
      <formula1>料金区分</formula1>
    </dataValidation>
    <dataValidation type="list" allowBlank="1" showInputMessage="1" showErrorMessage="1" sqref="K228:M256 X227:Z256 K13:M22 X13:Z22 K55:M84 X98:Z127 K184:M213 X184:Z213 K141:M170 X141:Z170 K98:M127 X55:Z84" xr:uid="{9F395469-7107-4048-9F6B-E27E058DA387}">
      <formula1>INDIRECT(J13)</formula1>
    </dataValidation>
    <dataValidation type="list" allowBlank="1" showInputMessage="1" showErrorMessage="1" sqref="K265:L265" xr:uid="{E84D1EB6-0507-4D9B-B260-5F5D6396719C}">
      <formula1>INDIRECT($K$264)</formula1>
    </dataValidation>
    <dataValidation type="list" allowBlank="1" showInputMessage="1" showErrorMessage="1" sqref="K227:M227" xr:uid="{B80782FB-11AE-4920-BE5B-F50995D9E18D}">
      <formula1>INDIRECT($J$227)</formula1>
    </dataValidation>
  </dataValidations>
  <printOptions horizontalCentered="1"/>
  <pageMargins left="0.39370078740157483" right="0.39370078740157483" top="0.39370078740157483" bottom="0.39370078740157483" header="0" footer="0"/>
  <pageSetup paperSize="9" scale="81" fitToHeight="0" orientation="portrait" r:id="rId1"/>
  <headerFooter>
    <oddFooter>&amp;R&amp;D &amp;T</oddFooter>
  </headerFooter>
  <rowBreaks count="5" manualBreakCount="5">
    <brk id="42" max="16383" man="1"/>
    <brk id="85" max="16383" man="1"/>
    <brk id="128" max="51" man="1"/>
    <brk id="171" max="51" man="1"/>
    <brk id="214" max="51" man="1"/>
  </rowBreaks>
  <colBreaks count="1" manualBreakCount="1">
    <brk id="26" max="170" man="1"/>
  </colBreaks>
  <ignoredErrors>
    <ignoredError sqref="BJ27 BK27:BR27 BT14 BT24 BU27 BU28:BU32 BU33:BU36 BU12:BU26 BI74:BI85" formula="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tabColor rgb="FFFFFF00"/>
  </sheetPr>
  <dimension ref="A1:EA94"/>
  <sheetViews>
    <sheetView view="pageBreakPreview" topLeftCell="C1" zoomScale="55" zoomScaleNormal="80" zoomScaleSheetLayoutView="55" workbookViewId="0">
      <selection activeCell="AI25" sqref="AI25:AK25"/>
    </sheetView>
  </sheetViews>
  <sheetFormatPr defaultRowHeight="13.5"/>
  <cols>
    <col min="1" max="1" width="5.75" style="74" customWidth="1"/>
    <col min="2" max="2" width="5.375" style="74" customWidth="1"/>
    <col min="3" max="3" width="5.625" style="74" customWidth="1"/>
    <col min="4" max="4" width="3.625" style="74" customWidth="1"/>
    <col min="5" max="5" width="7.625" style="74" customWidth="1"/>
    <col min="6" max="6" width="6.625" style="74" customWidth="1"/>
    <col min="7" max="7" width="8.625" style="74" customWidth="1"/>
    <col min="8" max="8" width="5" style="74" customWidth="1"/>
    <col min="9" max="11" width="6.625" style="74" customWidth="1"/>
    <col min="12" max="15" width="12.625" style="74" customWidth="1"/>
    <col min="16" max="18" width="6.625" style="74" customWidth="1"/>
    <col min="19" max="20" width="7.625" style="74" customWidth="1"/>
    <col min="21" max="21" width="5.75" style="74" customWidth="1"/>
    <col min="22" max="22" width="4.875" style="74" customWidth="1"/>
    <col min="23" max="24" width="5.75" style="74" customWidth="1"/>
    <col min="25" max="34" width="5.625" style="74" customWidth="1"/>
    <col min="35" max="36" width="5.625" style="82" customWidth="1"/>
    <col min="37" max="47" width="5.625" style="74" customWidth="1"/>
    <col min="48" max="49" width="5.625" style="193" customWidth="1"/>
    <col min="50" max="50" width="5.625" style="74" customWidth="1"/>
    <col min="51" max="52" width="5.625" style="193" customWidth="1"/>
    <col min="53" max="53" width="15.75" style="74" customWidth="1"/>
    <col min="54" max="56" width="5.625" style="74" customWidth="1"/>
    <col min="57" max="61" width="6.625" style="74" customWidth="1"/>
    <col min="62" max="62" width="8.5" style="74" customWidth="1"/>
    <col min="63" max="64" width="6.625" style="74" customWidth="1"/>
    <col min="65" max="68" width="12.625" style="74" customWidth="1"/>
    <col min="69" max="70" width="6.625" style="74" customWidth="1"/>
    <col min="71" max="71" width="8.625" style="74" customWidth="1"/>
    <col min="72" max="73" width="7.625" style="74" customWidth="1"/>
    <col min="74" max="74" width="5.75" style="74" customWidth="1"/>
    <col min="75" max="77" width="5.625" style="74" customWidth="1"/>
    <col min="78" max="79" width="5.75" style="74" customWidth="1"/>
    <col min="80" max="82" width="5.625" style="74" customWidth="1"/>
    <col min="83" max="83" width="5.875" style="74" customWidth="1"/>
    <col min="84" max="84" width="5.625" style="74" customWidth="1"/>
    <col min="85" max="99" width="5.75" style="74" customWidth="1"/>
    <col min="100" max="100" width="15.625" style="74" customWidth="1"/>
    <col min="101" max="101" width="15.625" style="193" customWidth="1"/>
    <col min="102" max="102" width="15.625" style="74" customWidth="1"/>
    <col min="103" max="105" width="9" style="74"/>
    <col min="106" max="106" width="31.875" style="74" bestFit="1" customWidth="1"/>
    <col min="107" max="108" width="9" style="74"/>
    <col min="109" max="109" width="29.375" style="74" customWidth="1"/>
    <col min="110" max="16384" width="9" style="74"/>
  </cols>
  <sheetData>
    <row r="1" spans="1:131" ht="23.25" customHeight="1">
      <c r="A1" s="2259" t="s">
        <v>3136</v>
      </c>
      <c r="B1" s="2259"/>
      <c r="C1" s="2259"/>
      <c r="D1" s="2259"/>
      <c r="E1" s="2259"/>
      <c r="F1" s="2259"/>
      <c r="G1" s="2259"/>
      <c r="H1" s="2259"/>
      <c r="I1" s="2259"/>
      <c r="J1" s="2259"/>
      <c r="K1" s="2259"/>
      <c r="L1" s="2259"/>
      <c r="M1" s="2259"/>
      <c r="N1" s="2260"/>
      <c r="O1" s="2260"/>
      <c r="P1" s="2270"/>
      <c r="Q1" s="2270"/>
      <c r="R1" s="2270"/>
      <c r="S1" s="2270"/>
      <c r="T1" s="2270"/>
      <c r="U1" s="2270"/>
      <c r="V1" s="20"/>
      <c r="W1" s="2243" t="s">
        <v>170</v>
      </c>
      <c r="X1" s="2243"/>
      <c r="Y1" s="2243"/>
      <c r="Z1" s="2243"/>
      <c r="AA1" s="2243"/>
      <c r="AB1" s="2243"/>
      <c r="AC1" s="2243"/>
      <c r="AD1" s="2243"/>
      <c r="AE1" s="2243"/>
      <c r="AF1" s="2243"/>
      <c r="AG1" s="2243"/>
      <c r="AH1" s="2243"/>
      <c r="AI1" s="2243"/>
      <c r="AJ1" s="2243"/>
      <c r="AK1" s="2243"/>
      <c r="AL1" s="2243"/>
      <c r="AM1" s="2243"/>
      <c r="AN1" s="2243"/>
      <c r="AO1" s="2243"/>
      <c r="AP1" s="2243"/>
      <c r="AQ1" s="2243"/>
      <c r="AR1" s="2243"/>
      <c r="AS1" s="2243"/>
      <c r="AT1" s="2243"/>
      <c r="AU1" s="2243"/>
      <c r="AV1" s="2243"/>
      <c r="AW1" s="2243"/>
      <c r="AX1" s="2243"/>
      <c r="AY1" s="2243"/>
      <c r="AZ1" s="2243"/>
      <c r="BA1" s="2243"/>
      <c r="BB1" s="2261" t="s">
        <v>3090</v>
      </c>
      <c r="BC1" s="2261"/>
      <c r="BD1" s="2261"/>
      <c r="BE1" s="2261"/>
      <c r="BF1" s="2261"/>
      <c r="BG1" s="2261"/>
      <c r="BH1" s="2261"/>
      <c r="BI1" s="2261"/>
      <c r="BJ1" s="2261"/>
      <c r="BK1" s="2261"/>
      <c r="BL1" s="2261"/>
      <c r="BM1" s="2261"/>
      <c r="BN1" s="2261"/>
      <c r="BO1" s="2261"/>
      <c r="BP1" s="2261"/>
      <c r="BQ1" s="2261"/>
      <c r="BR1" s="2261"/>
      <c r="BS1" s="2261"/>
      <c r="BT1" s="2261"/>
      <c r="BU1" s="2261"/>
      <c r="BV1" s="2261"/>
      <c r="BW1" s="491"/>
      <c r="BX1" s="2243" t="s">
        <v>170</v>
      </c>
      <c r="BY1" s="2243"/>
      <c r="BZ1" s="2243"/>
      <c r="CA1" s="2243"/>
      <c r="CB1" s="2243"/>
      <c r="CC1" s="2243"/>
      <c r="CD1" s="2243"/>
      <c r="CE1" s="2243"/>
      <c r="CF1" s="2243"/>
      <c r="CG1" s="2243"/>
      <c r="CH1" s="2243"/>
      <c r="CI1" s="2243"/>
      <c r="CJ1" s="2243"/>
      <c r="CK1" s="2243"/>
      <c r="CL1" s="2243"/>
      <c r="CM1" s="2243"/>
      <c r="CN1" s="2243"/>
      <c r="CO1" s="2243"/>
      <c r="CP1" s="2243"/>
      <c r="CQ1" s="2243"/>
      <c r="CR1" s="2243"/>
      <c r="CS1" s="2243"/>
      <c r="CT1" s="2243"/>
      <c r="CU1" s="2243"/>
      <c r="CV1" s="2243"/>
      <c r="CW1" s="492"/>
      <c r="CX1" s="491"/>
      <c r="CY1" s="2253" t="s">
        <v>171</v>
      </c>
      <c r="CZ1" s="2253"/>
      <c r="DA1" s="2253"/>
      <c r="DB1" s="2253"/>
      <c r="DC1" s="2253"/>
      <c r="DD1" s="15"/>
      <c r="DE1" s="16"/>
      <c r="DF1" s="15"/>
      <c r="DG1" s="83"/>
      <c r="DH1" s="83"/>
      <c r="DI1" s="83"/>
      <c r="DJ1" s="83"/>
      <c r="DK1" s="83"/>
      <c r="DL1" s="83"/>
      <c r="DM1" s="83"/>
      <c r="DN1" s="83"/>
      <c r="DO1" s="83"/>
      <c r="DP1" s="83"/>
      <c r="DQ1" s="83"/>
      <c r="DR1" s="83"/>
      <c r="DS1" s="83"/>
      <c r="DT1" s="83"/>
      <c r="DU1" s="83"/>
      <c r="DV1" s="83"/>
      <c r="DW1" s="83"/>
      <c r="DX1" s="83"/>
      <c r="DY1" s="83"/>
      <c r="DZ1" s="83"/>
      <c r="EA1" s="83"/>
    </row>
    <row r="2" spans="1:131" ht="13.5" customHeight="1" thickBot="1">
      <c r="A2" s="2259"/>
      <c r="B2" s="2259"/>
      <c r="C2" s="2259"/>
      <c r="D2" s="2259"/>
      <c r="E2" s="2259"/>
      <c r="F2" s="2259"/>
      <c r="G2" s="2259"/>
      <c r="H2" s="2259"/>
      <c r="I2" s="2259"/>
      <c r="J2" s="2259"/>
      <c r="K2" s="2259"/>
      <c r="L2" s="2259"/>
      <c r="M2" s="2259"/>
      <c r="N2" s="2260"/>
      <c r="O2" s="2260"/>
      <c r="P2" s="2270"/>
      <c r="Q2" s="2270"/>
      <c r="R2" s="2270"/>
      <c r="S2" s="2270"/>
      <c r="T2" s="2270"/>
      <c r="U2" s="2270"/>
      <c r="V2" s="21"/>
      <c r="W2" s="2252"/>
      <c r="X2" s="2252"/>
      <c r="Y2" s="2252"/>
      <c r="Z2" s="2252"/>
      <c r="AA2" s="2252"/>
      <c r="AB2" s="2252"/>
      <c r="AC2" s="2252"/>
      <c r="AD2" s="2252"/>
      <c r="AE2" s="2252"/>
      <c r="AF2" s="2252"/>
      <c r="AG2" s="2252"/>
      <c r="AH2" s="2252"/>
      <c r="AI2" s="2252"/>
      <c r="AJ2" s="2252"/>
      <c r="AK2" s="2252"/>
      <c r="AL2" s="2252"/>
      <c r="AM2" s="2252"/>
      <c r="AN2" s="2252"/>
      <c r="AO2" s="2252"/>
      <c r="AP2" s="2252"/>
      <c r="AQ2" s="2252"/>
      <c r="AR2" s="2252"/>
      <c r="AS2" s="2252"/>
      <c r="AT2" s="2252"/>
      <c r="AU2" s="2252"/>
      <c r="AV2" s="2252"/>
      <c r="AW2" s="2252"/>
      <c r="AX2" s="2252"/>
      <c r="AY2" s="2252"/>
      <c r="AZ2" s="2252"/>
      <c r="BA2" s="2252"/>
      <c r="BB2" s="2261"/>
      <c r="BC2" s="2261"/>
      <c r="BD2" s="2261"/>
      <c r="BE2" s="2261"/>
      <c r="BF2" s="2261"/>
      <c r="BG2" s="2261"/>
      <c r="BH2" s="2261"/>
      <c r="BI2" s="2261"/>
      <c r="BJ2" s="2261"/>
      <c r="BK2" s="2261"/>
      <c r="BL2" s="2261"/>
      <c r="BM2" s="2261"/>
      <c r="BN2" s="2261"/>
      <c r="BO2" s="2261"/>
      <c r="BP2" s="2261"/>
      <c r="BQ2" s="2261"/>
      <c r="BR2" s="2261"/>
      <c r="BS2" s="2261"/>
      <c r="BT2" s="2261"/>
      <c r="BU2" s="2261"/>
      <c r="BV2" s="2261"/>
      <c r="BW2" s="493"/>
      <c r="BX2" s="2252"/>
      <c r="BY2" s="2252"/>
      <c r="BZ2" s="2252"/>
      <c r="CA2" s="2252"/>
      <c r="CB2" s="2252"/>
      <c r="CC2" s="2252"/>
      <c r="CD2" s="2252"/>
      <c r="CE2" s="2252"/>
      <c r="CF2" s="2252"/>
      <c r="CG2" s="2252"/>
      <c r="CH2" s="2252"/>
      <c r="CI2" s="2252"/>
      <c r="CJ2" s="2252"/>
      <c r="CK2" s="2252"/>
      <c r="CL2" s="2252"/>
      <c r="CM2" s="2252"/>
      <c r="CN2" s="2252"/>
      <c r="CO2" s="2252"/>
      <c r="CP2" s="2252"/>
      <c r="CQ2" s="2252"/>
      <c r="CR2" s="2252"/>
      <c r="CS2" s="2252"/>
      <c r="CT2" s="2252"/>
      <c r="CU2" s="2252"/>
      <c r="CV2" s="2252"/>
      <c r="CW2" s="492"/>
      <c r="CX2" s="493"/>
      <c r="CY2" s="2254" t="s">
        <v>172</v>
      </c>
      <c r="CZ2" s="2254"/>
      <c r="DA2" s="15"/>
      <c r="DB2" s="910" t="s">
        <v>173</v>
      </c>
      <c r="DC2" s="15"/>
      <c r="DD2" s="15"/>
      <c r="DE2" s="911" t="s">
        <v>174</v>
      </c>
      <c r="DF2" s="15"/>
      <c r="DG2" s="83"/>
      <c r="DH2" s="83"/>
      <c r="DI2" s="83"/>
      <c r="DJ2" s="83"/>
      <c r="DK2" s="83"/>
      <c r="DL2" s="83"/>
      <c r="DM2" s="83"/>
      <c r="DN2" s="83"/>
      <c r="DO2" s="83"/>
      <c r="DP2" s="83"/>
      <c r="DQ2" s="83"/>
      <c r="DR2" s="83"/>
      <c r="DS2" s="83"/>
      <c r="DT2" s="83"/>
      <c r="DU2" s="83"/>
      <c r="DV2" s="83"/>
      <c r="DW2" s="83"/>
      <c r="DX2" s="83"/>
      <c r="DY2" s="83"/>
      <c r="DZ2" s="83"/>
      <c r="EA2" s="83"/>
    </row>
    <row r="3" spans="1:131" ht="30" customHeight="1" thickTop="1" thickBot="1">
      <c r="A3" s="2255" t="s">
        <v>1366</v>
      </c>
      <c r="B3" s="2255"/>
      <c r="C3" s="2255"/>
      <c r="D3" s="2229"/>
      <c r="E3" s="2256" t="str">
        <f>CONCATENATE('01 使用承認申請書'!D4)</f>
        <v/>
      </c>
      <c r="F3" s="2257"/>
      <c r="G3" s="2257"/>
      <c r="H3" s="2257"/>
      <c r="I3" s="2257"/>
      <c r="J3" s="2257"/>
      <c r="K3" s="2257"/>
      <c r="L3" s="2257"/>
      <c r="M3" s="2258"/>
      <c r="N3" s="2164"/>
      <c r="O3" s="2164"/>
      <c r="P3" s="2164"/>
      <c r="Q3" s="2164"/>
      <c r="R3" s="2164"/>
      <c r="S3" s="2164"/>
      <c r="T3" s="2164"/>
      <c r="U3" s="2164"/>
      <c r="V3" s="21"/>
      <c r="W3" s="2286" t="s">
        <v>1390</v>
      </c>
      <c r="X3" s="2271" t="s">
        <v>176</v>
      </c>
      <c r="Y3" s="2272"/>
      <c r="Z3" s="2272"/>
      <c r="AA3" s="2272"/>
      <c r="AB3" s="2272"/>
      <c r="AC3" s="2273"/>
      <c r="AD3" s="449" t="s">
        <v>177</v>
      </c>
      <c r="AE3" s="2274" t="s">
        <v>178</v>
      </c>
      <c r="AF3" s="2152" t="s">
        <v>1383</v>
      </c>
      <c r="AG3" s="2153"/>
      <c r="AH3" s="2154"/>
      <c r="AI3" s="2152" t="s">
        <v>1384</v>
      </c>
      <c r="AJ3" s="2153"/>
      <c r="AK3" s="2154"/>
      <c r="AL3" s="2152" t="s">
        <v>1385</v>
      </c>
      <c r="AM3" s="2155"/>
      <c r="AN3" s="2156"/>
      <c r="AO3" s="2152" t="s">
        <v>1386</v>
      </c>
      <c r="AP3" s="2155"/>
      <c r="AQ3" s="2156"/>
      <c r="AR3" s="2152" t="s">
        <v>1396</v>
      </c>
      <c r="AS3" s="2155"/>
      <c r="AT3" s="2156"/>
      <c r="AU3" s="2554" t="s">
        <v>1397</v>
      </c>
      <c r="AV3" s="2554"/>
      <c r="AW3" s="2554"/>
      <c r="AX3" s="2554" t="s">
        <v>1398</v>
      </c>
      <c r="AY3" s="2554"/>
      <c r="AZ3" s="2554"/>
      <c r="BA3" s="1058" t="s">
        <v>179</v>
      </c>
      <c r="BB3" s="2255" t="s">
        <v>175</v>
      </c>
      <c r="BC3" s="2255"/>
      <c r="BD3" s="2255"/>
      <c r="BE3" s="2229"/>
      <c r="BF3" s="2262" t="s">
        <v>244</v>
      </c>
      <c r="BG3" s="2263"/>
      <c r="BH3" s="2263"/>
      <c r="BI3" s="2263"/>
      <c r="BJ3" s="2263"/>
      <c r="BK3" s="2263"/>
      <c r="BL3" s="2263"/>
      <c r="BM3" s="2263"/>
      <c r="BN3" s="2264"/>
      <c r="BO3" s="2265"/>
      <c r="BP3" s="2266"/>
      <c r="BQ3" s="2267"/>
      <c r="BR3" s="2268"/>
      <c r="BS3" s="2268"/>
      <c r="BT3" s="2268"/>
      <c r="BU3" s="2268"/>
      <c r="BV3" s="2269"/>
      <c r="BW3" s="493"/>
      <c r="BX3" s="2286" t="s">
        <v>1390</v>
      </c>
      <c r="BY3" s="2271" t="s">
        <v>176</v>
      </c>
      <c r="BZ3" s="2272"/>
      <c r="CA3" s="2272"/>
      <c r="CB3" s="2272"/>
      <c r="CC3" s="2272"/>
      <c r="CD3" s="2273"/>
      <c r="CE3" s="449" t="s">
        <v>177</v>
      </c>
      <c r="CF3" s="2274" t="s">
        <v>178</v>
      </c>
      <c r="CG3" s="2152" t="s">
        <v>1383</v>
      </c>
      <c r="CH3" s="2153"/>
      <c r="CI3" s="2154"/>
      <c r="CJ3" s="2152" t="s">
        <v>1384</v>
      </c>
      <c r="CK3" s="2153"/>
      <c r="CL3" s="2154"/>
      <c r="CM3" s="2152" t="s">
        <v>1385</v>
      </c>
      <c r="CN3" s="2155"/>
      <c r="CO3" s="2156"/>
      <c r="CP3" s="2152" t="s">
        <v>1386</v>
      </c>
      <c r="CQ3" s="2155"/>
      <c r="CR3" s="2156"/>
      <c r="CS3" s="2152" t="s">
        <v>1396</v>
      </c>
      <c r="CT3" s="2155"/>
      <c r="CU3" s="2156"/>
      <c r="CV3" s="450" t="s">
        <v>1397</v>
      </c>
      <c r="CW3" s="451" t="s">
        <v>1398</v>
      </c>
      <c r="CX3" s="815" t="s">
        <v>179</v>
      </c>
      <c r="CY3" s="19" t="s">
        <v>180</v>
      </c>
      <c r="CZ3" s="19"/>
      <c r="DA3" s="19"/>
      <c r="DB3" s="18"/>
      <c r="DC3" s="19"/>
      <c r="DD3" s="19"/>
      <c r="DE3" s="18" t="s">
        <v>493</v>
      </c>
      <c r="DF3" s="19"/>
      <c r="DG3" s="84"/>
      <c r="DH3" s="83"/>
      <c r="DI3" s="83"/>
      <c r="DJ3" s="83"/>
      <c r="DK3" s="83"/>
      <c r="DL3" s="83"/>
      <c r="DM3" s="83"/>
      <c r="DN3" s="83"/>
      <c r="DO3" s="83"/>
      <c r="DP3" s="83"/>
      <c r="DQ3" s="83"/>
      <c r="DR3" s="83"/>
      <c r="DS3" s="83"/>
      <c r="DT3" s="83"/>
      <c r="DU3" s="83"/>
      <c r="DV3" s="83"/>
      <c r="DW3" s="83"/>
      <c r="DX3" s="83"/>
      <c r="DY3" s="83"/>
      <c r="DZ3" s="83"/>
      <c r="EA3" s="83"/>
    </row>
    <row r="4" spans="1:131" ht="31.5" customHeight="1" thickTop="1" thickBot="1">
      <c r="A4" s="2229" t="s">
        <v>181</v>
      </c>
      <c r="B4" s="2230"/>
      <c r="C4" s="2230"/>
      <c r="D4" s="2230"/>
      <c r="E4" s="2241">
        <f>'01 使用承認申請書'!B12</f>
        <v>0</v>
      </c>
      <c r="F4" s="2242"/>
      <c r="G4" s="367" t="s">
        <v>16</v>
      </c>
      <c r="H4" s="368" t="str">
        <f>CONCATENATE('01 使用承認申請書'!C14)</f>
        <v/>
      </c>
      <c r="I4" s="367" t="s">
        <v>15</v>
      </c>
      <c r="J4" s="368" t="str">
        <f>CONCATENATE('01 使用承認申請書'!F14)</f>
        <v/>
      </c>
      <c r="K4" s="367" t="s">
        <v>14</v>
      </c>
      <c r="L4" s="367" t="s">
        <v>182</v>
      </c>
      <c r="M4" s="368" t="str">
        <f>CONCATENATE('01 使用承認申請書'!C16)</f>
        <v/>
      </c>
      <c r="N4" s="367" t="s">
        <v>15</v>
      </c>
      <c r="O4" s="368" t="str">
        <f>CONCATENATE('01 使用承認申請書'!F16)</f>
        <v/>
      </c>
      <c r="P4" s="367" t="s">
        <v>14</v>
      </c>
      <c r="Q4" s="369"/>
      <c r="R4" s="370" t="str">
        <f>CONCATENATE('01 使用承認申請書'!L13)</f>
        <v/>
      </c>
      <c r="S4" s="367" t="s">
        <v>46</v>
      </c>
      <c r="T4" s="880" t="str">
        <f>CONCATENATE('01 使用承認申請書'!Q13)</f>
        <v/>
      </c>
      <c r="U4" s="372" t="s">
        <v>14</v>
      </c>
      <c r="V4" s="21"/>
      <c r="W4" s="2287"/>
      <c r="X4" s="2344" t="s">
        <v>183</v>
      </c>
      <c r="Y4" s="453" t="s">
        <v>184</v>
      </c>
      <c r="Z4" s="454" t="s">
        <v>185</v>
      </c>
      <c r="AA4" s="2231" t="s">
        <v>186</v>
      </c>
      <c r="AB4" s="2231"/>
      <c r="AC4" s="2231"/>
      <c r="AD4" s="455" t="s">
        <v>187</v>
      </c>
      <c r="AE4" s="2275"/>
      <c r="AF4" s="2170" t="s">
        <v>188</v>
      </c>
      <c r="AG4" s="2171"/>
      <c r="AH4" s="2172"/>
      <c r="AI4" s="2170" t="s">
        <v>188</v>
      </c>
      <c r="AJ4" s="2171"/>
      <c r="AK4" s="2172"/>
      <c r="AL4" s="2170" t="s">
        <v>188</v>
      </c>
      <c r="AM4" s="2171"/>
      <c r="AN4" s="2172"/>
      <c r="AO4" s="2170" t="s">
        <v>189</v>
      </c>
      <c r="AP4" s="2171"/>
      <c r="AQ4" s="2172"/>
      <c r="AR4" s="2170" t="s">
        <v>188</v>
      </c>
      <c r="AS4" s="2171"/>
      <c r="AT4" s="2172"/>
      <c r="AU4" s="2231" t="s">
        <v>1399</v>
      </c>
      <c r="AV4" s="2231"/>
      <c r="AW4" s="2231"/>
      <c r="AX4" s="2562" t="s">
        <v>1399</v>
      </c>
      <c r="AY4" s="2562"/>
      <c r="AZ4" s="2562"/>
      <c r="BA4" s="1059" t="s">
        <v>190</v>
      </c>
      <c r="BB4" s="2229" t="s">
        <v>181</v>
      </c>
      <c r="BC4" s="2230"/>
      <c r="BD4" s="2230"/>
      <c r="BE4" s="2230"/>
      <c r="BF4" s="2241" t="s">
        <v>3088</v>
      </c>
      <c r="BG4" s="2242"/>
      <c r="BH4" s="367" t="s">
        <v>16</v>
      </c>
      <c r="BI4" s="368">
        <v>10</v>
      </c>
      <c r="BJ4" s="367" t="s">
        <v>15</v>
      </c>
      <c r="BK4" s="368">
        <v>12</v>
      </c>
      <c r="BL4" s="367" t="s">
        <v>14</v>
      </c>
      <c r="BM4" s="367" t="s">
        <v>35</v>
      </c>
      <c r="BN4" s="368">
        <v>10</v>
      </c>
      <c r="BO4" s="367" t="s">
        <v>15</v>
      </c>
      <c r="BP4" s="368">
        <v>13</v>
      </c>
      <c r="BQ4" s="367" t="s">
        <v>14</v>
      </c>
      <c r="BR4" s="369"/>
      <c r="BS4" s="370">
        <v>1</v>
      </c>
      <c r="BT4" s="367" t="s">
        <v>46</v>
      </c>
      <c r="BU4" s="371">
        <v>2</v>
      </c>
      <c r="BV4" s="372" t="s">
        <v>14</v>
      </c>
      <c r="BW4" s="493"/>
      <c r="BX4" s="2287"/>
      <c r="BY4" s="2344" t="s">
        <v>183</v>
      </c>
      <c r="BZ4" s="453" t="s">
        <v>184</v>
      </c>
      <c r="CA4" s="454" t="s">
        <v>185</v>
      </c>
      <c r="CB4" s="2231" t="s">
        <v>186</v>
      </c>
      <c r="CC4" s="2231"/>
      <c r="CD4" s="2231"/>
      <c r="CE4" s="455" t="s">
        <v>187</v>
      </c>
      <c r="CF4" s="2275"/>
      <c r="CG4" s="2279" t="s">
        <v>188</v>
      </c>
      <c r="CH4" s="2280"/>
      <c r="CI4" s="2281"/>
      <c r="CJ4" s="2279" t="s">
        <v>188</v>
      </c>
      <c r="CK4" s="2280"/>
      <c r="CL4" s="2281"/>
      <c r="CM4" s="2279" t="s">
        <v>188</v>
      </c>
      <c r="CN4" s="2280"/>
      <c r="CO4" s="2281"/>
      <c r="CP4" s="2279" t="s">
        <v>189</v>
      </c>
      <c r="CQ4" s="2280"/>
      <c r="CR4" s="2281"/>
      <c r="CS4" s="2279" t="s">
        <v>188</v>
      </c>
      <c r="CT4" s="2280"/>
      <c r="CU4" s="2281"/>
      <c r="CV4" s="456" t="s">
        <v>1399</v>
      </c>
      <c r="CW4" s="457" t="s">
        <v>1399</v>
      </c>
      <c r="CX4" s="816" t="s">
        <v>190</v>
      </c>
      <c r="CY4" s="19" t="s">
        <v>191</v>
      </c>
      <c r="CZ4" s="19">
        <v>50</v>
      </c>
      <c r="DA4" s="912"/>
      <c r="DB4" s="18" t="s">
        <v>192</v>
      </c>
      <c r="DC4" s="19"/>
      <c r="DD4" s="19"/>
      <c r="DE4" s="18" t="s">
        <v>193</v>
      </c>
      <c r="DF4" s="19">
        <v>100</v>
      </c>
      <c r="DG4" s="84"/>
      <c r="DH4" s="83"/>
      <c r="DI4" s="83"/>
      <c r="DJ4" s="83"/>
      <c r="DK4" s="83"/>
      <c r="DL4" s="83"/>
      <c r="DM4" s="83"/>
      <c r="DN4" s="83"/>
      <c r="DO4" s="83"/>
      <c r="DP4" s="83"/>
      <c r="DQ4" s="83"/>
      <c r="DR4" s="83"/>
      <c r="DS4" s="83"/>
      <c r="DT4" s="83"/>
      <c r="DU4" s="83"/>
      <c r="DV4" s="83"/>
      <c r="DW4" s="83"/>
      <c r="DX4" s="83"/>
      <c r="DY4" s="83"/>
      <c r="DZ4" s="83"/>
      <c r="EA4" s="83"/>
    </row>
    <row r="5" spans="1:131" ht="27" customHeight="1" thickTop="1">
      <c r="A5" s="2243" t="s">
        <v>2954</v>
      </c>
      <c r="B5" s="2243"/>
      <c r="C5" s="2243"/>
      <c r="D5" s="2243"/>
      <c r="E5" s="2243"/>
      <c r="F5" s="2243"/>
      <c r="G5" s="2243"/>
      <c r="H5" s="2243"/>
      <c r="I5" s="2243"/>
      <c r="J5" s="2243"/>
      <c r="K5" s="2243"/>
      <c r="L5" s="2243"/>
      <c r="M5" s="2243"/>
      <c r="N5" s="2243"/>
      <c r="O5" s="2243"/>
      <c r="P5" s="2243"/>
      <c r="Q5" s="2243"/>
      <c r="R5" s="2243"/>
      <c r="S5" s="2243"/>
      <c r="T5" s="2243"/>
      <c r="U5" s="2243"/>
      <c r="V5" s="85"/>
      <c r="W5" s="2287"/>
      <c r="X5" s="2345"/>
      <c r="Y5" s="459">
        <f>'03 食事申込書'!BT104</f>
        <v>0</v>
      </c>
      <c r="Z5" s="460">
        <f>'03 食事申込書'!BV104</f>
        <v>0</v>
      </c>
      <c r="AA5" s="2236">
        <f>'03 食事申込書'!BW104</f>
        <v>0</v>
      </c>
      <c r="AB5" s="2237"/>
      <c r="AC5" s="2237"/>
      <c r="AD5" s="918">
        <f t="shared" ref="AD5:AD20" si="0">IF(ISERROR(VLOOKUP(AA5,$DB$3:$DC$62,2,FALSE)),0,VLOOKUP(AA5,$DB$3:$DC$62,2,FALSE))</f>
        <v>0</v>
      </c>
      <c r="AE5" s="936">
        <f>'03 食事申込書'!BY104</f>
        <v>0</v>
      </c>
      <c r="AF5" s="2238"/>
      <c r="AG5" s="2185"/>
      <c r="AH5" s="2186"/>
      <c r="AI5" s="2185"/>
      <c r="AJ5" s="2185"/>
      <c r="AK5" s="2186"/>
      <c r="AL5" s="2184"/>
      <c r="AM5" s="2185"/>
      <c r="AN5" s="2186"/>
      <c r="AO5" s="2184"/>
      <c r="AP5" s="2185"/>
      <c r="AQ5" s="2186"/>
      <c r="AR5" s="2184"/>
      <c r="AS5" s="2185"/>
      <c r="AT5" s="2186"/>
      <c r="AU5" s="2561"/>
      <c r="AV5" s="2561"/>
      <c r="AW5" s="2561"/>
      <c r="AX5" s="2561"/>
      <c r="AY5" s="2561"/>
      <c r="AZ5" s="2563"/>
      <c r="BA5" s="465">
        <f>IF('03 食事申込書'!BY104=AF5+AI5+AR5+AL5+AO5+AU5+AX5,AD5*AE5,"人数を再確認！")</f>
        <v>0</v>
      </c>
      <c r="BB5" s="2243" t="s">
        <v>2954</v>
      </c>
      <c r="BC5" s="2243"/>
      <c r="BD5" s="2243"/>
      <c r="BE5" s="2243"/>
      <c r="BF5" s="2243"/>
      <c r="BG5" s="2243"/>
      <c r="BH5" s="2243"/>
      <c r="BI5" s="2243"/>
      <c r="BJ5" s="2243"/>
      <c r="BK5" s="2243"/>
      <c r="BL5" s="2243"/>
      <c r="BM5" s="2243"/>
      <c r="BN5" s="2243"/>
      <c r="BO5" s="2243"/>
      <c r="BP5" s="2243"/>
      <c r="BQ5" s="2243"/>
      <c r="BR5" s="2243"/>
      <c r="BS5" s="2243"/>
      <c r="BT5" s="2243"/>
      <c r="BU5" s="2243"/>
      <c r="BV5" s="2243"/>
      <c r="BW5" s="494"/>
      <c r="BX5" s="2287"/>
      <c r="BY5" s="2345"/>
      <c r="BZ5" s="459">
        <v>8</v>
      </c>
      <c r="CA5" s="460" t="s">
        <v>2855</v>
      </c>
      <c r="CB5" s="2282" t="s">
        <v>2965</v>
      </c>
      <c r="CC5" s="2283"/>
      <c r="CD5" s="2283"/>
      <c r="CE5" s="461">
        <v>600</v>
      </c>
      <c r="CF5" s="462">
        <v>111</v>
      </c>
      <c r="CG5" s="2238">
        <v>100</v>
      </c>
      <c r="CH5" s="2185"/>
      <c r="CI5" s="2186"/>
      <c r="CJ5" s="2185">
        <v>8</v>
      </c>
      <c r="CK5" s="2185"/>
      <c r="CL5" s="2186"/>
      <c r="CM5" s="2184"/>
      <c r="CN5" s="2185"/>
      <c r="CO5" s="2186"/>
      <c r="CP5" s="2184"/>
      <c r="CQ5" s="2185"/>
      <c r="CR5" s="2186"/>
      <c r="CS5" s="2184">
        <v>1</v>
      </c>
      <c r="CT5" s="2185"/>
      <c r="CU5" s="2186"/>
      <c r="CV5" s="463"/>
      <c r="CW5" s="464"/>
      <c r="CX5" s="817">
        <v>66600</v>
      </c>
      <c r="CY5" s="19" t="s">
        <v>194</v>
      </c>
      <c r="CZ5" s="19">
        <v>80</v>
      </c>
      <c r="DA5" s="913"/>
      <c r="DB5" s="23" t="s">
        <v>195</v>
      </c>
      <c r="DC5" s="903">
        <v>550</v>
      </c>
      <c r="DD5" s="910"/>
      <c r="DE5" s="18" t="s">
        <v>3101</v>
      </c>
      <c r="DF5" s="19">
        <v>300</v>
      </c>
      <c r="DG5" s="84"/>
      <c r="DH5" s="83"/>
      <c r="DI5" s="83"/>
      <c r="DJ5" s="83"/>
      <c r="DK5" s="83"/>
      <c r="DL5" s="83"/>
      <c r="DM5" s="83"/>
      <c r="DN5" s="83"/>
      <c r="DO5" s="83"/>
      <c r="DP5" s="83"/>
      <c r="DQ5" s="83"/>
      <c r="DR5" s="83"/>
      <c r="DS5" s="83"/>
      <c r="DT5" s="83"/>
      <c r="DU5" s="83"/>
      <c r="DV5" s="83"/>
      <c r="DW5" s="83"/>
      <c r="DX5" s="83"/>
      <c r="DY5" s="83"/>
      <c r="DZ5" s="83"/>
      <c r="EA5" s="83"/>
    </row>
    <row r="6" spans="1:131" ht="27" customHeight="1">
      <c r="A6" s="2243"/>
      <c r="B6" s="2243"/>
      <c r="C6" s="2243"/>
      <c r="D6" s="2243"/>
      <c r="E6" s="2243"/>
      <c r="F6" s="2243"/>
      <c r="G6" s="2243"/>
      <c r="H6" s="2243"/>
      <c r="I6" s="2243"/>
      <c r="J6" s="2243"/>
      <c r="K6" s="2243"/>
      <c r="L6" s="2243"/>
      <c r="M6" s="2243"/>
      <c r="N6" s="2243"/>
      <c r="O6" s="2243"/>
      <c r="P6" s="2243"/>
      <c r="Q6" s="2243"/>
      <c r="R6" s="2243"/>
      <c r="S6" s="2243"/>
      <c r="T6" s="2243"/>
      <c r="U6" s="2243"/>
      <c r="V6" s="85"/>
      <c r="W6" s="2287"/>
      <c r="X6" s="2345"/>
      <c r="Y6" s="466">
        <f>'03 食事申込書'!BT105</f>
        <v>0</v>
      </c>
      <c r="Z6" s="467">
        <f>'03 食事申込書'!BV105</f>
        <v>0</v>
      </c>
      <c r="AA6" s="2247">
        <f>'03 食事申込書'!BW105</f>
        <v>0</v>
      </c>
      <c r="AB6" s="2248"/>
      <c r="AC6" s="2248"/>
      <c r="AD6" s="468">
        <f t="shared" si="0"/>
        <v>0</v>
      </c>
      <c r="AE6" s="462">
        <f>'03 食事申込書'!BY105</f>
        <v>0</v>
      </c>
      <c r="AF6" s="2160"/>
      <c r="AG6" s="2158"/>
      <c r="AH6" s="2159"/>
      <c r="AI6" s="2158"/>
      <c r="AJ6" s="2158"/>
      <c r="AK6" s="2159"/>
      <c r="AL6" s="2157"/>
      <c r="AM6" s="2158"/>
      <c r="AN6" s="2159"/>
      <c r="AO6" s="2157"/>
      <c r="AP6" s="2158"/>
      <c r="AQ6" s="2159"/>
      <c r="AR6" s="2157"/>
      <c r="AS6" s="2158"/>
      <c r="AT6" s="2159"/>
      <c r="AU6" s="2555"/>
      <c r="AV6" s="2555"/>
      <c r="AW6" s="2555"/>
      <c r="AX6" s="2564"/>
      <c r="AY6" s="2564"/>
      <c r="AZ6" s="2565"/>
      <c r="BA6" s="465">
        <f>IF('03 食事申込書'!BY105=AF6+AI6+AX6+AL6+AO6+AR6+AU6,AD6*AE6,"人数を再確認！")</f>
        <v>0</v>
      </c>
      <c r="BB6" s="2243"/>
      <c r="BC6" s="2243"/>
      <c r="BD6" s="2243"/>
      <c r="BE6" s="2243"/>
      <c r="BF6" s="2243"/>
      <c r="BG6" s="2243"/>
      <c r="BH6" s="2243"/>
      <c r="BI6" s="2243"/>
      <c r="BJ6" s="2243"/>
      <c r="BK6" s="2243"/>
      <c r="BL6" s="2243"/>
      <c r="BM6" s="2243"/>
      <c r="BN6" s="2243"/>
      <c r="BO6" s="2243"/>
      <c r="BP6" s="2243"/>
      <c r="BQ6" s="2243"/>
      <c r="BR6" s="2243"/>
      <c r="BS6" s="2243"/>
      <c r="BT6" s="2243"/>
      <c r="BU6" s="2243"/>
      <c r="BV6" s="2243"/>
      <c r="BW6" s="494"/>
      <c r="BX6" s="2287"/>
      <c r="BY6" s="2345"/>
      <c r="BZ6" s="466">
        <v>8</v>
      </c>
      <c r="CA6" s="467" t="s">
        <v>2858</v>
      </c>
      <c r="CB6" s="2224" t="s">
        <v>2856</v>
      </c>
      <c r="CC6" s="2225"/>
      <c r="CD6" s="2225"/>
      <c r="CE6" s="468">
        <v>700</v>
      </c>
      <c r="CF6" s="462">
        <v>100</v>
      </c>
      <c r="CG6" s="2160">
        <v>100</v>
      </c>
      <c r="CH6" s="2158"/>
      <c r="CI6" s="2159"/>
      <c r="CJ6" s="2158"/>
      <c r="CK6" s="2158"/>
      <c r="CL6" s="2159"/>
      <c r="CM6" s="2157"/>
      <c r="CN6" s="2158"/>
      <c r="CO6" s="2159"/>
      <c r="CP6" s="2157"/>
      <c r="CQ6" s="2158"/>
      <c r="CR6" s="2159"/>
      <c r="CS6" s="2157"/>
      <c r="CT6" s="2158"/>
      <c r="CU6" s="2159"/>
      <c r="CV6" s="469"/>
      <c r="CW6" s="470"/>
      <c r="CX6" s="817">
        <v>70000</v>
      </c>
      <c r="CY6" s="19" t="s">
        <v>196</v>
      </c>
      <c r="CZ6" s="19"/>
      <c r="DA6" s="19"/>
      <c r="DB6" s="23" t="s">
        <v>197</v>
      </c>
      <c r="DC6" s="903">
        <v>650</v>
      </c>
      <c r="DD6" s="19"/>
      <c r="DE6" s="18" t="s">
        <v>203</v>
      </c>
      <c r="DF6" s="19">
        <v>250</v>
      </c>
      <c r="DG6" s="84"/>
      <c r="DH6" s="83"/>
      <c r="DI6" s="83"/>
      <c r="DJ6" s="83"/>
      <c r="DK6" s="83"/>
      <c r="DL6" s="83"/>
      <c r="DM6" s="83"/>
      <c r="DN6" s="83"/>
      <c r="DO6" s="83"/>
      <c r="DP6" s="83"/>
      <c r="DQ6" s="83"/>
      <c r="DR6" s="83"/>
      <c r="DS6" s="83"/>
      <c r="DT6" s="83"/>
      <c r="DU6" s="83"/>
      <c r="DV6" s="83"/>
      <c r="DW6" s="83"/>
      <c r="DX6" s="83"/>
      <c r="DY6" s="83"/>
      <c r="DZ6" s="83"/>
      <c r="EA6" s="83"/>
    </row>
    <row r="7" spans="1:131" ht="27" customHeight="1">
      <c r="A7" s="2243"/>
      <c r="B7" s="2243"/>
      <c r="C7" s="2243"/>
      <c r="D7" s="2243"/>
      <c r="E7" s="2243"/>
      <c r="F7" s="2243"/>
      <c r="G7" s="2243"/>
      <c r="H7" s="2243"/>
      <c r="I7" s="2243"/>
      <c r="J7" s="2243"/>
      <c r="K7" s="2243"/>
      <c r="L7" s="2243"/>
      <c r="M7" s="2243"/>
      <c r="N7" s="2243"/>
      <c r="O7" s="2243"/>
      <c r="P7" s="2243"/>
      <c r="Q7" s="2243"/>
      <c r="R7" s="2243"/>
      <c r="S7" s="2243"/>
      <c r="T7" s="2243"/>
      <c r="U7" s="2243"/>
      <c r="V7" s="85"/>
      <c r="W7" s="2287"/>
      <c r="X7" s="2345"/>
      <c r="Y7" s="466">
        <f>'03 食事申込書'!BT106</f>
        <v>0</v>
      </c>
      <c r="Z7" s="467">
        <f>'03 食事申込書'!BV106</f>
        <v>0</v>
      </c>
      <c r="AA7" s="2239">
        <f>'03 食事申込書'!BW106</f>
        <v>0</v>
      </c>
      <c r="AB7" s="2240"/>
      <c r="AC7" s="2240"/>
      <c r="AD7" s="468">
        <f t="shared" si="0"/>
        <v>0</v>
      </c>
      <c r="AE7" s="462">
        <f>'03 食事申込書'!BY106</f>
        <v>0</v>
      </c>
      <c r="AF7" s="2160"/>
      <c r="AG7" s="2158"/>
      <c r="AH7" s="2159"/>
      <c r="AI7" s="2158"/>
      <c r="AJ7" s="2158"/>
      <c r="AK7" s="2159"/>
      <c r="AL7" s="2157"/>
      <c r="AM7" s="2158"/>
      <c r="AN7" s="2159"/>
      <c r="AO7" s="2157"/>
      <c r="AP7" s="2158"/>
      <c r="AQ7" s="2159"/>
      <c r="AR7" s="2157"/>
      <c r="AS7" s="2158"/>
      <c r="AT7" s="2159"/>
      <c r="AU7" s="2555"/>
      <c r="AV7" s="2555"/>
      <c r="AW7" s="2555"/>
      <c r="AX7" s="2564"/>
      <c r="AY7" s="2564"/>
      <c r="AZ7" s="2565"/>
      <c r="BA7" s="465">
        <f>IF('03 食事申込書'!BY106=AF7+AI7+AR7+AL7+AO7+AU7+AX7,AD7*AE7,"人数を再確認！")</f>
        <v>0</v>
      </c>
      <c r="BB7" s="2243"/>
      <c r="BC7" s="2243"/>
      <c r="BD7" s="2243"/>
      <c r="BE7" s="2243"/>
      <c r="BF7" s="2243"/>
      <c r="BG7" s="2243"/>
      <c r="BH7" s="2243"/>
      <c r="BI7" s="2243"/>
      <c r="BJ7" s="2243"/>
      <c r="BK7" s="2243"/>
      <c r="BL7" s="2243"/>
      <c r="BM7" s="2243"/>
      <c r="BN7" s="2243"/>
      <c r="BO7" s="2243"/>
      <c r="BP7" s="2243"/>
      <c r="BQ7" s="2243"/>
      <c r="BR7" s="2243"/>
      <c r="BS7" s="2243"/>
      <c r="BT7" s="2243"/>
      <c r="BU7" s="2243"/>
      <c r="BV7" s="2243"/>
      <c r="BW7" s="494"/>
      <c r="BX7" s="2287"/>
      <c r="BY7" s="2345"/>
      <c r="BZ7" s="466">
        <v>8</v>
      </c>
      <c r="CA7" s="467" t="s">
        <v>2858</v>
      </c>
      <c r="CB7" s="2224" t="s">
        <v>2857</v>
      </c>
      <c r="CC7" s="2225"/>
      <c r="CD7" s="2225"/>
      <c r="CE7" s="468">
        <v>750</v>
      </c>
      <c r="CF7" s="462">
        <v>10</v>
      </c>
      <c r="CG7" s="2160"/>
      <c r="CH7" s="2158"/>
      <c r="CI7" s="2159"/>
      <c r="CJ7" s="2158">
        <v>8</v>
      </c>
      <c r="CK7" s="2158"/>
      <c r="CL7" s="2159"/>
      <c r="CM7" s="2157"/>
      <c r="CN7" s="2158"/>
      <c r="CO7" s="2159"/>
      <c r="CP7" s="2157"/>
      <c r="CQ7" s="2158"/>
      <c r="CR7" s="2159"/>
      <c r="CS7" s="2157"/>
      <c r="CT7" s="2158"/>
      <c r="CU7" s="2159"/>
      <c r="CV7" s="469"/>
      <c r="CW7" s="470"/>
      <c r="CX7" s="817">
        <v>7500</v>
      </c>
      <c r="CY7" s="19" t="s">
        <v>191</v>
      </c>
      <c r="CZ7" s="19">
        <v>290</v>
      </c>
      <c r="DA7" s="19"/>
      <c r="DB7" s="23" t="s">
        <v>198</v>
      </c>
      <c r="DC7" s="903">
        <v>690</v>
      </c>
      <c r="DD7" s="19"/>
      <c r="DE7" s="18" t="s">
        <v>211</v>
      </c>
      <c r="DF7" s="947">
        <v>400</v>
      </c>
      <c r="DG7" s="84"/>
      <c r="DH7" s="83"/>
      <c r="DI7" s="83"/>
      <c r="DJ7" s="83"/>
      <c r="DK7" s="83"/>
      <c r="DL7" s="83"/>
      <c r="DM7" s="83"/>
      <c r="DN7" s="83"/>
      <c r="DO7" s="83"/>
      <c r="DP7" s="83"/>
      <c r="DQ7" s="83"/>
      <c r="DR7" s="83"/>
      <c r="DS7" s="83"/>
      <c r="DT7" s="83"/>
      <c r="DU7" s="83"/>
      <c r="DV7" s="83"/>
      <c r="DW7" s="83"/>
      <c r="DX7" s="83"/>
      <c r="DY7" s="83"/>
      <c r="DZ7" s="83"/>
      <c r="EA7" s="83"/>
    </row>
    <row r="8" spans="1:131" ht="27" customHeight="1">
      <c r="A8" s="2243"/>
      <c r="B8" s="2243"/>
      <c r="C8" s="2243"/>
      <c r="D8" s="2243"/>
      <c r="E8" s="2243"/>
      <c r="F8" s="2243"/>
      <c r="G8" s="2243"/>
      <c r="H8" s="2243"/>
      <c r="I8" s="2243"/>
      <c r="J8" s="2243"/>
      <c r="K8" s="2243"/>
      <c r="L8" s="2243"/>
      <c r="M8" s="2243"/>
      <c r="N8" s="2243"/>
      <c r="O8" s="2243"/>
      <c r="P8" s="2243"/>
      <c r="Q8" s="2243"/>
      <c r="R8" s="2243"/>
      <c r="S8" s="2243"/>
      <c r="T8" s="2243"/>
      <c r="U8" s="2243"/>
      <c r="V8" s="85"/>
      <c r="W8" s="2287"/>
      <c r="X8" s="2345"/>
      <c r="Y8" s="466">
        <f>'03 食事申込書'!BT107</f>
        <v>0</v>
      </c>
      <c r="Z8" s="467">
        <f>'03 食事申込書'!BV107</f>
        <v>0</v>
      </c>
      <c r="AA8" s="2239">
        <f>'03 食事申込書'!BW107</f>
        <v>0</v>
      </c>
      <c r="AB8" s="2240"/>
      <c r="AC8" s="2240"/>
      <c r="AD8" s="468">
        <f t="shared" si="0"/>
        <v>0</v>
      </c>
      <c r="AE8" s="462">
        <f>'03 食事申込書'!BY107</f>
        <v>0</v>
      </c>
      <c r="AF8" s="2160"/>
      <c r="AG8" s="2158"/>
      <c r="AH8" s="2159"/>
      <c r="AI8" s="2158"/>
      <c r="AJ8" s="2158"/>
      <c r="AK8" s="2159"/>
      <c r="AL8" s="2157"/>
      <c r="AM8" s="2158"/>
      <c r="AN8" s="2159"/>
      <c r="AO8" s="2157"/>
      <c r="AP8" s="2158"/>
      <c r="AQ8" s="2159"/>
      <c r="AR8" s="2157"/>
      <c r="AS8" s="2158"/>
      <c r="AT8" s="2159"/>
      <c r="AU8" s="2555"/>
      <c r="AV8" s="2555"/>
      <c r="AW8" s="2555"/>
      <c r="AX8" s="2564"/>
      <c r="AY8" s="2564"/>
      <c r="AZ8" s="2565"/>
      <c r="BA8" s="465">
        <f>IF('03 食事申込書'!BY107=AF8+AI8+AR8+AL8+AO8+AU8+AX8,AD8*AE8,"人数を再確認！")</f>
        <v>0</v>
      </c>
      <c r="BB8" s="2243"/>
      <c r="BC8" s="2243"/>
      <c r="BD8" s="2243"/>
      <c r="BE8" s="2243"/>
      <c r="BF8" s="2243"/>
      <c r="BG8" s="2243"/>
      <c r="BH8" s="2243"/>
      <c r="BI8" s="2243"/>
      <c r="BJ8" s="2243"/>
      <c r="BK8" s="2243"/>
      <c r="BL8" s="2243"/>
      <c r="BM8" s="2243"/>
      <c r="BN8" s="2243"/>
      <c r="BO8" s="2243"/>
      <c r="BP8" s="2243"/>
      <c r="BQ8" s="2243"/>
      <c r="BR8" s="2243"/>
      <c r="BS8" s="2243"/>
      <c r="BT8" s="2243"/>
      <c r="BU8" s="2243"/>
      <c r="BV8" s="2243"/>
      <c r="BW8" s="494"/>
      <c r="BX8" s="2287"/>
      <c r="BY8" s="2345"/>
      <c r="BZ8" s="466">
        <v>9</v>
      </c>
      <c r="CA8" s="467" t="s">
        <v>2859</v>
      </c>
      <c r="CB8" s="2224" t="s">
        <v>2860</v>
      </c>
      <c r="CC8" s="2225"/>
      <c r="CD8" s="2225"/>
      <c r="CE8" s="468">
        <v>570</v>
      </c>
      <c r="CF8" s="462">
        <v>100</v>
      </c>
      <c r="CG8" s="2160">
        <v>100</v>
      </c>
      <c r="CH8" s="2158"/>
      <c r="CI8" s="2159"/>
      <c r="CJ8" s="2158"/>
      <c r="CK8" s="2158"/>
      <c r="CL8" s="2159"/>
      <c r="CM8" s="2157"/>
      <c r="CN8" s="2158"/>
      <c r="CO8" s="2159"/>
      <c r="CP8" s="2157"/>
      <c r="CQ8" s="2158"/>
      <c r="CR8" s="2159"/>
      <c r="CS8" s="2157"/>
      <c r="CT8" s="2158"/>
      <c r="CU8" s="2159"/>
      <c r="CV8" s="469"/>
      <c r="CW8" s="470"/>
      <c r="CX8" s="817">
        <v>57000</v>
      </c>
      <c r="CY8" s="19" t="s">
        <v>194</v>
      </c>
      <c r="CZ8" s="19">
        <v>450</v>
      </c>
      <c r="DA8" s="19"/>
      <c r="DB8" s="23" t="s">
        <v>199</v>
      </c>
      <c r="DC8" s="903">
        <v>650</v>
      </c>
      <c r="DD8" s="914"/>
      <c r="DE8" s="18"/>
      <c r="DF8" s="19"/>
      <c r="DG8" s="84"/>
      <c r="DH8" s="83"/>
      <c r="DI8" s="83"/>
      <c r="DJ8" s="83"/>
      <c r="DK8" s="83"/>
      <c r="DL8" s="83"/>
      <c r="DM8" s="83"/>
      <c r="DN8" s="83"/>
      <c r="DO8" s="83"/>
      <c r="DP8" s="83"/>
      <c r="DQ8" s="83"/>
      <c r="DR8" s="83"/>
      <c r="DS8" s="83"/>
      <c r="DT8" s="83"/>
      <c r="DU8" s="83"/>
      <c r="DV8" s="83"/>
      <c r="DW8" s="83"/>
      <c r="DX8" s="83"/>
      <c r="DY8" s="83"/>
      <c r="DZ8" s="83"/>
      <c r="EA8" s="83"/>
    </row>
    <row r="9" spans="1:131" ht="27" customHeight="1" thickBot="1">
      <c r="A9" s="2289" t="s">
        <v>3127</v>
      </c>
      <c r="B9" s="2290"/>
      <c r="C9" s="2290"/>
      <c r="D9" s="2290"/>
      <c r="E9" s="2290"/>
      <c r="F9" s="2290"/>
      <c r="G9" s="2290"/>
      <c r="H9" s="2290"/>
      <c r="I9" s="2290"/>
      <c r="J9" s="2290"/>
      <c r="K9" s="2290"/>
      <c r="L9" s="2290"/>
      <c r="M9" s="2290"/>
      <c r="N9" s="2290"/>
      <c r="O9" s="2290"/>
      <c r="P9" s="2290"/>
      <c r="Q9" s="2291"/>
      <c r="R9" s="373" t="s">
        <v>172</v>
      </c>
      <c r="S9" s="2277" t="s">
        <v>204</v>
      </c>
      <c r="T9" s="2278"/>
      <c r="U9" s="374"/>
      <c r="V9" s="85"/>
      <c r="W9" s="2287"/>
      <c r="X9" s="2345"/>
      <c r="Y9" s="466">
        <f>'03 食事申込書'!BT108</f>
        <v>0</v>
      </c>
      <c r="Z9" s="467">
        <f>'03 食事申込書'!BV108</f>
        <v>0</v>
      </c>
      <c r="AA9" s="2239">
        <f>'03 食事申込書'!BW108</f>
        <v>0</v>
      </c>
      <c r="AB9" s="2240"/>
      <c r="AC9" s="2240"/>
      <c r="AD9" s="468">
        <f t="shared" si="0"/>
        <v>0</v>
      </c>
      <c r="AE9" s="462">
        <f>'03 食事申込書'!BY108</f>
        <v>0</v>
      </c>
      <c r="AF9" s="2160"/>
      <c r="AG9" s="2158"/>
      <c r="AH9" s="2159"/>
      <c r="AI9" s="2158"/>
      <c r="AJ9" s="2158"/>
      <c r="AK9" s="2159"/>
      <c r="AL9" s="2157"/>
      <c r="AM9" s="2158"/>
      <c r="AN9" s="2159"/>
      <c r="AO9" s="2157"/>
      <c r="AP9" s="2158"/>
      <c r="AQ9" s="2159"/>
      <c r="AR9" s="2157"/>
      <c r="AS9" s="2158"/>
      <c r="AT9" s="2159"/>
      <c r="AU9" s="2555"/>
      <c r="AV9" s="2555"/>
      <c r="AW9" s="2555"/>
      <c r="AX9" s="2564"/>
      <c r="AY9" s="2564"/>
      <c r="AZ9" s="2565"/>
      <c r="BA9" s="465">
        <f>IF('03 食事申込書'!BY108=AF9+AI9+AR9+AL9+AO9+AU9+AX9,AD9*AE9,"人数を再確認！")</f>
        <v>0</v>
      </c>
      <c r="BB9" s="2289" t="s">
        <v>1387</v>
      </c>
      <c r="BC9" s="2290"/>
      <c r="BD9" s="2290"/>
      <c r="BE9" s="2290"/>
      <c r="BF9" s="2290"/>
      <c r="BG9" s="2290"/>
      <c r="BH9" s="2290"/>
      <c r="BI9" s="2290"/>
      <c r="BJ9" s="2290"/>
      <c r="BK9" s="2290"/>
      <c r="BL9" s="2290"/>
      <c r="BM9" s="2290"/>
      <c r="BN9" s="2290"/>
      <c r="BO9" s="2290"/>
      <c r="BP9" s="2290"/>
      <c r="BQ9" s="2290"/>
      <c r="BR9" s="2291"/>
      <c r="BS9" s="373" t="s">
        <v>172</v>
      </c>
      <c r="BT9" s="2284" t="s">
        <v>204</v>
      </c>
      <c r="BU9" s="2285"/>
      <c r="BV9" s="495"/>
      <c r="BW9" s="494"/>
      <c r="BX9" s="2287"/>
      <c r="BY9" s="2345"/>
      <c r="BZ9" s="466">
        <v>9</v>
      </c>
      <c r="CA9" s="467" t="s">
        <v>2859</v>
      </c>
      <c r="CB9" s="2224" t="s">
        <v>2861</v>
      </c>
      <c r="CC9" s="2225"/>
      <c r="CD9" s="2225"/>
      <c r="CE9" s="471">
        <v>620</v>
      </c>
      <c r="CF9" s="462">
        <v>10</v>
      </c>
      <c r="CG9" s="2160"/>
      <c r="CH9" s="2158"/>
      <c r="CI9" s="2159"/>
      <c r="CJ9" s="2158">
        <v>8</v>
      </c>
      <c r="CK9" s="2158"/>
      <c r="CL9" s="2159"/>
      <c r="CM9" s="2157"/>
      <c r="CN9" s="2158"/>
      <c r="CO9" s="2159"/>
      <c r="CP9" s="2157"/>
      <c r="CQ9" s="2158"/>
      <c r="CR9" s="2159"/>
      <c r="CS9" s="2157"/>
      <c r="CT9" s="2158"/>
      <c r="CU9" s="2159"/>
      <c r="CV9" s="469"/>
      <c r="CW9" s="470"/>
      <c r="CX9" s="817">
        <v>6200</v>
      </c>
      <c r="CY9" s="19"/>
      <c r="CZ9" s="19"/>
      <c r="DA9" s="19"/>
      <c r="DB9" s="23" t="s">
        <v>200</v>
      </c>
      <c r="DC9" s="903">
        <v>760</v>
      </c>
      <c r="DD9" s="914"/>
      <c r="DE9" s="18"/>
      <c r="DF9" s="19"/>
      <c r="DG9" s="84"/>
      <c r="DH9" s="83"/>
      <c r="DI9" s="83"/>
      <c r="DJ9" s="83"/>
      <c r="DK9" s="83"/>
      <c r="DL9" s="83"/>
      <c r="DM9" s="83"/>
      <c r="DN9" s="83"/>
      <c r="DO9" s="83"/>
      <c r="DP9" s="83"/>
      <c r="DQ9" s="83"/>
      <c r="DR9" s="83"/>
      <c r="DS9" s="83"/>
      <c r="DT9" s="83"/>
      <c r="DU9" s="83"/>
      <c r="DV9" s="83"/>
      <c r="DW9" s="83"/>
      <c r="DX9" s="83"/>
      <c r="DY9" s="83"/>
      <c r="DZ9" s="83"/>
      <c r="EA9" s="83"/>
    </row>
    <row r="10" spans="1:131" ht="27" customHeight="1" thickTop="1">
      <c r="A10" s="2211" t="s">
        <v>206</v>
      </c>
      <c r="B10" s="2212"/>
      <c r="C10" s="2217" t="s">
        <v>207</v>
      </c>
      <c r="D10" s="2218"/>
      <c r="E10" s="2218"/>
      <c r="F10" s="2219"/>
      <c r="G10" s="2220"/>
      <c r="H10" s="2221"/>
      <c r="I10" s="2221"/>
      <c r="J10" s="2221"/>
      <c r="K10" s="2221"/>
      <c r="L10" s="2221"/>
      <c r="M10" s="2221"/>
      <c r="N10" s="2221"/>
      <c r="O10" s="2221"/>
      <c r="P10" s="2221"/>
      <c r="Q10" s="2222"/>
      <c r="R10" s="375" t="s">
        <v>208</v>
      </c>
      <c r="S10" s="376" t="s">
        <v>208</v>
      </c>
      <c r="T10" s="377" t="s">
        <v>3125</v>
      </c>
      <c r="U10" s="378" t="b">
        <v>0</v>
      </c>
      <c r="V10" s="202" t="b">
        <v>0</v>
      </c>
      <c r="W10" s="2287"/>
      <c r="X10" s="2345"/>
      <c r="Y10" s="466">
        <f>'03 食事申込書'!BT109</f>
        <v>0</v>
      </c>
      <c r="Z10" s="467">
        <f>'03 食事申込書'!BV109</f>
        <v>0</v>
      </c>
      <c r="AA10" s="2239">
        <f>'03 食事申込書'!BW109</f>
        <v>0</v>
      </c>
      <c r="AB10" s="2240"/>
      <c r="AC10" s="2240"/>
      <c r="AD10" s="468">
        <f t="shared" si="0"/>
        <v>0</v>
      </c>
      <c r="AE10" s="462">
        <f>'03 食事申込書'!BY109</f>
        <v>0</v>
      </c>
      <c r="AF10" s="2160"/>
      <c r="AG10" s="2158"/>
      <c r="AH10" s="2159"/>
      <c r="AI10" s="2158"/>
      <c r="AJ10" s="2158"/>
      <c r="AK10" s="2159"/>
      <c r="AL10" s="2157"/>
      <c r="AM10" s="2158"/>
      <c r="AN10" s="2159"/>
      <c r="AO10" s="2157"/>
      <c r="AP10" s="2158"/>
      <c r="AQ10" s="2159"/>
      <c r="AR10" s="2157"/>
      <c r="AS10" s="2158"/>
      <c r="AT10" s="2159"/>
      <c r="AU10" s="2555"/>
      <c r="AV10" s="2555"/>
      <c r="AW10" s="2555"/>
      <c r="AX10" s="2564"/>
      <c r="AY10" s="2564"/>
      <c r="AZ10" s="2565"/>
      <c r="BA10" s="465">
        <f>IF('03 食事申込書'!BY109=AF10+AI10+AR10+AL10+AO10+AU10+AX10,AD10*AE10,"人数を再確認！")</f>
        <v>0</v>
      </c>
      <c r="BB10" s="2211" t="s">
        <v>206</v>
      </c>
      <c r="BC10" s="2212"/>
      <c r="BD10" s="2217" t="s">
        <v>207</v>
      </c>
      <c r="BE10" s="2218"/>
      <c r="BF10" s="2218"/>
      <c r="BG10" s="2219"/>
      <c r="BH10" s="2531" t="s">
        <v>2848</v>
      </c>
      <c r="BI10" s="2532"/>
      <c r="BJ10" s="2532"/>
      <c r="BK10" s="2532"/>
      <c r="BL10" s="2532"/>
      <c r="BM10" s="2532"/>
      <c r="BN10" s="2532"/>
      <c r="BO10" s="2532"/>
      <c r="BP10" s="2532"/>
      <c r="BQ10" s="2532"/>
      <c r="BR10" s="2533"/>
      <c r="BS10" s="496" t="s">
        <v>208</v>
      </c>
      <c r="BT10" s="376" t="s">
        <v>208</v>
      </c>
      <c r="BU10" s="497" t="s">
        <v>209</v>
      </c>
      <c r="BV10" s="495"/>
      <c r="BW10" s="494"/>
      <c r="BX10" s="2287"/>
      <c r="BY10" s="2345"/>
      <c r="BZ10" s="466">
        <v>9</v>
      </c>
      <c r="CA10" s="467" t="s">
        <v>2855</v>
      </c>
      <c r="CB10" s="2224" t="s">
        <v>2966</v>
      </c>
      <c r="CC10" s="2225"/>
      <c r="CD10" s="2225"/>
      <c r="CE10" s="468">
        <v>440</v>
      </c>
      <c r="CF10" s="462">
        <v>109</v>
      </c>
      <c r="CG10" s="2160">
        <v>99</v>
      </c>
      <c r="CH10" s="2158"/>
      <c r="CI10" s="2159"/>
      <c r="CJ10" s="2158">
        <v>8</v>
      </c>
      <c r="CK10" s="2158"/>
      <c r="CL10" s="2159"/>
      <c r="CM10" s="2157"/>
      <c r="CN10" s="2158"/>
      <c r="CO10" s="2159"/>
      <c r="CP10" s="2157"/>
      <c r="CQ10" s="2158"/>
      <c r="CR10" s="2159"/>
      <c r="CS10" s="2157"/>
      <c r="CT10" s="2158"/>
      <c r="CU10" s="2159"/>
      <c r="CV10" s="469"/>
      <c r="CW10" s="470"/>
      <c r="CX10" s="817">
        <v>47960</v>
      </c>
      <c r="CY10" s="2276" t="s">
        <v>201</v>
      </c>
      <c r="CZ10" s="2276"/>
      <c r="DA10" s="19"/>
      <c r="DB10" s="23" t="s">
        <v>202</v>
      </c>
      <c r="DC10" s="903">
        <v>800</v>
      </c>
      <c r="DD10" s="914"/>
      <c r="DE10" s="18"/>
      <c r="DF10" s="19"/>
      <c r="DG10" s="84"/>
      <c r="DH10" s="83"/>
      <c r="DI10" s="83"/>
      <c r="DJ10" s="83"/>
      <c r="DK10" s="83"/>
      <c r="DL10" s="83"/>
      <c r="DM10" s="83"/>
      <c r="DN10" s="83"/>
      <c r="DO10" s="83"/>
      <c r="DP10" s="83"/>
      <c r="DQ10" s="83"/>
      <c r="DR10" s="83"/>
      <c r="DS10" s="83"/>
      <c r="DT10" s="83"/>
      <c r="DU10" s="83"/>
      <c r="DV10" s="83"/>
      <c r="DW10" s="83"/>
      <c r="DX10" s="83"/>
      <c r="DY10" s="83"/>
      <c r="DZ10" s="83"/>
      <c r="EA10" s="83"/>
    </row>
    <row r="11" spans="1:131" ht="27" customHeight="1">
      <c r="A11" s="2213"/>
      <c r="B11" s="2214"/>
      <c r="C11" s="2217" t="s">
        <v>212</v>
      </c>
      <c r="D11" s="2218"/>
      <c r="E11" s="2218"/>
      <c r="F11" s="2219"/>
      <c r="G11" s="2244"/>
      <c r="H11" s="2245"/>
      <c r="I11" s="2245"/>
      <c r="J11" s="2245"/>
      <c r="K11" s="2245"/>
      <c r="L11" s="2245"/>
      <c r="M11" s="2245"/>
      <c r="N11" s="2245"/>
      <c r="O11" s="2245"/>
      <c r="P11" s="2245"/>
      <c r="Q11" s="2246"/>
      <c r="R11" s="379" t="s">
        <v>208</v>
      </c>
      <c r="S11" s="380" t="s">
        <v>208</v>
      </c>
      <c r="T11" s="381" t="s">
        <v>3125</v>
      </c>
      <c r="U11" s="382" t="b">
        <v>0</v>
      </c>
      <c r="V11" s="203" t="b">
        <v>0</v>
      </c>
      <c r="W11" s="2287"/>
      <c r="X11" s="2345"/>
      <c r="Y11" s="466">
        <f>'03 食事申込書'!BT110</f>
        <v>0</v>
      </c>
      <c r="Z11" s="467">
        <f>'03 食事申込書'!BV110</f>
        <v>0</v>
      </c>
      <c r="AA11" s="2239">
        <f>'03 食事申込書'!BW110</f>
        <v>0</v>
      </c>
      <c r="AB11" s="2240"/>
      <c r="AC11" s="2240"/>
      <c r="AD11" s="468">
        <f t="shared" si="0"/>
        <v>0</v>
      </c>
      <c r="AE11" s="462">
        <f>'03 食事申込書'!BY110</f>
        <v>0</v>
      </c>
      <c r="AF11" s="2160"/>
      <c r="AG11" s="2158"/>
      <c r="AH11" s="2159"/>
      <c r="AI11" s="2157"/>
      <c r="AJ11" s="2158"/>
      <c r="AK11" s="2159"/>
      <c r="AL11" s="2157"/>
      <c r="AM11" s="2158"/>
      <c r="AN11" s="2159"/>
      <c r="AO11" s="2157"/>
      <c r="AP11" s="2158"/>
      <c r="AQ11" s="2159"/>
      <c r="AR11" s="2157"/>
      <c r="AS11" s="2158"/>
      <c r="AT11" s="2159"/>
      <c r="AU11" s="2555"/>
      <c r="AV11" s="2555"/>
      <c r="AW11" s="2555"/>
      <c r="AX11" s="2564"/>
      <c r="AY11" s="2564"/>
      <c r="AZ11" s="2565"/>
      <c r="BA11" s="465">
        <f>IF('03 食事申込書'!BY110=AF11+AL11+AI11+AO11+AR11+AU11+AX11,AD11*AE11,"人数を再確認！")</f>
        <v>0</v>
      </c>
      <c r="BB11" s="2213"/>
      <c r="BC11" s="2214"/>
      <c r="BD11" s="2217" t="s">
        <v>212</v>
      </c>
      <c r="BE11" s="2218"/>
      <c r="BF11" s="2218"/>
      <c r="BG11" s="2219"/>
      <c r="BH11" s="2528" t="s">
        <v>2847</v>
      </c>
      <c r="BI11" s="2529"/>
      <c r="BJ11" s="2529"/>
      <c r="BK11" s="2529"/>
      <c r="BL11" s="2529"/>
      <c r="BM11" s="2529"/>
      <c r="BN11" s="2529"/>
      <c r="BO11" s="2529"/>
      <c r="BP11" s="2529"/>
      <c r="BQ11" s="2529"/>
      <c r="BR11" s="2530"/>
      <c r="BS11" s="498" t="s">
        <v>208</v>
      </c>
      <c r="BT11" s="380" t="s">
        <v>208</v>
      </c>
      <c r="BU11" s="499" t="s">
        <v>209</v>
      </c>
      <c r="BV11" s="500"/>
      <c r="BW11" s="501"/>
      <c r="BX11" s="2287"/>
      <c r="BY11" s="2345"/>
      <c r="BZ11" s="466">
        <v>9</v>
      </c>
      <c r="CA11" s="467" t="s">
        <v>2855</v>
      </c>
      <c r="CB11" s="2224" t="s">
        <v>2967</v>
      </c>
      <c r="CC11" s="2225"/>
      <c r="CD11" s="2225"/>
      <c r="CE11" s="468">
        <v>440</v>
      </c>
      <c r="CF11" s="462">
        <v>1</v>
      </c>
      <c r="CG11" s="2160">
        <v>1</v>
      </c>
      <c r="CH11" s="2158"/>
      <c r="CI11" s="2159"/>
      <c r="CJ11" s="2157"/>
      <c r="CK11" s="2158"/>
      <c r="CL11" s="2159"/>
      <c r="CM11" s="2157"/>
      <c r="CN11" s="2158"/>
      <c r="CO11" s="2159"/>
      <c r="CP11" s="2157"/>
      <c r="CQ11" s="2158"/>
      <c r="CR11" s="2159"/>
      <c r="CS11" s="2157"/>
      <c r="CT11" s="2158"/>
      <c r="CU11" s="2159"/>
      <c r="CV11" s="469"/>
      <c r="CW11" s="470"/>
      <c r="CX11" s="817">
        <v>440</v>
      </c>
      <c r="CY11" s="19"/>
      <c r="CZ11" s="19"/>
      <c r="DA11" s="19"/>
      <c r="DB11" s="23" t="s">
        <v>205</v>
      </c>
      <c r="DC11" s="903">
        <v>540</v>
      </c>
      <c r="DD11" s="19"/>
      <c r="DE11" s="18"/>
      <c r="DF11" s="19"/>
      <c r="DG11" s="84"/>
      <c r="DH11" s="83"/>
      <c r="DI11" s="83"/>
      <c r="DJ11" s="83"/>
      <c r="DK11" s="83"/>
      <c r="DL11" s="83"/>
      <c r="DM11" s="83"/>
      <c r="DN11" s="83"/>
      <c r="DO11" s="83"/>
      <c r="DP11" s="83"/>
      <c r="DQ11" s="83"/>
      <c r="DR11" s="83"/>
      <c r="DS11" s="83"/>
      <c r="DT11" s="83"/>
      <c r="DU11" s="83"/>
      <c r="DV11" s="83"/>
      <c r="DW11" s="83"/>
      <c r="DX11" s="83"/>
      <c r="DY11" s="83"/>
      <c r="DZ11" s="83"/>
      <c r="EA11" s="83"/>
    </row>
    <row r="12" spans="1:131" ht="27" customHeight="1">
      <c r="A12" s="2213"/>
      <c r="B12" s="2214"/>
      <c r="C12" s="2217" t="s">
        <v>214</v>
      </c>
      <c r="D12" s="2218"/>
      <c r="E12" s="2218"/>
      <c r="F12" s="2219"/>
      <c r="G12" s="2244"/>
      <c r="H12" s="2245"/>
      <c r="I12" s="2245"/>
      <c r="J12" s="2245"/>
      <c r="K12" s="2245"/>
      <c r="L12" s="2245"/>
      <c r="M12" s="2245"/>
      <c r="N12" s="2245"/>
      <c r="O12" s="2245"/>
      <c r="P12" s="2245"/>
      <c r="Q12" s="2246"/>
      <c r="R12" s="379" t="s">
        <v>208</v>
      </c>
      <c r="S12" s="380" t="s">
        <v>208</v>
      </c>
      <c r="T12" s="381" t="s">
        <v>3125</v>
      </c>
      <c r="U12" s="382" t="b">
        <v>0</v>
      </c>
      <c r="V12" s="203" t="b">
        <v>0</v>
      </c>
      <c r="W12" s="2287"/>
      <c r="X12" s="2345"/>
      <c r="Y12" s="466">
        <f>'03 食事申込書'!BT111</f>
        <v>0</v>
      </c>
      <c r="Z12" s="467">
        <f>'03 食事申込書'!BV111</f>
        <v>0</v>
      </c>
      <c r="AA12" s="2239">
        <f>'03 食事申込書'!BW111</f>
        <v>0</v>
      </c>
      <c r="AB12" s="2240"/>
      <c r="AC12" s="2240"/>
      <c r="AD12" s="468">
        <f t="shared" si="0"/>
        <v>0</v>
      </c>
      <c r="AE12" s="462">
        <f>'03 食事申込書'!BY111</f>
        <v>0</v>
      </c>
      <c r="AF12" s="2160"/>
      <c r="AG12" s="2158"/>
      <c r="AH12" s="2159"/>
      <c r="AI12" s="2157"/>
      <c r="AJ12" s="2158"/>
      <c r="AK12" s="2159"/>
      <c r="AL12" s="2157"/>
      <c r="AM12" s="2158"/>
      <c r="AN12" s="2159"/>
      <c r="AO12" s="2157"/>
      <c r="AP12" s="2158"/>
      <c r="AQ12" s="2159"/>
      <c r="AR12" s="2157"/>
      <c r="AS12" s="2158"/>
      <c r="AT12" s="2159"/>
      <c r="AU12" s="2555"/>
      <c r="AV12" s="2555"/>
      <c r="AW12" s="2555"/>
      <c r="AX12" s="2564"/>
      <c r="AY12" s="2564"/>
      <c r="AZ12" s="2565"/>
      <c r="BA12" s="465">
        <f>IF('03 食事申込書'!BY111=AF12+AL12+AI12+AO12+AR12+AU12+AX12,AD12*AE12,"人数を再確認！")</f>
        <v>0</v>
      </c>
      <c r="BB12" s="2213"/>
      <c r="BC12" s="2214"/>
      <c r="BD12" s="2217" t="s">
        <v>214</v>
      </c>
      <c r="BE12" s="2218"/>
      <c r="BF12" s="2218"/>
      <c r="BG12" s="2219"/>
      <c r="BH12" s="2528" t="s">
        <v>2849</v>
      </c>
      <c r="BI12" s="2529"/>
      <c r="BJ12" s="2529"/>
      <c r="BK12" s="2529"/>
      <c r="BL12" s="2529"/>
      <c r="BM12" s="2529"/>
      <c r="BN12" s="2529"/>
      <c r="BO12" s="2529"/>
      <c r="BP12" s="2529"/>
      <c r="BQ12" s="2529"/>
      <c r="BR12" s="2530"/>
      <c r="BS12" s="498" t="s">
        <v>208</v>
      </c>
      <c r="BT12" s="380" t="s">
        <v>208</v>
      </c>
      <c r="BU12" s="381" t="s">
        <v>209</v>
      </c>
      <c r="BV12" s="500"/>
      <c r="BW12" s="501"/>
      <c r="BX12" s="2287"/>
      <c r="BY12" s="2345"/>
      <c r="BZ12" s="466">
        <f>'03 食事申込書'!DQ111</f>
        <v>0</v>
      </c>
      <c r="CA12" s="467">
        <f>'03 食事申込書'!DS111</f>
        <v>0</v>
      </c>
      <c r="CB12" s="2224">
        <f>'03 食事申込書'!DT111</f>
        <v>0</v>
      </c>
      <c r="CC12" s="2225"/>
      <c r="CD12" s="2225"/>
      <c r="CE12" s="471">
        <f>IF(ISERROR(VLOOKUP(CB12,EY3:EZ58,2,FALSE)),0,VLOOKUP(CB12,EY3:EZ58,2,FALSE))</f>
        <v>0</v>
      </c>
      <c r="CF12" s="462">
        <f>'03 食事申込書'!DV111</f>
        <v>0</v>
      </c>
      <c r="CG12" s="2160"/>
      <c r="CH12" s="2158"/>
      <c r="CI12" s="2159"/>
      <c r="CJ12" s="2157"/>
      <c r="CK12" s="2158"/>
      <c r="CL12" s="2159"/>
      <c r="CM12" s="2157"/>
      <c r="CN12" s="2158"/>
      <c r="CO12" s="2159"/>
      <c r="CP12" s="2157"/>
      <c r="CQ12" s="2158"/>
      <c r="CR12" s="2159"/>
      <c r="CS12" s="2157"/>
      <c r="CT12" s="2158"/>
      <c r="CU12" s="2159"/>
      <c r="CV12" s="469"/>
      <c r="CW12" s="470"/>
      <c r="CX12" s="817">
        <f>IF('03 食事申込書'!DV111=CG12+CM12+CJ12+CP12+CS12+CV12+CW12,CE12*CF12,"人数を再確認！")</f>
        <v>0</v>
      </c>
      <c r="CY12" s="19" t="s">
        <v>47</v>
      </c>
      <c r="CZ12" s="909">
        <v>2700</v>
      </c>
      <c r="DA12" s="19"/>
      <c r="DB12" s="23" t="s">
        <v>210</v>
      </c>
      <c r="DC12" s="903">
        <v>630</v>
      </c>
      <c r="DD12" s="914"/>
      <c r="DE12" s="18"/>
      <c r="DF12" s="19"/>
      <c r="DG12" s="84"/>
      <c r="DH12" s="83"/>
      <c r="DI12" s="83"/>
      <c r="DJ12" s="83"/>
      <c r="DK12" s="83"/>
      <c r="DL12" s="83"/>
      <c r="DM12" s="83"/>
      <c r="DN12" s="83"/>
      <c r="DO12" s="83"/>
      <c r="DP12" s="83"/>
      <c r="DQ12" s="83"/>
      <c r="DR12" s="83"/>
      <c r="DS12" s="83"/>
      <c r="DT12" s="83"/>
      <c r="DU12" s="83"/>
      <c r="DV12" s="83"/>
      <c r="DW12" s="83"/>
      <c r="DX12" s="83"/>
      <c r="DY12" s="83"/>
      <c r="DZ12" s="83"/>
      <c r="EA12" s="83"/>
    </row>
    <row r="13" spans="1:131" ht="27" customHeight="1">
      <c r="A13" s="2213"/>
      <c r="B13" s="2214"/>
      <c r="C13" s="2217" t="s">
        <v>216</v>
      </c>
      <c r="D13" s="2218"/>
      <c r="E13" s="2218"/>
      <c r="F13" s="2219"/>
      <c r="G13" s="2244"/>
      <c r="H13" s="2245"/>
      <c r="I13" s="2245"/>
      <c r="J13" s="2245"/>
      <c r="K13" s="2245"/>
      <c r="L13" s="2245"/>
      <c r="M13" s="2245"/>
      <c r="N13" s="2245"/>
      <c r="O13" s="2245"/>
      <c r="P13" s="2245"/>
      <c r="Q13" s="2246"/>
      <c r="R13" s="379" t="s">
        <v>208</v>
      </c>
      <c r="S13" s="380" t="s">
        <v>208</v>
      </c>
      <c r="T13" s="381" t="s">
        <v>3125</v>
      </c>
      <c r="U13" s="382" t="b">
        <v>0</v>
      </c>
      <c r="V13" s="203" t="b">
        <v>0</v>
      </c>
      <c r="W13" s="2287"/>
      <c r="X13" s="2345"/>
      <c r="Y13" s="466">
        <f>'03 食事申込書'!BT112</f>
        <v>0</v>
      </c>
      <c r="Z13" s="467">
        <f>'03 食事申込書'!BV112</f>
        <v>0</v>
      </c>
      <c r="AA13" s="2239">
        <f>'03 食事申込書'!BW112</f>
        <v>0</v>
      </c>
      <c r="AB13" s="2240"/>
      <c r="AC13" s="2240"/>
      <c r="AD13" s="468">
        <f t="shared" si="0"/>
        <v>0</v>
      </c>
      <c r="AE13" s="462">
        <f>'03 食事申込書'!BY112</f>
        <v>0</v>
      </c>
      <c r="AF13" s="2160"/>
      <c r="AG13" s="2158"/>
      <c r="AH13" s="2159"/>
      <c r="AI13" s="2157"/>
      <c r="AJ13" s="2158"/>
      <c r="AK13" s="2159"/>
      <c r="AL13" s="2157"/>
      <c r="AM13" s="2158"/>
      <c r="AN13" s="2159"/>
      <c r="AO13" s="2157"/>
      <c r="AP13" s="2158"/>
      <c r="AQ13" s="2159"/>
      <c r="AR13" s="2157"/>
      <c r="AS13" s="2158"/>
      <c r="AT13" s="2159"/>
      <c r="AU13" s="2555"/>
      <c r="AV13" s="2555"/>
      <c r="AW13" s="2555"/>
      <c r="AX13" s="2564"/>
      <c r="AY13" s="2564"/>
      <c r="AZ13" s="2565"/>
      <c r="BA13" s="465">
        <f>IF('03 食事申込書'!BY112=AF13+AL13+AI13+AO13+AR13+AU13+AX13,AD13*AE13,"人数を再確認！")</f>
        <v>0</v>
      </c>
      <c r="BB13" s="2213"/>
      <c r="BC13" s="2214"/>
      <c r="BD13" s="2217" t="s">
        <v>216</v>
      </c>
      <c r="BE13" s="2218"/>
      <c r="BF13" s="2218"/>
      <c r="BG13" s="2219"/>
      <c r="BH13" s="2528" t="s">
        <v>3203</v>
      </c>
      <c r="BI13" s="2529"/>
      <c r="BJ13" s="2529"/>
      <c r="BK13" s="2529"/>
      <c r="BL13" s="2529"/>
      <c r="BM13" s="2529"/>
      <c r="BN13" s="2529"/>
      <c r="BO13" s="2529"/>
      <c r="BP13" s="2529"/>
      <c r="BQ13" s="2529"/>
      <c r="BR13" s="2530"/>
      <c r="BS13" s="498" t="s">
        <v>208</v>
      </c>
      <c r="BT13" s="502" t="s">
        <v>208</v>
      </c>
      <c r="BU13" s="381" t="s">
        <v>209</v>
      </c>
      <c r="BV13" s="500"/>
      <c r="BW13" s="501"/>
      <c r="BX13" s="2287"/>
      <c r="BY13" s="2345"/>
      <c r="BZ13" s="466">
        <f>'03 食事申込書'!DQ112</f>
        <v>0</v>
      </c>
      <c r="CA13" s="467">
        <f>'03 食事申込書'!DS112</f>
        <v>0</v>
      </c>
      <c r="CB13" s="2224">
        <f>'03 食事申込書'!DT112</f>
        <v>0</v>
      </c>
      <c r="CC13" s="2225"/>
      <c r="CD13" s="2225"/>
      <c r="CE13" s="472">
        <f>IF(ISERROR(VLOOKUP(CB13,EY3:EZ58,2,FALSE)),0,VLOOKUP(CB13,EY3:EZ58,2,FALSE))</f>
        <v>0</v>
      </c>
      <c r="CF13" s="462">
        <f>'03 食事申込書'!DV112</f>
        <v>0</v>
      </c>
      <c r="CG13" s="2160"/>
      <c r="CH13" s="2158"/>
      <c r="CI13" s="2159"/>
      <c r="CJ13" s="2157"/>
      <c r="CK13" s="2158"/>
      <c r="CL13" s="2159"/>
      <c r="CM13" s="2157"/>
      <c r="CN13" s="2158"/>
      <c r="CO13" s="2159"/>
      <c r="CP13" s="2157"/>
      <c r="CQ13" s="2158"/>
      <c r="CR13" s="2159"/>
      <c r="CS13" s="2157"/>
      <c r="CT13" s="2158"/>
      <c r="CU13" s="2159"/>
      <c r="CV13" s="469"/>
      <c r="CW13" s="470"/>
      <c r="CX13" s="817">
        <f>IF('03 食事申込書'!DV112=CG13+CM13+CJ13+CP13+CS13+CV13+CW13,CE13*CF13,"人数を再確認！")</f>
        <v>0</v>
      </c>
      <c r="CY13" s="19" t="s">
        <v>48</v>
      </c>
      <c r="CZ13" s="909">
        <v>4400</v>
      </c>
      <c r="DA13" s="19"/>
      <c r="DB13" s="23" t="s">
        <v>213</v>
      </c>
      <c r="DC13" s="903">
        <v>670</v>
      </c>
      <c r="DD13" s="914"/>
      <c r="DE13" s="18"/>
      <c r="DF13" s="19"/>
      <c r="DG13" s="84"/>
      <c r="DH13" s="83"/>
      <c r="DI13" s="83"/>
      <c r="DJ13" s="83"/>
      <c r="DK13" s="83"/>
      <c r="DL13" s="83"/>
      <c r="DM13" s="83"/>
      <c r="DN13" s="83"/>
      <c r="DO13" s="83"/>
      <c r="DP13" s="83"/>
      <c r="DQ13" s="83"/>
      <c r="DR13" s="83"/>
      <c r="DS13" s="83"/>
      <c r="DT13" s="83"/>
      <c r="DU13" s="83"/>
      <c r="DV13" s="83"/>
      <c r="DW13" s="83"/>
      <c r="DX13" s="83"/>
      <c r="DY13" s="83"/>
      <c r="DZ13" s="83"/>
      <c r="EA13" s="83"/>
    </row>
    <row r="14" spans="1:131" ht="27" customHeight="1">
      <c r="A14" s="2213"/>
      <c r="B14" s="2214"/>
      <c r="C14" s="2217" t="s">
        <v>218</v>
      </c>
      <c r="D14" s="2218"/>
      <c r="E14" s="2218"/>
      <c r="F14" s="2219"/>
      <c r="G14" s="2244"/>
      <c r="H14" s="2245"/>
      <c r="I14" s="2245"/>
      <c r="J14" s="2245"/>
      <c r="K14" s="2245"/>
      <c r="L14" s="2245"/>
      <c r="M14" s="2245"/>
      <c r="N14" s="2245"/>
      <c r="O14" s="2245"/>
      <c r="P14" s="2245"/>
      <c r="Q14" s="2246"/>
      <c r="R14" s="379" t="s">
        <v>208</v>
      </c>
      <c r="S14" s="380" t="s">
        <v>208</v>
      </c>
      <c r="T14" s="381" t="s">
        <v>3125</v>
      </c>
      <c r="U14" s="382" t="b">
        <v>0</v>
      </c>
      <c r="V14" s="203" t="b">
        <v>0</v>
      </c>
      <c r="W14" s="2287"/>
      <c r="X14" s="2345"/>
      <c r="Y14" s="466">
        <f>'03 食事申込書'!BT113</f>
        <v>0</v>
      </c>
      <c r="Z14" s="467">
        <f>'03 食事申込書'!BV113</f>
        <v>0</v>
      </c>
      <c r="AA14" s="2239">
        <f>'03 食事申込書'!BW113</f>
        <v>0</v>
      </c>
      <c r="AB14" s="2240"/>
      <c r="AC14" s="2240"/>
      <c r="AD14" s="468">
        <f t="shared" si="0"/>
        <v>0</v>
      </c>
      <c r="AE14" s="462">
        <f>'03 食事申込書'!BY113</f>
        <v>0</v>
      </c>
      <c r="AF14" s="2160"/>
      <c r="AG14" s="2158"/>
      <c r="AH14" s="2159"/>
      <c r="AI14" s="2157"/>
      <c r="AJ14" s="2158"/>
      <c r="AK14" s="2159"/>
      <c r="AL14" s="2157"/>
      <c r="AM14" s="2158"/>
      <c r="AN14" s="2159"/>
      <c r="AO14" s="2157"/>
      <c r="AP14" s="2158"/>
      <c r="AQ14" s="2159"/>
      <c r="AR14" s="2157"/>
      <c r="AS14" s="2158"/>
      <c r="AT14" s="2159"/>
      <c r="AU14" s="2555"/>
      <c r="AV14" s="2555"/>
      <c r="AW14" s="2555"/>
      <c r="AX14" s="2564"/>
      <c r="AY14" s="2564"/>
      <c r="AZ14" s="2565"/>
      <c r="BA14" s="465">
        <f>IF('03 食事申込書'!BY113=AF14+AL14+AI14+AO14+AR14+AU14+AX14,AD14*AE14,"人数を再確認！")</f>
        <v>0</v>
      </c>
      <c r="BB14" s="2213"/>
      <c r="BC14" s="2214"/>
      <c r="BD14" s="2217" t="s">
        <v>218</v>
      </c>
      <c r="BE14" s="2218"/>
      <c r="BF14" s="2218"/>
      <c r="BG14" s="2219"/>
      <c r="BH14" s="2528" t="s">
        <v>2852</v>
      </c>
      <c r="BI14" s="2529"/>
      <c r="BJ14" s="2529"/>
      <c r="BK14" s="2529"/>
      <c r="BL14" s="2529"/>
      <c r="BM14" s="2529"/>
      <c r="BN14" s="2529"/>
      <c r="BO14" s="2529"/>
      <c r="BP14" s="2529"/>
      <c r="BQ14" s="2529"/>
      <c r="BR14" s="2530"/>
      <c r="BS14" s="498" t="s">
        <v>208</v>
      </c>
      <c r="BT14" s="502" t="s">
        <v>208</v>
      </c>
      <c r="BU14" s="381" t="s">
        <v>209</v>
      </c>
      <c r="BV14" s="500"/>
      <c r="BW14" s="501"/>
      <c r="BX14" s="2287"/>
      <c r="BY14" s="2345"/>
      <c r="BZ14" s="466">
        <f>'03 食事申込書'!DQ113</f>
        <v>0</v>
      </c>
      <c r="CA14" s="467">
        <f>'03 食事申込書'!DS113</f>
        <v>0</v>
      </c>
      <c r="CB14" s="2224">
        <f>'03 食事申込書'!DT113</f>
        <v>0</v>
      </c>
      <c r="CC14" s="2225"/>
      <c r="CD14" s="2225"/>
      <c r="CE14" s="472">
        <f>IF(ISERROR(VLOOKUP(CB14,EY3:EZ58,2,FALSE)),0,VLOOKUP(CB14,EY3:EZ58,2,FALSE))</f>
        <v>0</v>
      </c>
      <c r="CF14" s="462">
        <f>'03 食事申込書'!DV113</f>
        <v>0</v>
      </c>
      <c r="CG14" s="2160"/>
      <c r="CH14" s="2158"/>
      <c r="CI14" s="2159"/>
      <c r="CJ14" s="2157"/>
      <c r="CK14" s="2158"/>
      <c r="CL14" s="2159"/>
      <c r="CM14" s="2157"/>
      <c r="CN14" s="2158"/>
      <c r="CO14" s="2159"/>
      <c r="CP14" s="2157"/>
      <c r="CQ14" s="2158"/>
      <c r="CR14" s="2159"/>
      <c r="CS14" s="2157"/>
      <c r="CT14" s="2158"/>
      <c r="CU14" s="2159"/>
      <c r="CV14" s="469"/>
      <c r="CW14" s="470"/>
      <c r="CX14" s="817">
        <f>IF('03 食事申込書'!DV113=CG14+CM14+CJ14+CP14+CS14+CV14+CW14,CE14*CF14,"人数を再確認！")</f>
        <v>0</v>
      </c>
      <c r="CY14" s="912"/>
      <c r="CZ14" s="912"/>
      <c r="DA14" s="19"/>
      <c r="DB14" s="18" t="s">
        <v>215</v>
      </c>
      <c r="DC14" s="19"/>
      <c r="DD14" s="914"/>
      <c r="DE14" s="18"/>
      <c r="DF14" s="19"/>
      <c r="DG14" s="84"/>
      <c r="DH14" s="83"/>
      <c r="DI14" s="83"/>
      <c r="DJ14" s="83"/>
      <c r="DK14" s="83"/>
      <c r="DL14" s="83"/>
      <c r="DM14" s="83"/>
      <c r="DN14" s="83"/>
      <c r="DO14" s="83"/>
      <c r="DP14" s="83"/>
      <c r="DQ14" s="83"/>
      <c r="DR14" s="83"/>
      <c r="DS14" s="83"/>
      <c r="DT14" s="83"/>
      <c r="DU14" s="83"/>
      <c r="DV14" s="83"/>
      <c r="DW14" s="83"/>
      <c r="DX14" s="83"/>
      <c r="DY14" s="83"/>
      <c r="DZ14" s="83"/>
      <c r="EA14" s="83"/>
    </row>
    <row r="15" spans="1:131" ht="27" customHeight="1">
      <c r="A15" s="2213"/>
      <c r="B15" s="2214"/>
      <c r="C15" s="2217" t="s">
        <v>1370</v>
      </c>
      <c r="D15" s="2218"/>
      <c r="E15" s="2218"/>
      <c r="F15" s="2219"/>
      <c r="G15" s="2173"/>
      <c r="H15" s="2174"/>
      <c r="I15" s="2174"/>
      <c r="J15" s="2174"/>
      <c r="K15" s="2174"/>
      <c r="L15" s="2174"/>
      <c r="M15" s="2174"/>
      <c r="N15" s="2174"/>
      <c r="O15" s="2174"/>
      <c r="P15" s="2174"/>
      <c r="Q15" s="2175"/>
      <c r="R15" s="383" t="s">
        <v>208</v>
      </c>
      <c r="S15" s="384" t="s">
        <v>208</v>
      </c>
      <c r="T15" s="385" t="s">
        <v>3126</v>
      </c>
      <c r="U15" s="382" t="b">
        <v>0</v>
      </c>
      <c r="V15" s="203" t="b">
        <v>0</v>
      </c>
      <c r="W15" s="2287"/>
      <c r="X15" s="2345"/>
      <c r="Y15" s="466">
        <f>'03 食事申込書'!BT114</f>
        <v>0</v>
      </c>
      <c r="Z15" s="467">
        <f>'03 食事申込書'!BV114</f>
        <v>0</v>
      </c>
      <c r="AA15" s="2239">
        <f>'03 食事申込書'!BW114</f>
        <v>0</v>
      </c>
      <c r="AB15" s="2240"/>
      <c r="AC15" s="2240"/>
      <c r="AD15" s="468">
        <f t="shared" si="0"/>
        <v>0</v>
      </c>
      <c r="AE15" s="462">
        <f>'03 食事申込書'!BY114</f>
        <v>0</v>
      </c>
      <c r="AF15" s="2160"/>
      <c r="AG15" s="2158"/>
      <c r="AH15" s="2159"/>
      <c r="AI15" s="2157"/>
      <c r="AJ15" s="2158"/>
      <c r="AK15" s="2159"/>
      <c r="AL15" s="2157"/>
      <c r="AM15" s="2158"/>
      <c r="AN15" s="2159"/>
      <c r="AO15" s="2157"/>
      <c r="AP15" s="2158"/>
      <c r="AQ15" s="2159"/>
      <c r="AR15" s="2157"/>
      <c r="AS15" s="2158"/>
      <c r="AT15" s="2159"/>
      <c r="AU15" s="2555"/>
      <c r="AV15" s="2555"/>
      <c r="AW15" s="2555"/>
      <c r="AX15" s="2564"/>
      <c r="AY15" s="2564"/>
      <c r="AZ15" s="2565"/>
      <c r="BA15" s="465">
        <f>IF('03 食事申込書'!BY114=AF15+AL15+AI15+AO15+AR15+AU15+AX15,AD15*AE15,"人数を再確認！")</f>
        <v>0</v>
      </c>
      <c r="BB15" s="2213"/>
      <c r="BC15" s="2214"/>
      <c r="BD15" s="2217" t="s">
        <v>1370</v>
      </c>
      <c r="BE15" s="2218"/>
      <c r="BF15" s="2218"/>
      <c r="BG15" s="2219"/>
      <c r="BH15" s="2542" t="s">
        <v>2850</v>
      </c>
      <c r="BI15" s="2543"/>
      <c r="BJ15" s="2543"/>
      <c r="BK15" s="2543"/>
      <c r="BL15" s="2543"/>
      <c r="BM15" s="2543"/>
      <c r="BN15" s="2543"/>
      <c r="BO15" s="2543"/>
      <c r="BP15" s="2543"/>
      <c r="BQ15" s="2543"/>
      <c r="BR15" s="2544"/>
      <c r="BS15" s="503" t="s">
        <v>208</v>
      </c>
      <c r="BT15" s="502" t="s">
        <v>208</v>
      </c>
      <c r="BU15" s="381" t="s">
        <v>209</v>
      </c>
      <c r="BV15" s="500"/>
      <c r="BW15" s="501"/>
      <c r="BX15" s="2287"/>
      <c r="BY15" s="2345"/>
      <c r="BZ15" s="466">
        <f>'03 食事申込書'!DQ114</f>
        <v>0</v>
      </c>
      <c r="CA15" s="467">
        <f>'03 食事申込書'!DS114</f>
        <v>0</v>
      </c>
      <c r="CB15" s="2224">
        <f>'03 食事申込書'!DT114</f>
        <v>0</v>
      </c>
      <c r="CC15" s="2225"/>
      <c r="CD15" s="2225"/>
      <c r="CE15" s="468">
        <f>IF(ISERROR(VLOOKUP(CB15,EY3:EZ58,2,FALSE)),0,VLOOKUP(CB15,EY3:EZ58,2,FALSE))</f>
        <v>0</v>
      </c>
      <c r="CF15" s="462">
        <f>'03 食事申込書'!DV114</f>
        <v>0</v>
      </c>
      <c r="CG15" s="2160"/>
      <c r="CH15" s="2158"/>
      <c r="CI15" s="2159"/>
      <c r="CJ15" s="2157"/>
      <c r="CK15" s="2158"/>
      <c r="CL15" s="2159"/>
      <c r="CM15" s="2157"/>
      <c r="CN15" s="2158"/>
      <c r="CO15" s="2159"/>
      <c r="CP15" s="2157"/>
      <c r="CQ15" s="2158"/>
      <c r="CR15" s="2159"/>
      <c r="CS15" s="2157"/>
      <c r="CT15" s="2158"/>
      <c r="CU15" s="2159"/>
      <c r="CV15" s="469"/>
      <c r="CW15" s="470"/>
      <c r="CX15" s="817">
        <f>IF('03 食事申込書'!DV114=CG15+CM15+CJ15+CP15+CS15+CV15+CW15,CE15*CF15,"人数を再確認！")</f>
        <v>0</v>
      </c>
      <c r="CY15" s="915" t="s">
        <v>217</v>
      </c>
      <c r="CZ15" s="916"/>
      <c r="DA15" s="19"/>
      <c r="DB15" s="23" t="s">
        <v>2901</v>
      </c>
      <c r="DC15" s="903">
        <v>550</v>
      </c>
      <c r="DD15" s="19"/>
      <c r="DE15" s="18"/>
      <c r="DF15" s="19"/>
      <c r="DG15" s="84"/>
      <c r="DH15" s="83"/>
      <c r="DI15" s="83"/>
      <c r="DJ15" s="83"/>
      <c r="DK15" s="83"/>
      <c r="DL15" s="83"/>
      <c r="DM15" s="83"/>
      <c r="DN15" s="83"/>
      <c r="DO15" s="83"/>
      <c r="DP15" s="83"/>
      <c r="DQ15" s="83"/>
      <c r="DR15" s="83"/>
      <c r="DS15" s="83"/>
      <c r="DT15" s="83"/>
      <c r="DU15" s="83"/>
      <c r="DV15" s="83"/>
      <c r="DW15" s="83"/>
      <c r="DX15" s="83"/>
      <c r="DY15" s="83"/>
      <c r="DZ15" s="83"/>
      <c r="EA15" s="83"/>
    </row>
    <row r="16" spans="1:131" ht="27" customHeight="1" thickBot="1">
      <c r="A16" s="2215"/>
      <c r="B16" s="2216"/>
      <c r="C16" s="2217" t="s">
        <v>1371</v>
      </c>
      <c r="D16" s="2218"/>
      <c r="E16" s="2218"/>
      <c r="F16" s="2219"/>
      <c r="G16" s="2306"/>
      <c r="H16" s="2307"/>
      <c r="I16" s="2307"/>
      <c r="J16" s="2307"/>
      <c r="K16" s="2307"/>
      <c r="L16" s="2307"/>
      <c r="M16" s="2307"/>
      <c r="N16" s="2307"/>
      <c r="O16" s="2307"/>
      <c r="P16" s="2307"/>
      <c r="Q16" s="2308"/>
      <c r="R16" s="386" t="s">
        <v>208</v>
      </c>
      <c r="S16" s="387" t="s">
        <v>208</v>
      </c>
      <c r="T16" s="388" t="s">
        <v>3126</v>
      </c>
      <c r="U16" s="389" t="b">
        <v>0</v>
      </c>
      <c r="V16" s="203" t="b">
        <v>0</v>
      </c>
      <c r="W16" s="2287"/>
      <c r="X16" s="2345"/>
      <c r="Y16" s="466">
        <f>'03 食事申込書'!BT115</f>
        <v>0</v>
      </c>
      <c r="Z16" s="467">
        <f>'03 食事申込書'!BV115</f>
        <v>0</v>
      </c>
      <c r="AA16" s="2239">
        <f>'03 食事申込書'!BW115</f>
        <v>0</v>
      </c>
      <c r="AB16" s="2240"/>
      <c r="AC16" s="2240"/>
      <c r="AD16" s="468">
        <f t="shared" si="0"/>
        <v>0</v>
      </c>
      <c r="AE16" s="462">
        <f>'03 食事申込書'!BY115</f>
        <v>0</v>
      </c>
      <c r="AF16" s="2160"/>
      <c r="AG16" s="2158"/>
      <c r="AH16" s="2159"/>
      <c r="AI16" s="2157"/>
      <c r="AJ16" s="2158"/>
      <c r="AK16" s="2159"/>
      <c r="AL16" s="2157"/>
      <c r="AM16" s="2158"/>
      <c r="AN16" s="2159"/>
      <c r="AO16" s="2157"/>
      <c r="AP16" s="2158"/>
      <c r="AQ16" s="2159"/>
      <c r="AR16" s="2157"/>
      <c r="AS16" s="2158"/>
      <c r="AT16" s="2159"/>
      <c r="AU16" s="2555"/>
      <c r="AV16" s="2555"/>
      <c r="AW16" s="2555"/>
      <c r="AX16" s="2564"/>
      <c r="AY16" s="2564"/>
      <c r="AZ16" s="2565"/>
      <c r="BA16" s="465">
        <f>IF('03 食事申込書'!BY115=AF16+AL16+AI16+AO16+AR16+AU16+AX16,AD16*AE16,"人数を再確認！")</f>
        <v>0</v>
      </c>
      <c r="BB16" s="2215"/>
      <c r="BC16" s="2216"/>
      <c r="BD16" s="2217" t="s">
        <v>1371</v>
      </c>
      <c r="BE16" s="2218"/>
      <c r="BF16" s="2218"/>
      <c r="BG16" s="2219"/>
      <c r="BH16" s="2534"/>
      <c r="BI16" s="2535"/>
      <c r="BJ16" s="2535"/>
      <c r="BK16" s="2535"/>
      <c r="BL16" s="2535"/>
      <c r="BM16" s="2535"/>
      <c r="BN16" s="2535"/>
      <c r="BO16" s="2535"/>
      <c r="BP16" s="2535"/>
      <c r="BQ16" s="2535"/>
      <c r="BR16" s="2536"/>
      <c r="BS16" s="504" t="s">
        <v>208</v>
      </c>
      <c r="BT16" s="387" t="s">
        <v>208</v>
      </c>
      <c r="BU16" s="388" t="s">
        <v>209</v>
      </c>
      <c r="BV16" s="505"/>
      <c r="BW16" s="501"/>
      <c r="BX16" s="2287"/>
      <c r="BY16" s="2345"/>
      <c r="BZ16" s="466">
        <f>'03 食事申込書'!DQ115</f>
        <v>0</v>
      </c>
      <c r="CA16" s="467">
        <f>'03 食事申込書'!DS115</f>
        <v>0</v>
      </c>
      <c r="CB16" s="2224">
        <f>'03 食事申込書'!DT115</f>
        <v>0</v>
      </c>
      <c r="CC16" s="2225"/>
      <c r="CD16" s="2225"/>
      <c r="CE16" s="471">
        <f>IF(ISERROR(VLOOKUP(CB16,EY3:EZ58,2,FALSE)),0,VLOOKUP(CB16,EY3:EZ58,2,FALSE))</f>
        <v>0</v>
      </c>
      <c r="CF16" s="462">
        <f>'03 食事申込書'!DV115</f>
        <v>0</v>
      </c>
      <c r="CG16" s="2160"/>
      <c r="CH16" s="2158"/>
      <c r="CI16" s="2159"/>
      <c r="CJ16" s="2157"/>
      <c r="CK16" s="2158"/>
      <c r="CL16" s="2159"/>
      <c r="CM16" s="2157"/>
      <c r="CN16" s="2158"/>
      <c r="CO16" s="2159"/>
      <c r="CP16" s="2157"/>
      <c r="CQ16" s="2158"/>
      <c r="CR16" s="2159"/>
      <c r="CS16" s="2157"/>
      <c r="CT16" s="2158"/>
      <c r="CU16" s="2159"/>
      <c r="CV16" s="469"/>
      <c r="CW16" s="470"/>
      <c r="CX16" s="817">
        <f>IF('03 食事申込書'!DV115=CG16+CM16+CJ16+CP16+CS16+CV16+CW16,CE16*CF16,"人数を再確認！")</f>
        <v>0</v>
      </c>
      <c r="CY16" s="912"/>
      <c r="CZ16" s="917" t="s">
        <v>113</v>
      </c>
      <c r="DA16" s="19"/>
      <c r="DB16" s="23" t="s">
        <v>2902</v>
      </c>
      <c r="DC16" s="903">
        <v>650</v>
      </c>
      <c r="DD16" s="914"/>
      <c r="DE16" s="84"/>
      <c r="DF16" s="84"/>
      <c r="DG16" s="84"/>
      <c r="DH16" s="83"/>
      <c r="DI16" s="83"/>
      <c r="DJ16" s="83"/>
      <c r="DK16" s="83"/>
      <c r="DL16" s="83"/>
      <c r="DM16" s="83"/>
      <c r="DN16" s="83"/>
      <c r="DO16" s="83"/>
      <c r="DP16" s="83"/>
      <c r="DQ16" s="83"/>
      <c r="DR16" s="83"/>
      <c r="DS16" s="83"/>
      <c r="DT16" s="83"/>
      <c r="DU16" s="83"/>
      <c r="DV16" s="83"/>
      <c r="DW16" s="83"/>
      <c r="DX16" s="83"/>
      <c r="DY16" s="83"/>
      <c r="DZ16" s="83"/>
      <c r="EA16" s="83"/>
    </row>
    <row r="17" spans="1:131" ht="27" customHeight="1" thickTop="1">
      <c r="A17" s="2316" t="s">
        <v>1372</v>
      </c>
      <c r="B17" s="2316"/>
      <c r="C17" s="2316"/>
      <c r="D17" s="2316"/>
      <c r="E17" s="2316"/>
      <c r="F17" s="2316"/>
      <c r="G17" s="2316"/>
      <c r="H17" s="2316"/>
      <c r="I17" s="2316"/>
      <c r="J17" s="2316"/>
      <c r="K17" s="2316"/>
      <c r="L17" s="2316"/>
      <c r="M17" s="2316"/>
      <c r="N17" s="2316"/>
      <c r="O17" s="2316"/>
      <c r="P17" s="2316"/>
      <c r="Q17" s="2316"/>
      <c r="R17" s="2316"/>
      <c r="S17" s="2316"/>
      <c r="T17" s="2316"/>
      <c r="U17" s="2316"/>
      <c r="V17" s="22"/>
      <c r="W17" s="2287"/>
      <c r="X17" s="2345"/>
      <c r="Y17" s="466">
        <f>'03 食事申込書'!BT116</f>
        <v>0</v>
      </c>
      <c r="Z17" s="467">
        <f>'03 食事申込書'!BV116</f>
        <v>0</v>
      </c>
      <c r="AA17" s="2239">
        <f>'03 食事申込書'!BW116</f>
        <v>0</v>
      </c>
      <c r="AB17" s="2240"/>
      <c r="AC17" s="2240"/>
      <c r="AD17" s="468">
        <f t="shared" si="0"/>
        <v>0</v>
      </c>
      <c r="AE17" s="462">
        <f>'03 食事申込書'!BY116</f>
        <v>0</v>
      </c>
      <c r="AF17" s="2160"/>
      <c r="AG17" s="2158"/>
      <c r="AH17" s="2159"/>
      <c r="AI17" s="2157"/>
      <c r="AJ17" s="2158"/>
      <c r="AK17" s="2159"/>
      <c r="AL17" s="2157"/>
      <c r="AM17" s="2158"/>
      <c r="AN17" s="2159"/>
      <c r="AO17" s="2157"/>
      <c r="AP17" s="2158"/>
      <c r="AQ17" s="2159"/>
      <c r="AR17" s="2157"/>
      <c r="AS17" s="2158"/>
      <c r="AT17" s="2159"/>
      <c r="AU17" s="2555"/>
      <c r="AV17" s="2555"/>
      <c r="AW17" s="2555"/>
      <c r="AX17" s="2564"/>
      <c r="AY17" s="2564"/>
      <c r="AZ17" s="2565"/>
      <c r="BA17" s="465">
        <f>IF('03 食事申込書'!BY116=AF17+AL17+AI17+AO17+AR17+AU17+AX17,AD17*AE17,"人数を再確認！")</f>
        <v>0</v>
      </c>
      <c r="BB17" s="2316" t="s">
        <v>1372</v>
      </c>
      <c r="BC17" s="2316"/>
      <c r="BD17" s="2316"/>
      <c r="BE17" s="2316"/>
      <c r="BF17" s="2316"/>
      <c r="BG17" s="2316"/>
      <c r="BH17" s="2316"/>
      <c r="BI17" s="2316"/>
      <c r="BJ17" s="2316"/>
      <c r="BK17" s="2316"/>
      <c r="BL17" s="2316"/>
      <c r="BM17" s="2316"/>
      <c r="BN17" s="2316"/>
      <c r="BO17" s="2316"/>
      <c r="BP17" s="2316"/>
      <c r="BQ17" s="2316"/>
      <c r="BR17" s="2316"/>
      <c r="BS17" s="2316"/>
      <c r="BT17" s="2316"/>
      <c r="BU17" s="2316"/>
      <c r="BV17" s="2316"/>
      <c r="BW17" s="506"/>
      <c r="BX17" s="2287"/>
      <c r="BY17" s="2345"/>
      <c r="BZ17" s="466">
        <f>'03 食事申込書'!DQ116</f>
        <v>0</v>
      </c>
      <c r="CA17" s="467">
        <f>'03 食事申込書'!DS116</f>
        <v>0</v>
      </c>
      <c r="CB17" s="2224">
        <f>'03 食事申込書'!DT116</f>
        <v>0</v>
      </c>
      <c r="CC17" s="2225"/>
      <c r="CD17" s="2225"/>
      <c r="CE17" s="472">
        <f>IF(ISERROR(VLOOKUP(CB17,EY3:EZ58,2,FALSE)),0,VLOOKUP(CB17,EY3:EZ58,2,FALSE))</f>
        <v>0</v>
      </c>
      <c r="CF17" s="462">
        <f>'03 食事申込書'!DV116</f>
        <v>0</v>
      </c>
      <c r="CG17" s="2160"/>
      <c r="CH17" s="2158"/>
      <c r="CI17" s="2159"/>
      <c r="CJ17" s="2157"/>
      <c r="CK17" s="2158"/>
      <c r="CL17" s="2159"/>
      <c r="CM17" s="2157"/>
      <c r="CN17" s="2158"/>
      <c r="CO17" s="2159"/>
      <c r="CP17" s="2157"/>
      <c r="CQ17" s="2158"/>
      <c r="CR17" s="2159"/>
      <c r="CS17" s="2157"/>
      <c r="CT17" s="2158"/>
      <c r="CU17" s="2159"/>
      <c r="CV17" s="469"/>
      <c r="CW17" s="470"/>
      <c r="CX17" s="817">
        <f>IF('03 食事申込書'!DV116=CG17+CM17+CJ17+CP17+CS17+CV17+CW17,CE17*CF17,"人数を再確認！")</f>
        <v>0</v>
      </c>
      <c r="CY17" s="19"/>
      <c r="CZ17" s="917" t="s">
        <v>114</v>
      </c>
      <c r="DA17" s="19"/>
      <c r="DB17" s="23" t="s">
        <v>2922</v>
      </c>
      <c r="DC17" s="903">
        <v>690</v>
      </c>
      <c r="DD17" s="914"/>
      <c r="DE17" s="84"/>
      <c r="DF17" s="84"/>
      <c r="DG17" s="84"/>
      <c r="DH17" s="83"/>
      <c r="DI17" s="83"/>
      <c r="DJ17" s="83"/>
      <c r="DK17" s="83"/>
      <c r="DL17" s="83"/>
      <c r="DM17" s="83"/>
      <c r="DN17" s="83"/>
      <c r="DO17" s="83"/>
      <c r="DP17" s="83"/>
      <c r="DQ17" s="83"/>
      <c r="DR17" s="83"/>
      <c r="DS17" s="83"/>
      <c r="DT17" s="83"/>
      <c r="DU17" s="83"/>
      <c r="DV17" s="83"/>
      <c r="DW17" s="83"/>
      <c r="DX17" s="83"/>
      <c r="DY17" s="83"/>
      <c r="DZ17" s="83"/>
      <c r="EA17" s="83"/>
    </row>
    <row r="18" spans="1:131" ht="27" customHeight="1">
      <c r="A18" s="2316"/>
      <c r="B18" s="2316"/>
      <c r="C18" s="2316"/>
      <c r="D18" s="2316"/>
      <c r="E18" s="2316"/>
      <c r="F18" s="2316"/>
      <c r="G18" s="2316"/>
      <c r="H18" s="2316"/>
      <c r="I18" s="2316"/>
      <c r="J18" s="2316"/>
      <c r="K18" s="2316"/>
      <c r="L18" s="2316"/>
      <c r="M18" s="2316"/>
      <c r="N18" s="2316"/>
      <c r="O18" s="2316"/>
      <c r="P18" s="2316"/>
      <c r="Q18" s="2316"/>
      <c r="R18" s="2316"/>
      <c r="S18" s="2316"/>
      <c r="T18" s="2316"/>
      <c r="U18" s="2316"/>
      <c r="V18" s="22"/>
      <c r="W18" s="2287"/>
      <c r="X18" s="2345"/>
      <c r="Y18" s="466">
        <f>'03 食事申込書'!BT117</f>
        <v>0</v>
      </c>
      <c r="Z18" s="467">
        <f>'03 食事申込書'!BV117</f>
        <v>0</v>
      </c>
      <c r="AA18" s="2239">
        <f>'03 食事申込書'!BW117</f>
        <v>0</v>
      </c>
      <c r="AB18" s="2240"/>
      <c r="AC18" s="2240"/>
      <c r="AD18" s="468">
        <f t="shared" si="0"/>
        <v>0</v>
      </c>
      <c r="AE18" s="462">
        <f>'03 食事申込書'!BY117</f>
        <v>0</v>
      </c>
      <c r="AF18" s="2160"/>
      <c r="AG18" s="2158"/>
      <c r="AH18" s="2159"/>
      <c r="AI18" s="2157"/>
      <c r="AJ18" s="2158"/>
      <c r="AK18" s="2159"/>
      <c r="AL18" s="2157"/>
      <c r="AM18" s="2158"/>
      <c r="AN18" s="2159"/>
      <c r="AO18" s="2157"/>
      <c r="AP18" s="2158"/>
      <c r="AQ18" s="2159"/>
      <c r="AR18" s="2157"/>
      <c r="AS18" s="2158"/>
      <c r="AT18" s="2159"/>
      <c r="AU18" s="2555"/>
      <c r="AV18" s="2555"/>
      <c r="AW18" s="2555"/>
      <c r="AX18" s="2564"/>
      <c r="AY18" s="2564"/>
      <c r="AZ18" s="2565"/>
      <c r="BA18" s="465">
        <f>IF('03 食事申込書'!BY117=AF18+AL18+AI18+AO18+AR18+AU18+AX18,AD18*AE18,"人数を再確認！")</f>
        <v>0</v>
      </c>
      <c r="BB18" s="2316"/>
      <c r="BC18" s="2316"/>
      <c r="BD18" s="2316"/>
      <c r="BE18" s="2316"/>
      <c r="BF18" s="2316"/>
      <c r="BG18" s="2316"/>
      <c r="BH18" s="2316"/>
      <c r="BI18" s="2316"/>
      <c r="BJ18" s="2316"/>
      <c r="BK18" s="2316"/>
      <c r="BL18" s="2316"/>
      <c r="BM18" s="2316"/>
      <c r="BN18" s="2316"/>
      <c r="BO18" s="2316"/>
      <c r="BP18" s="2316"/>
      <c r="BQ18" s="2316"/>
      <c r="BR18" s="2316"/>
      <c r="BS18" s="2316"/>
      <c r="BT18" s="2316"/>
      <c r="BU18" s="2316"/>
      <c r="BV18" s="2316"/>
      <c r="BW18" s="506"/>
      <c r="BX18" s="2287"/>
      <c r="BY18" s="2345"/>
      <c r="BZ18" s="466">
        <f>'03 食事申込書'!DQ117</f>
        <v>0</v>
      </c>
      <c r="CA18" s="467">
        <f>'03 食事申込書'!DS117</f>
        <v>0</v>
      </c>
      <c r="CB18" s="2224">
        <f>'03 食事申込書'!DT117</f>
        <v>0</v>
      </c>
      <c r="CC18" s="2225"/>
      <c r="CD18" s="2225"/>
      <c r="CE18" s="472">
        <f>IF(ISERROR(VLOOKUP(CB18,EY3:EZ58,2,FALSE)),0,VLOOKUP(CB18,EY3:EZ58,2,FALSE))</f>
        <v>0</v>
      </c>
      <c r="CF18" s="462">
        <f>'03 食事申込書'!DV117</f>
        <v>0</v>
      </c>
      <c r="CG18" s="2160"/>
      <c r="CH18" s="2158"/>
      <c r="CI18" s="2159"/>
      <c r="CJ18" s="2157"/>
      <c r="CK18" s="2158"/>
      <c r="CL18" s="2159"/>
      <c r="CM18" s="2157"/>
      <c r="CN18" s="2158"/>
      <c r="CO18" s="2159"/>
      <c r="CP18" s="2157"/>
      <c r="CQ18" s="2158"/>
      <c r="CR18" s="2159"/>
      <c r="CS18" s="2157"/>
      <c r="CT18" s="2158"/>
      <c r="CU18" s="2159"/>
      <c r="CV18" s="469"/>
      <c r="CW18" s="470"/>
      <c r="CX18" s="817">
        <f>IF('03 食事申込書'!DV117=CG18+CM18+CJ18+CP18+CS18+CV18+CW18,CE18*CF18,"人数を再確認！")</f>
        <v>0</v>
      </c>
      <c r="CY18" s="19"/>
      <c r="CZ18" s="917" t="s">
        <v>115</v>
      </c>
      <c r="DA18" s="19"/>
      <c r="DB18" s="23" t="s">
        <v>2904</v>
      </c>
      <c r="DC18" s="903">
        <v>650</v>
      </c>
      <c r="DD18" s="914"/>
      <c r="DE18" s="84"/>
      <c r="DF18" s="84"/>
      <c r="DG18" s="84"/>
      <c r="DH18" s="83"/>
      <c r="DI18" s="83"/>
      <c r="DJ18" s="83"/>
      <c r="DK18" s="83"/>
      <c r="DL18" s="83"/>
      <c r="DM18" s="83"/>
      <c r="DN18" s="83"/>
      <c r="DO18" s="83"/>
      <c r="DP18" s="83"/>
      <c r="DQ18" s="83"/>
      <c r="DR18" s="83"/>
      <c r="DS18" s="83"/>
      <c r="DT18" s="83"/>
      <c r="DU18" s="83"/>
      <c r="DV18" s="83"/>
      <c r="DW18" s="83"/>
      <c r="DX18" s="83"/>
      <c r="DY18" s="83"/>
      <c r="DZ18" s="83"/>
      <c r="EA18" s="83"/>
    </row>
    <row r="19" spans="1:131" ht="27" customHeight="1">
      <c r="A19" s="2316"/>
      <c r="B19" s="2316"/>
      <c r="C19" s="2316"/>
      <c r="D19" s="2316"/>
      <c r="E19" s="2316"/>
      <c r="F19" s="2316"/>
      <c r="G19" s="2316"/>
      <c r="H19" s="2316"/>
      <c r="I19" s="2316"/>
      <c r="J19" s="2316"/>
      <c r="K19" s="2316"/>
      <c r="L19" s="2316"/>
      <c r="M19" s="2316"/>
      <c r="N19" s="2316"/>
      <c r="O19" s="2316"/>
      <c r="P19" s="2316"/>
      <c r="Q19" s="2316"/>
      <c r="R19" s="2316"/>
      <c r="S19" s="2316"/>
      <c r="T19" s="2316"/>
      <c r="U19" s="2316"/>
      <c r="V19" s="22"/>
      <c r="W19" s="2287"/>
      <c r="X19" s="2345"/>
      <c r="Y19" s="466">
        <f>'03 食事申込書'!BT118</f>
        <v>0</v>
      </c>
      <c r="Z19" s="467">
        <f>'03 食事申込書'!BV118</f>
        <v>0</v>
      </c>
      <c r="AA19" s="2239">
        <f>'03 食事申込書'!BW118</f>
        <v>0</v>
      </c>
      <c r="AB19" s="2240"/>
      <c r="AC19" s="2240"/>
      <c r="AD19" s="468">
        <f t="shared" si="0"/>
        <v>0</v>
      </c>
      <c r="AE19" s="462">
        <f>'03 食事申込書'!BY118</f>
        <v>0</v>
      </c>
      <c r="AF19" s="2160"/>
      <c r="AG19" s="2158"/>
      <c r="AH19" s="2159"/>
      <c r="AI19" s="2157"/>
      <c r="AJ19" s="2158"/>
      <c r="AK19" s="2159"/>
      <c r="AL19" s="2157"/>
      <c r="AM19" s="2158"/>
      <c r="AN19" s="2159"/>
      <c r="AO19" s="2157"/>
      <c r="AP19" s="2158"/>
      <c r="AQ19" s="2159"/>
      <c r="AR19" s="2157"/>
      <c r="AS19" s="2158"/>
      <c r="AT19" s="2159"/>
      <c r="AU19" s="2555"/>
      <c r="AV19" s="2555"/>
      <c r="AW19" s="2555"/>
      <c r="AX19" s="2564"/>
      <c r="AY19" s="2564"/>
      <c r="AZ19" s="2565"/>
      <c r="BA19" s="465">
        <f>IF('03 食事申込書'!BY118=AF19+AL19+AI19+AO19+AR19+AU19+AX19,AD19*AE19,"人数を再確認！")</f>
        <v>0</v>
      </c>
      <c r="BB19" s="2316"/>
      <c r="BC19" s="2316"/>
      <c r="BD19" s="2316"/>
      <c r="BE19" s="2316"/>
      <c r="BF19" s="2316"/>
      <c r="BG19" s="2316"/>
      <c r="BH19" s="2316"/>
      <c r="BI19" s="2316"/>
      <c r="BJ19" s="2316"/>
      <c r="BK19" s="2316"/>
      <c r="BL19" s="2316"/>
      <c r="BM19" s="2316"/>
      <c r="BN19" s="2316"/>
      <c r="BO19" s="2316"/>
      <c r="BP19" s="2316"/>
      <c r="BQ19" s="2316"/>
      <c r="BR19" s="2316"/>
      <c r="BS19" s="2316"/>
      <c r="BT19" s="2316"/>
      <c r="BU19" s="2316"/>
      <c r="BV19" s="2316"/>
      <c r="BW19" s="506"/>
      <c r="BX19" s="2287"/>
      <c r="BY19" s="2345"/>
      <c r="BZ19" s="466">
        <f>'03 食事申込書'!DQ118</f>
        <v>0</v>
      </c>
      <c r="CA19" s="467">
        <f>'03 食事申込書'!DS118</f>
        <v>0</v>
      </c>
      <c r="CB19" s="2224">
        <f>'03 食事申込書'!DT118</f>
        <v>0</v>
      </c>
      <c r="CC19" s="2225"/>
      <c r="CD19" s="2225"/>
      <c r="CE19" s="468">
        <f>IF(ISERROR(VLOOKUP(CB19,EY3:EZ58,2,FALSE)),0,VLOOKUP(CB19,EY3:EZ58,2,FALSE))</f>
        <v>0</v>
      </c>
      <c r="CF19" s="462">
        <f>'03 食事申込書'!DV118</f>
        <v>0</v>
      </c>
      <c r="CG19" s="2160"/>
      <c r="CH19" s="2158"/>
      <c r="CI19" s="2159"/>
      <c r="CJ19" s="2157"/>
      <c r="CK19" s="2158"/>
      <c r="CL19" s="2159"/>
      <c r="CM19" s="2157"/>
      <c r="CN19" s="2158"/>
      <c r="CO19" s="2159"/>
      <c r="CP19" s="2157"/>
      <c r="CQ19" s="2158"/>
      <c r="CR19" s="2159"/>
      <c r="CS19" s="2157"/>
      <c r="CT19" s="2158"/>
      <c r="CU19" s="2159"/>
      <c r="CV19" s="469"/>
      <c r="CW19" s="470"/>
      <c r="CX19" s="817">
        <f>IF('03 食事申込書'!DV118=CG19+CM19+CJ19+CP19+CS19+CV19+CW19,CE19*CF19,"人数を再確認！")</f>
        <v>0</v>
      </c>
      <c r="CY19" s="19"/>
      <c r="CZ19" s="19"/>
      <c r="DA19" s="19"/>
      <c r="DB19" s="23" t="s">
        <v>2905</v>
      </c>
      <c r="DC19" s="903">
        <v>760</v>
      </c>
      <c r="DD19" s="19"/>
      <c r="DE19" s="84"/>
      <c r="DF19" s="84"/>
      <c r="DG19" s="84"/>
      <c r="DH19" s="83"/>
      <c r="DI19" s="83"/>
      <c r="DJ19" s="83"/>
      <c r="DK19" s="83"/>
      <c r="DL19" s="83"/>
      <c r="DM19" s="83"/>
      <c r="DN19" s="83"/>
      <c r="DO19" s="83"/>
      <c r="DP19" s="83"/>
      <c r="DQ19" s="83"/>
      <c r="DR19" s="83"/>
      <c r="DS19" s="83"/>
      <c r="DT19" s="83"/>
      <c r="DU19" s="83"/>
      <c r="DV19" s="83"/>
      <c r="DW19" s="83"/>
      <c r="DX19" s="83"/>
      <c r="DY19" s="83"/>
      <c r="DZ19" s="83"/>
      <c r="EA19" s="83"/>
    </row>
    <row r="20" spans="1:131" ht="27" customHeight="1" thickBot="1">
      <c r="A20" s="2316"/>
      <c r="B20" s="2316"/>
      <c r="C20" s="2316"/>
      <c r="D20" s="2316"/>
      <c r="E20" s="2316"/>
      <c r="F20" s="2316"/>
      <c r="G20" s="2316"/>
      <c r="H20" s="2316"/>
      <c r="I20" s="2316"/>
      <c r="J20" s="2316"/>
      <c r="K20" s="2316"/>
      <c r="L20" s="2316"/>
      <c r="M20" s="2316"/>
      <c r="N20" s="2316"/>
      <c r="O20" s="2316"/>
      <c r="P20" s="2316"/>
      <c r="Q20" s="2316"/>
      <c r="R20" s="2316"/>
      <c r="S20" s="2316"/>
      <c r="T20" s="2316"/>
      <c r="U20" s="2316"/>
      <c r="V20" s="22"/>
      <c r="W20" s="2287"/>
      <c r="X20" s="2345"/>
      <c r="Y20" s="919">
        <f>'03 食事申込書'!BT119</f>
        <v>0</v>
      </c>
      <c r="Z20" s="920">
        <f>'03 食事申込書'!BV119</f>
        <v>0</v>
      </c>
      <c r="AA20" s="2298">
        <f>'03 食事申込書'!BW119</f>
        <v>0</v>
      </c>
      <c r="AB20" s="2299"/>
      <c r="AC20" s="2299"/>
      <c r="AD20" s="921">
        <f t="shared" si="0"/>
        <v>0</v>
      </c>
      <c r="AE20" s="937">
        <f>'03 食事申込書'!BY119</f>
        <v>0</v>
      </c>
      <c r="AF20" s="2232"/>
      <c r="AG20" s="2182"/>
      <c r="AH20" s="2183"/>
      <c r="AI20" s="2181"/>
      <c r="AJ20" s="2182"/>
      <c r="AK20" s="2183"/>
      <c r="AL20" s="2181"/>
      <c r="AM20" s="2182"/>
      <c r="AN20" s="2183"/>
      <c r="AO20" s="2181"/>
      <c r="AP20" s="2182"/>
      <c r="AQ20" s="2183"/>
      <c r="AR20" s="2181"/>
      <c r="AS20" s="2182"/>
      <c r="AT20" s="2183"/>
      <c r="AU20" s="2560"/>
      <c r="AV20" s="2560"/>
      <c r="AW20" s="2560"/>
      <c r="AX20" s="2566"/>
      <c r="AY20" s="2566"/>
      <c r="AZ20" s="2567"/>
      <c r="BA20" s="465">
        <f>IF('03 食事申込書'!BY119=AF20+AL20+AI20+AO20+AR20+AU20+AX20,AD20*AE20,"人数を再確認！")</f>
        <v>0</v>
      </c>
      <c r="BB20" s="2316"/>
      <c r="BC20" s="2316"/>
      <c r="BD20" s="2316"/>
      <c r="BE20" s="2316"/>
      <c r="BF20" s="2316"/>
      <c r="BG20" s="2316"/>
      <c r="BH20" s="2316"/>
      <c r="BI20" s="2316"/>
      <c r="BJ20" s="2316"/>
      <c r="BK20" s="2316"/>
      <c r="BL20" s="2316"/>
      <c r="BM20" s="2316"/>
      <c r="BN20" s="2316"/>
      <c r="BO20" s="2316"/>
      <c r="BP20" s="2316"/>
      <c r="BQ20" s="2316"/>
      <c r="BR20" s="2316"/>
      <c r="BS20" s="2316"/>
      <c r="BT20" s="2316"/>
      <c r="BU20" s="2316"/>
      <c r="BV20" s="2316"/>
      <c r="BW20" s="506"/>
      <c r="BX20" s="2287"/>
      <c r="BY20" s="2345"/>
      <c r="BZ20" s="473">
        <f>'03 食事申込書'!DQ119</f>
        <v>0</v>
      </c>
      <c r="CA20" s="474">
        <f>'03 食事申込書'!DS119</f>
        <v>0</v>
      </c>
      <c r="CB20" s="2537">
        <f>'03 食事申込書'!DT119</f>
        <v>0</v>
      </c>
      <c r="CC20" s="2538"/>
      <c r="CD20" s="2538"/>
      <c r="CE20" s="475">
        <f>IF(ISERROR(VLOOKUP(CB20,EY3:EZ58,2,FALSE)),0,VLOOKUP(CB20,EY3:EZ58,2,FALSE))</f>
        <v>0</v>
      </c>
      <c r="CF20" s="476">
        <f>'03 食事申込書'!DV119</f>
        <v>0</v>
      </c>
      <c r="CG20" s="2160"/>
      <c r="CH20" s="2158"/>
      <c r="CI20" s="2159"/>
      <c r="CJ20" s="2157"/>
      <c r="CK20" s="2158"/>
      <c r="CL20" s="2159"/>
      <c r="CM20" s="2157"/>
      <c r="CN20" s="2158"/>
      <c r="CO20" s="2159"/>
      <c r="CP20" s="2157"/>
      <c r="CQ20" s="2158"/>
      <c r="CR20" s="2159"/>
      <c r="CS20" s="2157"/>
      <c r="CT20" s="2158"/>
      <c r="CU20" s="2159"/>
      <c r="CV20" s="469"/>
      <c r="CW20" s="470"/>
      <c r="CX20" s="818">
        <f>IF('03 食事申込書'!DV119=CG20+CM20+CJ20+CP20+CS20+CV20+CW20,CE20*CF20,"人数を再確認！")</f>
        <v>0</v>
      </c>
      <c r="CY20" s="19"/>
      <c r="CZ20" s="19"/>
      <c r="DA20" s="19"/>
      <c r="DB20" s="23" t="s">
        <v>2906</v>
      </c>
      <c r="DC20" s="903">
        <v>800</v>
      </c>
      <c r="DD20" s="914"/>
      <c r="DE20" s="84"/>
      <c r="DF20" s="84"/>
      <c r="DG20" s="84"/>
      <c r="DH20" s="83"/>
      <c r="DI20" s="83"/>
      <c r="DJ20" s="83"/>
      <c r="DK20" s="83"/>
      <c r="DL20" s="83"/>
      <c r="DM20" s="83"/>
      <c r="DN20" s="83"/>
      <c r="DO20" s="83"/>
      <c r="DP20" s="83"/>
      <c r="DQ20" s="83"/>
      <c r="DR20" s="83"/>
      <c r="DS20" s="83"/>
      <c r="DT20" s="83"/>
      <c r="DU20" s="83"/>
      <c r="DV20" s="83"/>
      <c r="DW20" s="83"/>
      <c r="DX20" s="83"/>
      <c r="DY20" s="83"/>
      <c r="DZ20" s="83"/>
      <c r="EA20" s="83"/>
    </row>
    <row r="21" spans="1:131" ht="27" customHeight="1" thickTop="1" thickBot="1">
      <c r="A21" s="2226" t="s">
        <v>1389</v>
      </c>
      <c r="B21" s="2322" t="s">
        <v>219</v>
      </c>
      <c r="C21" s="2323"/>
      <c r="D21" s="2323"/>
      <c r="E21" s="2323"/>
      <c r="F21" s="2323"/>
      <c r="G21" s="2324"/>
      <c r="H21" s="390" t="s">
        <v>177</v>
      </c>
      <c r="I21" s="2300" t="s">
        <v>178</v>
      </c>
      <c r="J21" s="2302" t="s">
        <v>1375</v>
      </c>
      <c r="K21" s="2303"/>
      <c r="L21" s="391" t="s">
        <v>1374</v>
      </c>
      <c r="M21" s="392" t="s">
        <v>1373</v>
      </c>
      <c r="N21" s="393" t="s">
        <v>220</v>
      </c>
      <c r="O21" s="393" t="s">
        <v>1376</v>
      </c>
      <c r="P21" s="2312" t="s">
        <v>1377</v>
      </c>
      <c r="Q21" s="2313"/>
      <c r="R21" s="2312" t="s">
        <v>1378</v>
      </c>
      <c r="S21" s="2313"/>
      <c r="T21" s="2314" t="s">
        <v>179</v>
      </c>
      <c r="U21" s="2315"/>
      <c r="V21" s="22"/>
      <c r="W21" s="2287"/>
      <c r="X21" s="2346"/>
      <c r="Y21" s="2335" t="s">
        <v>1388</v>
      </c>
      <c r="Z21" s="2336"/>
      <c r="AA21" s="2336"/>
      <c r="AB21" s="2336"/>
      <c r="AC21" s="2336"/>
      <c r="AD21" s="2336"/>
      <c r="AE21" s="2337"/>
      <c r="AF21" s="2233">
        <f>AF5*AD5+AF6*AD6+AF7*AD7+AF8*AD8+AF9*AD9+AF10*AD10+AF11*AD11+AF12*AD12+AF13*AD13+AF14*AD14+AF15*AD15+AF16*AD16+AF17*AD17+AF18*AD18+AF19*AD19+AF20*AD20</f>
        <v>0</v>
      </c>
      <c r="AG21" s="2234"/>
      <c r="AH21" s="2235"/>
      <c r="AI21" s="2233">
        <f>AI5*AD5+AI6*AD6+AI7*AD7+AI8*AD8+AI9*AD9+AI10*AD10+AI11*AD11+AI12*AD12+AI13*AD13+AI14*AD14+AI15*AD15+AI16*AD16+AI17*AD17+AI18*AD18+AI19*AD19+AI20*AD20</f>
        <v>0</v>
      </c>
      <c r="AJ21" s="2234"/>
      <c r="AK21" s="2235"/>
      <c r="AL21" s="2233">
        <f>AL5*$AD$5+AL6*$AD$6+AL7*$AD$7+AL8*$AD$8+AL9*$AD$9+AL10*$AD$10+AL11*$AD$11+AL12*$AD$12+AL13*$AD$13+AL14*$AD$14+AL15*$AD$15+AL16*$AD$16+AL17*$AD$17+AL18*$AD$18+AL19*$AD$19+AL20*$AD$20</f>
        <v>0</v>
      </c>
      <c r="AM21" s="2234"/>
      <c r="AN21" s="2235"/>
      <c r="AO21" s="2233">
        <f>AO5*$AD$5+AO6*$AD$6+AO7*$AD$7+AO8*$AD$8+AO9*$AD$9+AO10*$AD$10+AO11*$AD$11+AO12*$AD$12+AO13*$AD$13+AO14*$AD$14+AO15*$AD$15+AO16*$AD$16+AO17*$AD$17+AO18*$AD$18+AO19*$AD$19+AO20*$AD$20</f>
        <v>0</v>
      </c>
      <c r="AP21" s="2234"/>
      <c r="AQ21" s="2235"/>
      <c r="AR21" s="2233">
        <f>AR5*$AD$5+AR6*$AD$6+AR7*$AD$7+AR8*$AD$8+AR9*$AD$9+AR10*$AD$10+AR11*$AD$11+AR12*$AD$12+AR13*$AD$13+AR14*$AD$14+AR15*$AD$15+AR16*$AD$16+AR17*$AD$17+AR18*$AD$18+AR19*$AD$19+AR20*$AD$20</f>
        <v>0</v>
      </c>
      <c r="AS21" s="2234"/>
      <c r="AT21" s="2235"/>
      <c r="AU21" s="2568">
        <f>AU5*$AD$5+AU6*$AD$6+AU7*$AD$7+AU8*$AD$8+AU9*$AD$9+AU10*$AD$10+AU11*$AD$11+AU12*$AD$12+AU13*$AD$13+AU14*$AD$14+AU15*$AD$15+AU16*$AD$16+AU17*$AD$17+AU18*$AD$18+AU19*$AD$19+AU20*$AD$20</f>
        <v>0</v>
      </c>
      <c r="AV21" s="2569"/>
      <c r="AW21" s="2570"/>
      <c r="AX21" s="2568">
        <f>AX5*$AD$5+AX6*$AD$6+AX7*$AD$7+AX8*$AD$8+AX9*$AD$9+AX10*$AD$10+AX11*$AD$11+AX12*$AD$12+AX13*$AD$13+AX14*$AD$14+AX15*$AD$15+AX16*$AD$16+AX17*$AD$17+AX18*$AD$18+AX19*$AD$19+AX20*$AD$20</f>
        <v>0</v>
      </c>
      <c r="AY21" s="2569"/>
      <c r="AZ21" s="2570"/>
      <c r="BA21" s="614">
        <f>IF(COUNTIF(BA5:BA20,"人数を再確認！"),"人数を再確認！",SUM(BA5:BA20))</f>
        <v>0</v>
      </c>
      <c r="BB21" s="2226" t="s">
        <v>1389</v>
      </c>
      <c r="BC21" s="2322" t="s">
        <v>219</v>
      </c>
      <c r="BD21" s="2323"/>
      <c r="BE21" s="2323"/>
      <c r="BF21" s="2323"/>
      <c r="BG21" s="2323"/>
      <c r="BH21" s="2324"/>
      <c r="BI21" s="390" t="s">
        <v>177</v>
      </c>
      <c r="BJ21" s="2300" t="s">
        <v>178</v>
      </c>
      <c r="BK21" s="2302" t="s">
        <v>1375</v>
      </c>
      <c r="BL21" s="2303"/>
      <c r="BM21" s="391" t="s">
        <v>1374</v>
      </c>
      <c r="BN21" s="392" t="s">
        <v>1373</v>
      </c>
      <c r="BO21" s="393" t="s">
        <v>220</v>
      </c>
      <c r="BP21" s="393" t="s">
        <v>1376</v>
      </c>
      <c r="BQ21" s="2312" t="s">
        <v>1377</v>
      </c>
      <c r="BR21" s="2313"/>
      <c r="BS21" s="2312" t="s">
        <v>1378</v>
      </c>
      <c r="BT21" s="2313"/>
      <c r="BU21" s="2314" t="s">
        <v>179</v>
      </c>
      <c r="BV21" s="2315"/>
      <c r="BW21" s="501"/>
      <c r="BX21" s="2287"/>
      <c r="BY21" s="2346"/>
      <c r="BZ21" s="2335" t="s">
        <v>1388</v>
      </c>
      <c r="CA21" s="2336"/>
      <c r="CB21" s="2336"/>
      <c r="CC21" s="2336"/>
      <c r="CD21" s="2336"/>
      <c r="CE21" s="2336"/>
      <c r="CF21" s="2337"/>
      <c r="CG21" s="2208">
        <f>CG5*CE5+CG6*CE6+CG7*CE7+CG8*CE8+CG9*CE9+CG10*CE10+CG11*CE11+CG12*CE12+CG13*CE13+CG14*CE14+CG15*CE15+CG16*CE16+CG17*CE17+CG18*CE18+CG19*CE19+CG20*CE20</f>
        <v>231000</v>
      </c>
      <c r="CH21" s="2209"/>
      <c r="CI21" s="2210"/>
      <c r="CJ21" s="2208">
        <f>CJ5*CE5+CJ6*CE6+CJ7*CE7+CJ8*CE8+CJ9*CE9+CJ10*CE10+CJ11*CE11+CJ12*CE12+CJ13*CE13+CJ14*CE14+CJ15*CE15+CJ16*CE16+CJ17*CE17+CJ18*CE18+CJ19*CE19+CJ20*CE20</f>
        <v>19280</v>
      </c>
      <c r="CK21" s="2209"/>
      <c r="CL21" s="2210"/>
      <c r="CM21" s="2208">
        <f>CM5*$AD$5+CM6*$AD$6+CM7*$AD$7+CM8*$AD$8+CM9*$AD$9+CM10*$AD$10+CM11*$AD$11+CM12*$AD$12+CM13*$AD$13+CM14*$AD$14+CM15*$AD$15+CM16*$AD$16+CM17*$AD$17+CM18*$AD$18+CM19*$AD$19+CM20*$AD$20</f>
        <v>0</v>
      </c>
      <c r="CN21" s="2209"/>
      <c r="CO21" s="2210"/>
      <c r="CP21" s="2208">
        <f>CP5*$AD$5+CP6*$AD$6+CP7*$AD$7+CP8*$AD$8+CP9*$AD$9+CP10*$AD$10+CP11*$AD$11+CP12*$AD$12+CP13*$AD$13+CP14*$AD$14+CP15*$AD$15+CP16*$AD$16+CP17*$AD$17+CP18*$AD$18+CP19*$AD$19+CP20*$AD$20</f>
        <v>0</v>
      </c>
      <c r="CQ21" s="2209"/>
      <c r="CR21" s="2210"/>
      <c r="CS21" s="2208">
        <f>CS5*$AD$5+CS6*$AD$6+CS7*$AD$7+CS8*$AD$8+CS9*$AD$9+CS10*$AD$10+CS11*$AD$11+CS12*$AD$12+CS13*$AD$13+CS14*$AD$14+CS15*$AD$15+CS16*$AD$16+CS17*$AD$17+CS18*$AD$18+CS19*$AD$19+CS20*$AD$20</f>
        <v>0</v>
      </c>
      <c r="CT21" s="2209"/>
      <c r="CU21" s="2210"/>
      <c r="CV21" s="477">
        <f>CV5*$AD$5+CV6*$AD$6+CV7*$AD$7+CV8*$AD$8+CV9*$AD$9+CV10*$AD$10+CV11*$AD$11+CV12*$AD$12+CV13*$AD$13+CV14*$AD$14+CV15*$AD$15+CV16*$AD$16+CV17*$AD$17+CV18*$AD$18+CV19*$AD$19+CV20*$AD$20</f>
        <v>0</v>
      </c>
      <c r="CW21" s="477">
        <f>CW5*$AD$5+CW6*$AD$6+CW7*$AD$7+CW8*$AD$8+CW9*$AD$9+CW10*$AD$10+CW11*$AD$11+CW12*$AD$12+CW13*$AD$13+CW14*$AD$14+CW15*$AD$15+CW16*$AD$16+CW17*$AD$17+CW18*$AD$18+CW19*$AD$19+CW20*$AD$20</f>
        <v>0</v>
      </c>
      <c r="CX21" s="819">
        <f>SUM(CX5:CX20)</f>
        <v>255700</v>
      </c>
      <c r="CY21" s="19"/>
      <c r="CZ21" s="19"/>
      <c r="DA21" s="19"/>
      <c r="DB21" s="23" t="s">
        <v>2907</v>
      </c>
      <c r="DC21" s="903">
        <v>540</v>
      </c>
      <c r="DD21" s="914"/>
      <c r="DE21" s="84"/>
      <c r="DF21" s="84"/>
      <c r="DG21" s="84"/>
      <c r="DH21" s="83"/>
      <c r="DI21" s="83"/>
      <c r="DJ21" s="83"/>
      <c r="DK21" s="83"/>
      <c r="DL21" s="83"/>
      <c r="DM21" s="83"/>
      <c r="DN21" s="83"/>
      <c r="DO21" s="83"/>
      <c r="DP21" s="83"/>
      <c r="DQ21" s="83"/>
      <c r="DR21" s="83"/>
      <c r="DS21" s="83"/>
      <c r="DT21" s="83"/>
      <c r="DU21" s="83"/>
      <c r="DV21" s="83"/>
      <c r="DW21" s="83"/>
      <c r="DX21" s="83"/>
      <c r="DY21" s="83"/>
      <c r="DZ21" s="83"/>
      <c r="EA21" s="83"/>
    </row>
    <row r="22" spans="1:131" ht="27" customHeight="1" thickTop="1" thickBot="1">
      <c r="A22" s="2227"/>
      <c r="B22" s="2325"/>
      <c r="C22" s="2326"/>
      <c r="D22" s="2326"/>
      <c r="E22" s="2326"/>
      <c r="F22" s="2326"/>
      <c r="G22" s="2327"/>
      <c r="H22" s="394" t="s">
        <v>187</v>
      </c>
      <c r="I22" s="2301"/>
      <c r="J22" s="2324" t="s">
        <v>221</v>
      </c>
      <c r="K22" s="2338"/>
      <c r="L22" s="390" t="s">
        <v>188</v>
      </c>
      <c r="M22" s="390" t="s">
        <v>1379</v>
      </c>
      <c r="N22" s="390" t="s">
        <v>223</v>
      </c>
      <c r="O22" s="390" t="s">
        <v>188</v>
      </c>
      <c r="P22" s="2338" t="s">
        <v>222</v>
      </c>
      <c r="Q22" s="2338"/>
      <c r="R22" s="2338" t="s">
        <v>224</v>
      </c>
      <c r="S22" s="2338"/>
      <c r="T22" s="2339" t="s">
        <v>190</v>
      </c>
      <c r="U22" s="2340"/>
      <c r="V22" s="22"/>
      <c r="W22" s="2287"/>
      <c r="X22" s="2347" t="s">
        <v>226</v>
      </c>
      <c r="Y22" s="2341" t="s">
        <v>227</v>
      </c>
      <c r="Z22" s="2342"/>
      <c r="AA22" s="2342"/>
      <c r="AB22" s="2342"/>
      <c r="AC22" s="2343"/>
      <c r="AD22" s="487">
        <v>280</v>
      </c>
      <c r="AE22" s="478">
        <f>I37</f>
        <v>0</v>
      </c>
      <c r="AF22" s="2238"/>
      <c r="AG22" s="2185"/>
      <c r="AH22" s="2186"/>
      <c r="AI22" s="2184"/>
      <c r="AJ22" s="2185"/>
      <c r="AK22" s="2186"/>
      <c r="AL22" s="2184"/>
      <c r="AM22" s="2185"/>
      <c r="AN22" s="2186"/>
      <c r="AO22" s="2524"/>
      <c r="AP22" s="2525"/>
      <c r="AQ22" s="2526"/>
      <c r="AR22" s="2184"/>
      <c r="AS22" s="2185"/>
      <c r="AT22" s="2186"/>
      <c r="AU22" s="2184"/>
      <c r="AV22" s="2185"/>
      <c r="AW22" s="2186"/>
      <c r="AX22" s="2184"/>
      <c r="AY22" s="2185"/>
      <c r="AZ22" s="2576"/>
      <c r="BA22" s="479">
        <f t="shared" ref="BA22:BA30" si="1">IF(AE22=AF22+AI22+AR22+AL22+AO22+AU22+AX22,AE22*AD22,"数量を再確認！")</f>
        <v>0</v>
      </c>
      <c r="BB22" s="2227"/>
      <c r="BC22" s="2325"/>
      <c r="BD22" s="2326"/>
      <c r="BE22" s="2326"/>
      <c r="BF22" s="2326"/>
      <c r="BG22" s="2326"/>
      <c r="BH22" s="2327"/>
      <c r="BI22" s="394" t="s">
        <v>187</v>
      </c>
      <c r="BJ22" s="2301"/>
      <c r="BK22" s="2324" t="s">
        <v>189</v>
      </c>
      <c r="BL22" s="2338"/>
      <c r="BM22" s="390" t="s">
        <v>188</v>
      </c>
      <c r="BN22" s="390" t="s">
        <v>1379</v>
      </c>
      <c r="BO22" s="390" t="s">
        <v>189</v>
      </c>
      <c r="BP22" s="390" t="s">
        <v>188</v>
      </c>
      <c r="BQ22" s="2338" t="s">
        <v>189</v>
      </c>
      <c r="BR22" s="2338"/>
      <c r="BS22" s="2338" t="s">
        <v>189</v>
      </c>
      <c r="BT22" s="2338"/>
      <c r="BU22" s="2339" t="s">
        <v>190</v>
      </c>
      <c r="BV22" s="2340"/>
      <c r="BW22" s="501"/>
      <c r="BX22" s="2287"/>
      <c r="BY22" s="2347" t="s">
        <v>226</v>
      </c>
      <c r="BZ22" s="2341" t="s">
        <v>227</v>
      </c>
      <c r="CA22" s="2342"/>
      <c r="CB22" s="2342"/>
      <c r="CC22" s="2342"/>
      <c r="CD22" s="2343"/>
      <c r="CE22" s="487">
        <v>280</v>
      </c>
      <c r="CF22" s="478">
        <f>BJ37</f>
        <v>108</v>
      </c>
      <c r="CG22" s="2238">
        <v>100</v>
      </c>
      <c r="CH22" s="2185"/>
      <c r="CI22" s="2186"/>
      <c r="CJ22" s="2184">
        <v>8</v>
      </c>
      <c r="CK22" s="2185"/>
      <c r="CL22" s="2186"/>
      <c r="CM22" s="2157"/>
      <c r="CN22" s="2158"/>
      <c r="CO22" s="2159"/>
      <c r="CP22" s="2157"/>
      <c r="CQ22" s="2158"/>
      <c r="CR22" s="2159"/>
      <c r="CS22" s="2157"/>
      <c r="CT22" s="2158"/>
      <c r="CU22" s="2159"/>
      <c r="CV22" s="469"/>
      <c r="CW22" s="470"/>
      <c r="CX22" s="479">
        <f>IF(CF22=CG22+CJ22+CS22+CM22+CP22+CV22+CW22,CF22*CE22,"数量を再確認！")</f>
        <v>30240</v>
      </c>
      <c r="CY22" s="19"/>
      <c r="CZ22" s="19"/>
      <c r="DA22" s="19"/>
      <c r="DB22" s="23" t="s">
        <v>2908</v>
      </c>
      <c r="DC22" s="903">
        <v>630</v>
      </c>
      <c r="DD22" s="914"/>
      <c r="DE22" s="18"/>
      <c r="DF22" s="19"/>
      <c r="DG22" s="84"/>
      <c r="DH22" s="83"/>
      <c r="DI22" s="83"/>
      <c r="DJ22" s="83"/>
      <c r="DK22" s="83"/>
      <c r="DL22" s="83"/>
      <c r="DM22" s="83"/>
      <c r="DN22" s="83"/>
      <c r="DO22" s="83"/>
      <c r="DP22" s="83"/>
      <c r="DQ22" s="83"/>
      <c r="DR22" s="83"/>
      <c r="DS22" s="83"/>
      <c r="DT22" s="83"/>
      <c r="DU22" s="83"/>
      <c r="DV22" s="83"/>
      <c r="DW22" s="83"/>
      <c r="DX22" s="83"/>
      <c r="DY22" s="83"/>
      <c r="DZ22" s="83"/>
      <c r="EA22" s="83"/>
    </row>
    <row r="23" spans="1:131" ht="27" customHeight="1" thickTop="1">
      <c r="A23" s="2227"/>
      <c r="B23" s="2309" t="s">
        <v>225</v>
      </c>
      <c r="C23" s="2317" t="s">
        <v>552</v>
      </c>
      <c r="D23" s="2318"/>
      <c r="E23" s="2318"/>
      <c r="F23" s="2318"/>
      <c r="G23" s="2319"/>
      <c r="H23" s="395">
        <f>IF(ISERROR(VLOOKUP(C23,DE22:DF23,2,FALSE)),0,VLOOKUP(C23,DE22:DF23,2,FALSE))</f>
        <v>0</v>
      </c>
      <c r="I23" s="635">
        <f>'05 利用者名簿'!BP6+'05 利用者名簿'!BQ6</f>
        <v>0</v>
      </c>
      <c r="J23" s="2320"/>
      <c r="K23" s="2321"/>
      <c r="L23" s="397"/>
      <c r="M23" s="397"/>
      <c r="N23" s="397"/>
      <c r="O23" s="397"/>
      <c r="P23" s="2321"/>
      <c r="Q23" s="2321"/>
      <c r="R23" s="2321"/>
      <c r="S23" s="2332"/>
      <c r="T23" s="2333" t="str">
        <f>IF(I23=J23+L23+M23+N23+O23+P23+R23,"無料","人数を再確認！")</f>
        <v>無料</v>
      </c>
      <c r="U23" s="2334"/>
      <c r="V23" s="22"/>
      <c r="W23" s="2287"/>
      <c r="X23" s="2347"/>
      <c r="Y23" s="2355" t="s">
        <v>493</v>
      </c>
      <c r="Z23" s="2356"/>
      <c r="AA23" s="2356"/>
      <c r="AB23" s="2356"/>
      <c r="AC23" s="2357"/>
      <c r="AD23" s="488">
        <f>IF(ISERROR(VLOOKUP(Y23,DE3:DF15,2,FALSE)),0,VLOOKUP(Y23,DE3:DF15,2,FALSE))</f>
        <v>0</v>
      </c>
      <c r="AE23" s="480">
        <f t="shared" ref="AE23:AE31" si="2">SUM(AF23:AX23)</f>
        <v>0</v>
      </c>
      <c r="AF23" s="2160"/>
      <c r="AG23" s="2158"/>
      <c r="AH23" s="2159"/>
      <c r="AI23" s="2157"/>
      <c r="AJ23" s="2158"/>
      <c r="AK23" s="2159"/>
      <c r="AL23" s="2157"/>
      <c r="AM23" s="2158"/>
      <c r="AN23" s="2159"/>
      <c r="AO23" s="2157"/>
      <c r="AP23" s="2158"/>
      <c r="AQ23" s="2159"/>
      <c r="AR23" s="2157"/>
      <c r="AS23" s="2158"/>
      <c r="AT23" s="2159"/>
      <c r="AU23" s="2157"/>
      <c r="AV23" s="2158"/>
      <c r="AW23" s="2159"/>
      <c r="AX23" s="2577"/>
      <c r="AY23" s="2190"/>
      <c r="AZ23" s="2578"/>
      <c r="BA23" s="479">
        <f t="shared" si="1"/>
        <v>0</v>
      </c>
      <c r="BB23" s="2227"/>
      <c r="BC23" s="2309" t="s">
        <v>225</v>
      </c>
      <c r="BD23" s="2317" t="s">
        <v>552</v>
      </c>
      <c r="BE23" s="2318"/>
      <c r="BF23" s="2318"/>
      <c r="BG23" s="2318"/>
      <c r="BH23" s="2319"/>
      <c r="BI23" s="395">
        <f>IF(ISERROR(VLOOKUP(BD23,FB22:FC23,2,FALSE)),0,VLOOKUP(BD23,FB22:FC23,2,FALSE))</f>
        <v>0</v>
      </c>
      <c r="BJ23" s="396">
        <v>99</v>
      </c>
      <c r="BK23" s="2320">
        <v>99</v>
      </c>
      <c r="BL23" s="2321"/>
      <c r="BM23" s="397"/>
      <c r="BN23" s="397"/>
      <c r="BO23" s="397"/>
      <c r="BP23" s="397"/>
      <c r="BQ23" s="2321"/>
      <c r="BR23" s="2321"/>
      <c r="BS23" s="2321"/>
      <c r="BT23" s="2332"/>
      <c r="BU23" s="2333" t="str">
        <f>IF(BJ23=BK23+BM23+BN23+BO23+BP23+BQ23+BS23,"無料","人数を再確認！")</f>
        <v>無料</v>
      </c>
      <c r="BV23" s="2334"/>
      <c r="BW23" s="501"/>
      <c r="BX23" s="2287"/>
      <c r="BY23" s="2347"/>
      <c r="BZ23" s="2355" t="s">
        <v>493</v>
      </c>
      <c r="CA23" s="2356"/>
      <c r="CB23" s="2356"/>
      <c r="CC23" s="2356"/>
      <c r="CD23" s="2357"/>
      <c r="CE23" s="488">
        <f>IF(ISERROR(VLOOKUP(BZ23,FB3:FC15,2,FALSE)),0,VLOOKUP(BZ23,FB3:FC15,2,FALSE))</f>
        <v>0</v>
      </c>
      <c r="CF23" s="480">
        <f>SUM(CG23:CW23)</f>
        <v>0</v>
      </c>
      <c r="CG23" s="2160"/>
      <c r="CH23" s="2158"/>
      <c r="CI23" s="2159"/>
      <c r="CJ23" s="2157"/>
      <c r="CK23" s="2158"/>
      <c r="CL23" s="2159"/>
      <c r="CM23" s="2157"/>
      <c r="CN23" s="2158"/>
      <c r="CO23" s="2159"/>
      <c r="CP23" s="2157"/>
      <c r="CQ23" s="2158"/>
      <c r="CR23" s="2159"/>
      <c r="CS23" s="2157"/>
      <c r="CT23" s="2158"/>
      <c r="CU23" s="2159"/>
      <c r="CV23" s="469"/>
      <c r="CW23" s="950"/>
      <c r="CX23" s="479">
        <f>IF(CF23=CG23+CJ23+CS23+CM23+CP23+CV23+CW23,CF23*CE23,"数量を再確認！")</f>
        <v>0</v>
      </c>
      <c r="CY23" s="84"/>
      <c r="CZ23" s="19"/>
      <c r="DA23" s="19"/>
      <c r="DB23" s="23" t="s">
        <v>2909</v>
      </c>
      <c r="DC23" s="903">
        <v>670</v>
      </c>
      <c r="DD23" s="914"/>
      <c r="DE23" s="18"/>
      <c r="DF23" s="19"/>
      <c r="DG23" s="84"/>
      <c r="DH23" s="83"/>
      <c r="DI23" s="83"/>
      <c r="DJ23" s="83"/>
      <c r="DK23" s="83"/>
      <c r="DL23" s="83"/>
      <c r="DM23" s="83"/>
      <c r="DN23" s="83"/>
      <c r="DO23" s="83"/>
      <c r="DP23" s="83"/>
      <c r="DQ23" s="83"/>
      <c r="DR23" s="83"/>
      <c r="DS23" s="83"/>
      <c r="DT23" s="83"/>
      <c r="DU23" s="83"/>
      <c r="DV23" s="83"/>
      <c r="DW23" s="83"/>
      <c r="DX23" s="83"/>
      <c r="DY23" s="83"/>
      <c r="DZ23" s="83"/>
      <c r="EA23" s="83"/>
    </row>
    <row r="24" spans="1:131" ht="27" customHeight="1">
      <c r="A24" s="2227"/>
      <c r="B24" s="2310"/>
      <c r="C24" s="2365" t="s">
        <v>490</v>
      </c>
      <c r="D24" s="2366"/>
      <c r="E24" s="2366"/>
      <c r="F24" s="2366"/>
      <c r="G24" s="2367"/>
      <c r="H24" s="398">
        <v>290</v>
      </c>
      <c r="I24" s="399">
        <f>'05 利用者名簿'!BR6+'05 利用者名簿'!BS6</f>
        <v>0</v>
      </c>
      <c r="J24" s="2368"/>
      <c r="K24" s="2369"/>
      <c r="L24" s="400"/>
      <c r="M24" s="400"/>
      <c r="N24" s="400"/>
      <c r="O24" s="400"/>
      <c r="P24" s="2369"/>
      <c r="Q24" s="2369"/>
      <c r="R24" s="2369"/>
      <c r="S24" s="2370"/>
      <c r="T24" s="2371">
        <f>IF(I24=J24+L24+M24+N24+O24+P24+R24,I24*H24,"人数を再確認！")</f>
        <v>0</v>
      </c>
      <c r="U24" s="2372"/>
      <c r="V24" s="22"/>
      <c r="W24" s="2287"/>
      <c r="X24" s="2347"/>
      <c r="Y24" s="2355" t="s">
        <v>493</v>
      </c>
      <c r="Z24" s="2356"/>
      <c r="AA24" s="2356"/>
      <c r="AB24" s="2356"/>
      <c r="AC24" s="2357"/>
      <c r="AD24" s="488">
        <f>IF(ISERROR(VLOOKUP(Y24,DE3:DF15,2,FALSE)),0,VLOOKUP(Y24,DE3:DF15,2,FALSE))</f>
        <v>0</v>
      </c>
      <c r="AE24" s="482">
        <f t="shared" si="2"/>
        <v>0</v>
      </c>
      <c r="AF24" s="2160"/>
      <c r="AG24" s="2158"/>
      <c r="AH24" s="2159"/>
      <c r="AI24" s="2157"/>
      <c r="AJ24" s="2158"/>
      <c r="AK24" s="2159"/>
      <c r="AL24" s="2157"/>
      <c r="AM24" s="2158"/>
      <c r="AN24" s="2159"/>
      <c r="AO24" s="2497"/>
      <c r="AP24" s="2498"/>
      <c r="AQ24" s="2499"/>
      <c r="AR24" s="2157"/>
      <c r="AS24" s="2158"/>
      <c r="AT24" s="2159"/>
      <c r="AU24" s="2157"/>
      <c r="AV24" s="2158"/>
      <c r="AW24" s="2159"/>
      <c r="AX24" s="2577"/>
      <c r="AY24" s="2190"/>
      <c r="AZ24" s="2578"/>
      <c r="BA24" s="479">
        <f t="shared" si="1"/>
        <v>0</v>
      </c>
      <c r="BB24" s="2227"/>
      <c r="BC24" s="2310"/>
      <c r="BD24" s="2365" t="s">
        <v>490</v>
      </c>
      <c r="BE24" s="2366"/>
      <c r="BF24" s="2366"/>
      <c r="BG24" s="2366"/>
      <c r="BH24" s="2367"/>
      <c r="BI24" s="398">
        <v>290</v>
      </c>
      <c r="BJ24" s="399">
        <v>8</v>
      </c>
      <c r="BK24" s="2368"/>
      <c r="BL24" s="2369"/>
      <c r="BM24" s="400"/>
      <c r="BN24" s="400">
        <v>7</v>
      </c>
      <c r="BO24" s="400"/>
      <c r="BP24" s="400"/>
      <c r="BQ24" s="2369">
        <v>1</v>
      </c>
      <c r="BR24" s="2369"/>
      <c r="BS24" s="2369"/>
      <c r="BT24" s="2370"/>
      <c r="BU24" s="2371">
        <f>IF(BJ24=BK24+BM24+BN24+BO24+BP24+BQ24+BS24,BJ24*BI24,"人数を再確認！")</f>
        <v>2320</v>
      </c>
      <c r="BV24" s="2372"/>
      <c r="BW24" s="501"/>
      <c r="BX24" s="2287"/>
      <c r="BY24" s="2347"/>
      <c r="BZ24" s="2355" t="s">
        <v>493</v>
      </c>
      <c r="CA24" s="2356"/>
      <c r="CB24" s="2356"/>
      <c r="CC24" s="2356"/>
      <c r="CD24" s="2357"/>
      <c r="CE24" s="488">
        <f>IF(ISERROR(VLOOKUP(BZ24,FB3:FC15,2,FALSE)),0,VLOOKUP(BZ24,FB3:FC15,2,FALSE))</f>
        <v>0</v>
      </c>
      <c r="CF24" s="482">
        <f>SUM(CG24:CW24)</f>
        <v>0</v>
      </c>
      <c r="CG24" s="2160"/>
      <c r="CH24" s="2158"/>
      <c r="CI24" s="2159"/>
      <c r="CJ24" s="2157"/>
      <c r="CK24" s="2158"/>
      <c r="CL24" s="2159"/>
      <c r="CM24" s="2157"/>
      <c r="CN24" s="2158"/>
      <c r="CO24" s="2159"/>
      <c r="CP24" s="2157"/>
      <c r="CQ24" s="2158"/>
      <c r="CR24" s="2159"/>
      <c r="CS24" s="2157"/>
      <c r="CT24" s="2158"/>
      <c r="CU24" s="2159"/>
      <c r="CV24" s="469"/>
      <c r="CW24" s="950"/>
      <c r="CX24" s="479">
        <f>IF(CF24=CG24+CJ24+CS24+CM24+CP24+CV24+CW24,CF24*CE24,"数量を再確認！")</f>
        <v>0</v>
      </c>
      <c r="CY24" s="84"/>
      <c r="CZ24" s="19"/>
      <c r="DA24" s="19"/>
      <c r="DB24" s="18" t="s">
        <v>228</v>
      </c>
      <c r="DC24" s="19"/>
      <c r="DD24" s="914"/>
      <c r="DE24" s="18"/>
      <c r="DF24" s="19"/>
      <c r="DG24" s="84"/>
      <c r="DH24" s="83"/>
      <c r="DI24" s="83"/>
      <c r="DJ24" s="83"/>
      <c r="DK24" s="83"/>
      <c r="DL24" s="83"/>
      <c r="DM24" s="83"/>
      <c r="DN24" s="83"/>
      <c r="DO24" s="83"/>
      <c r="DP24" s="83"/>
      <c r="DQ24" s="83"/>
      <c r="DR24" s="83"/>
      <c r="DS24" s="83"/>
      <c r="DT24" s="83"/>
      <c r="DU24" s="83"/>
      <c r="DV24" s="83"/>
      <c r="DW24" s="83"/>
      <c r="DX24" s="83"/>
      <c r="DY24" s="83"/>
      <c r="DZ24" s="83"/>
      <c r="EA24" s="83"/>
    </row>
    <row r="25" spans="1:131" ht="27" customHeight="1">
      <c r="A25" s="2227"/>
      <c r="B25" s="2310"/>
      <c r="C25" s="2365" t="s">
        <v>491</v>
      </c>
      <c r="D25" s="2366"/>
      <c r="E25" s="2366"/>
      <c r="F25" s="2366"/>
      <c r="G25" s="2367"/>
      <c r="H25" s="401">
        <v>350</v>
      </c>
      <c r="I25" s="399">
        <f>'05 利用者名簿'!BK70</f>
        <v>0</v>
      </c>
      <c r="J25" s="2368"/>
      <c r="K25" s="2369"/>
      <c r="L25" s="400"/>
      <c r="M25" s="400"/>
      <c r="N25" s="400"/>
      <c r="O25" s="400"/>
      <c r="P25" s="2369"/>
      <c r="Q25" s="2369"/>
      <c r="R25" s="2369"/>
      <c r="S25" s="2370"/>
      <c r="T25" s="2371">
        <f>IF(I25=J25+L25+M25+N25+O25+P25+R25,I25*H25,"人数を再確認！")</f>
        <v>0</v>
      </c>
      <c r="U25" s="2372"/>
      <c r="V25" s="22"/>
      <c r="W25" s="2287"/>
      <c r="X25" s="2347"/>
      <c r="Y25" s="2350" t="s">
        <v>3131</v>
      </c>
      <c r="Z25" s="2351"/>
      <c r="AA25" s="2351"/>
      <c r="AB25" s="2351"/>
      <c r="AC25" s="2352"/>
      <c r="AD25" s="943">
        <v>120</v>
      </c>
      <c r="AE25" s="942">
        <f t="shared" si="2"/>
        <v>0</v>
      </c>
      <c r="AF25" s="2161"/>
      <c r="AG25" s="2162"/>
      <c r="AH25" s="2162"/>
      <c r="AI25" s="2223"/>
      <c r="AJ25" s="2223"/>
      <c r="AK25" s="2223"/>
      <c r="AL25" s="2223"/>
      <c r="AM25" s="2223"/>
      <c r="AN25" s="2223"/>
      <c r="AO25" s="2223"/>
      <c r="AP25" s="2223"/>
      <c r="AQ25" s="2223"/>
      <c r="AR25" s="2223"/>
      <c r="AS25" s="2223"/>
      <c r="AT25" s="2223"/>
      <c r="AU25" s="2157"/>
      <c r="AV25" s="2158"/>
      <c r="AW25" s="2159"/>
      <c r="AX25" s="2577"/>
      <c r="AY25" s="2190"/>
      <c r="AZ25" s="2578"/>
      <c r="BA25" s="949">
        <f t="shared" si="1"/>
        <v>0</v>
      </c>
      <c r="BB25" s="2227"/>
      <c r="BC25" s="2310"/>
      <c r="BD25" s="2365" t="s">
        <v>491</v>
      </c>
      <c r="BE25" s="2366"/>
      <c r="BF25" s="2366"/>
      <c r="BG25" s="2366"/>
      <c r="BH25" s="2367"/>
      <c r="BI25" s="401">
        <v>350</v>
      </c>
      <c r="BJ25" s="399">
        <v>1</v>
      </c>
      <c r="BK25" s="2368"/>
      <c r="BL25" s="2369"/>
      <c r="BM25" s="400"/>
      <c r="BN25" s="400"/>
      <c r="BO25" s="400"/>
      <c r="BP25" s="400">
        <v>1</v>
      </c>
      <c r="BQ25" s="2369"/>
      <c r="BR25" s="2369"/>
      <c r="BS25" s="2369"/>
      <c r="BT25" s="2370"/>
      <c r="BU25" s="2371">
        <f>IF(BJ25=BK25+BM25+BN25+BO25+BP25+BQ25+BS25,BJ25*BI25,"人数を再確認！")</f>
        <v>350</v>
      </c>
      <c r="BV25" s="2372"/>
      <c r="BW25" s="501"/>
      <c r="BX25" s="2287"/>
      <c r="BY25" s="2347"/>
      <c r="BZ25" s="2350" t="s">
        <v>3131</v>
      </c>
      <c r="CA25" s="2351"/>
      <c r="CB25" s="2351"/>
      <c r="CC25" s="2351"/>
      <c r="CD25" s="2352"/>
      <c r="CE25" s="943">
        <v>120</v>
      </c>
      <c r="CF25" s="942">
        <f>SUM(CG25:CW25)</f>
        <v>0</v>
      </c>
      <c r="CG25" s="2160"/>
      <c r="CH25" s="2158"/>
      <c r="CI25" s="2159"/>
      <c r="CJ25" s="2157"/>
      <c r="CK25" s="2158"/>
      <c r="CL25" s="2159"/>
      <c r="CM25" s="2157"/>
      <c r="CN25" s="2158"/>
      <c r="CO25" s="2159"/>
      <c r="CP25" s="2157"/>
      <c r="CQ25" s="2158"/>
      <c r="CR25" s="2159"/>
      <c r="CS25" s="2157"/>
      <c r="CT25" s="2158"/>
      <c r="CU25" s="2159"/>
      <c r="CV25" s="469"/>
      <c r="CW25" s="950"/>
      <c r="CX25" s="949">
        <f>IF(CF25=CG25+CJ25+CS25+CM25+CP25+CV25+CW25,CF25*CE25,"数量を再確認！")</f>
        <v>0</v>
      </c>
      <c r="CY25" s="84"/>
      <c r="CZ25" s="19"/>
      <c r="DA25" s="19"/>
      <c r="DB25" s="23" t="s">
        <v>229</v>
      </c>
      <c r="DC25" s="19">
        <f>DC15-100</f>
        <v>450</v>
      </c>
      <c r="DD25" s="914"/>
      <c r="DE25" s="18"/>
      <c r="DF25" s="19"/>
      <c r="DG25" s="84"/>
      <c r="DH25" s="83"/>
      <c r="DI25" s="83"/>
      <c r="DJ25" s="83"/>
      <c r="DK25" s="83"/>
      <c r="DL25" s="83"/>
      <c r="DM25" s="83"/>
      <c r="DN25" s="83"/>
      <c r="DO25" s="83"/>
      <c r="DP25" s="83"/>
      <c r="DQ25" s="83"/>
      <c r="DR25" s="83"/>
      <c r="DS25" s="83"/>
      <c r="DT25" s="83"/>
      <c r="DU25" s="83"/>
      <c r="DV25" s="83"/>
      <c r="DW25" s="83"/>
      <c r="DX25" s="83"/>
      <c r="DY25" s="83"/>
      <c r="DZ25" s="83"/>
      <c r="EA25" s="83"/>
    </row>
    <row r="26" spans="1:131" ht="27" customHeight="1" thickBot="1">
      <c r="A26" s="2227"/>
      <c r="B26" s="2310"/>
      <c r="C26" s="2386" t="s">
        <v>1382</v>
      </c>
      <c r="D26" s="2387"/>
      <c r="E26" s="2387"/>
      <c r="F26" s="2387"/>
      <c r="G26" s="2387"/>
      <c r="H26" s="402">
        <v>0</v>
      </c>
      <c r="I26" s="399">
        <f>SUM('05 利用者名簿'!BT39:CA39)</f>
        <v>0</v>
      </c>
      <c r="J26" s="2388"/>
      <c r="K26" s="2389"/>
      <c r="L26" s="403"/>
      <c r="M26" s="403"/>
      <c r="N26" s="403"/>
      <c r="O26" s="403"/>
      <c r="P26" s="2389"/>
      <c r="Q26" s="2389"/>
      <c r="R26" s="2389"/>
      <c r="S26" s="2390"/>
      <c r="T26" s="2328" t="str">
        <f>IF(I26=J26+L26+M26+N26+O26+P26+R26,"無料","人数を再確認！")</f>
        <v>無料</v>
      </c>
      <c r="U26" s="2329"/>
      <c r="V26" s="22"/>
      <c r="W26" s="2287"/>
      <c r="X26" s="2347"/>
      <c r="Y26" s="2176" t="s">
        <v>3135</v>
      </c>
      <c r="Z26" s="2177"/>
      <c r="AA26" s="2177"/>
      <c r="AB26" s="2177"/>
      <c r="AC26" s="2178"/>
      <c r="AD26" s="944">
        <v>60</v>
      </c>
      <c r="AE26" s="942">
        <f t="shared" si="2"/>
        <v>0</v>
      </c>
      <c r="AF26" s="2161"/>
      <c r="AG26" s="2162"/>
      <c r="AH26" s="2162"/>
      <c r="AI26" s="2163"/>
      <c r="AJ26" s="2163"/>
      <c r="AK26" s="2163"/>
      <c r="AL26" s="2163"/>
      <c r="AM26" s="2163"/>
      <c r="AN26" s="2163"/>
      <c r="AO26" s="2163"/>
      <c r="AP26" s="2163"/>
      <c r="AQ26" s="2163"/>
      <c r="AR26" s="2163"/>
      <c r="AS26" s="2163"/>
      <c r="AT26" s="2163"/>
      <c r="AU26" s="2157"/>
      <c r="AV26" s="2158"/>
      <c r="AW26" s="2159"/>
      <c r="AX26" s="2577"/>
      <c r="AY26" s="2190"/>
      <c r="AZ26" s="2578"/>
      <c r="BA26" s="949">
        <f t="shared" si="1"/>
        <v>0</v>
      </c>
      <c r="BB26" s="2227"/>
      <c r="BC26" s="2310"/>
      <c r="BD26" s="2386" t="s">
        <v>1382</v>
      </c>
      <c r="BE26" s="2387"/>
      <c r="BF26" s="2387"/>
      <c r="BG26" s="2387"/>
      <c r="BH26" s="2387"/>
      <c r="BI26" s="402">
        <v>0</v>
      </c>
      <c r="BJ26" s="399">
        <v>2</v>
      </c>
      <c r="BK26" s="2388">
        <v>1</v>
      </c>
      <c r="BL26" s="2389"/>
      <c r="BM26" s="403"/>
      <c r="BN26" s="403">
        <v>1</v>
      </c>
      <c r="BO26" s="403"/>
      <c r="BP26" s="403"/>
      <c r="BQ26" s="2389"/>
      <c r="BR26" s="2389"/>
      <c r="BS26" s="2389"/>
      <c r="BT26" s="2390"/>
      <c r="BU26" s="2328" t="str">
        <f>IF(BJ26=BK26+BM26+BN26+BO26+BP26+BQ26+BS26,"無料","人数を再確認！")</f>
        <v>無料</v>
      </c>
      <c r="BV26" s="2329"/>
      <c r="BW26" s="501"/>
      <c r="BX26" s="2287"/>
      <c r="BY26" s="2347"/>
      <c r="BZ26" s="2176" t="s">
        <v>3135</v>
      </c>
      <c r="CA26" s="2177"/>
      <c r="CB26" s="2177"/>
      <c r="CC26" s="2177"/>
      <c r="CD26" s="2178"/>
      <c r="CE26" s="944">
        <v>60</v>
      </c>
      <c r="CF26" s="942">
        <f t="shared" ref="CF26:CF30" si="3">SUM(CG26:CW26)</f>
        <v>108</v>
      </c>
      <c r="CG26" s="2161">
        <v>100</v>
      </c>
      <c r="CH26" s="2162"/>
      <c r="CI26" s="2162"/>
      <c r="CJ26" s="2163">
        <v>8</v>
      </c>
      <c r="CK26" s="2163"/>
      <c r="CL26" s="2163"/>
      <c r="CM26" s="2157"/>
      <c r="CN26" s="2158"/>
      <c r="CO26" s="2159"/>
      <c r="CP26" s="2157"/>
      <c r="CQ26" s="2158"/>
      <c r="CR26" s="2159"/>
      <c r="CS26" s="2157"/>
      <c r="CT26" s="2158"/>
      <c r="CU26" s="2159"/>
      <c r="CV26" s="469"/>
      <c r="CW26" s="950"/>
      <c r="CX26" s="949">
        <f t="shared" ref="CX26:CX30" si="4">IF(CF26=CG26+CJ26+CS26+CM26+CP26+CV26+CW26,CF26*CE26,"数量を再確認！")</f>
        <v>6480</v>
      </c>
      <c r="CY26" s="19"/>
      <c r="CZ26" s="19"/>
      <c r="DA26" s="19"/>
      <c r="DB26" s="23" t="s">
        <v>230</v>
      </c>
      <c r="DC26" s="19">
        <f>DC16-100</f>
        <v>550</v>
      </c>
      <c r="DD26" s="914"/>
      <c r="DE26" s="18"/>
      <c r="DF26" s="19"/>
      <c r="DG26" s="84"/>
      <c r="DH26" s="83"/>
      <c r="DI26" s="83"/>
      <c r="DJ26" s="83"/>
      <c r="DK26" s="83"/>
      <c r="DL26" s="83"/>
      <c r="DM26" s="83"/>
      <c r="DN26" s="83"/>
      <c r="DO26" s="83"/>
      <c r="DP26" s="83"/>
      <c r="DQ26" s="83"/>
      <c r="DR26" s="83"/>
      <c r="DS26" s="83"/>
      <c r="DT26" s="83"/>
      <c r="DU26" s="83"/>
      <c r="DV26" s="83"/>
      <c r="DW26" s="83"/>
      <c r="DX26" s="83"/>
      <c r="DY26" s="83"/>
      <c r="DZ26" s="83"/>
      <c r="EA26" s="83"/>
    </row>
    <row r="27" spans="1:131" ht="27" customHeight="1" thickTop="1">
      <c r="A27" s="2227"/>
      <c r="B27" s="2310"/>
      <c r="C27" s="2391"/>
      <c r="D27" s="2392"/>
      <c r="E27" s="2392"/>
      <c r="F27" s="2392"/>
      <c r="G27" s="2393"/>
      <c r="H27" s="404" t="str">
        <f>IF(C27="","",VLOOKUP(C27,$DE$22:$DF$30,2,FALSE))</f>
        <v/>
      </c>
      <c r="I27" s="405"/>
      <c r="J27" s="2394"/>
      <c r="K27" s="2395"/>
      <c r="L27" s="406"/>
      <c r="M27" s="406"/>
      <c r="N27" s="406"/>
      <c r="O27" s="406"/>
      <c r="P27" s="2395"/>
      <c r="Q27" s="2395"/>
      <c r="R27" s="2396"/>
      <c r="S27" s="2396"/>
      <c r="T27" s="2353"/>
      <c r="U27" s="2354"/>
      <c r="V27" s="22"/>
      <c r="W27" s="2287"/>
      <c r="X27" s="2347"/>
      <c r="Y27" s="2350" t="s">
        <v>3129</v>
      </c>
      <c r="Z27" s="2351"/>
      <c r="AA27" s="2351"/>
      <c r="AB27" s="2351"/>
      <c r="AC27" s="2352"/>
      <c r="AD27" s="943">
        <v>100</v>
      </c>
      <c r="AE27" s="942">
        <f t="shared" si="2"/>
        <v>0</v>
      </c>
      <c r="AF27" s="2165"/>
      <c r="AG27" s="2166"/>
      <c r="AH27" s="2167"/>
      <c r="AI27" s="2168"/>
      <c r="AJ27" s="2166"/>
      <c r="AK27" s="2167"/>
      <c r="AL27" s="2168"/>
      <c r="AM27" s="2166"/>
      <c r="AN27" s="2167"/>
      <c r="AO27" s="2168"/>
      <c r="AP27" s="2166"/>
      <c r="AQ27" s="2167"/>
      <c r="AR27" s="2168"/>
      <c r="AS27" s="2166"/>
      <c r="AT27" s="2167"/>
      <c r="AU27" s="2157"/>
      <c r="AV27" s="2158"/>
      <c r="AW27" s="2159"/>
      <c r="AX27" s="2577"/>
      <c r="AY27" s="2190"/>
      <c r="AZ27" s="2578"/>
      <c r="BA27" s="949">
        <f t="shared" si="1"/>
        <v>0</v>
      </c>
      <c r="BB27" s="2227"/>
      <c r="BC27" s="2310"/>
      <c r="BD27" s="2391"/>
      <c r="BE27" s="2392"/>
      <c r="BF27" s="2392"/>
      <c r="BG27" s="2392"/>
      <c r="BH27" s="2393"/>
      <c r="BI27" s="404" t="str">
        <f>IF(BD27="","",VLOOKUP(BD27,$DE$22:$DF$30,2,FALSE))</f>
        <v/>
      </c>
      <c r="BJ27" s="405"/>
      <c r="BK27" s="2394"/>
      <c r="BL27" s="2395"/>
      <c r="BM27" s="406"/>
      <c r="BN27" s="406"/>
      <c r="BO27" s="406"/>
      <c r="BP27" s="406"/>
      <c r="BQ27" s="2395"/>
      <c r="BR27" s="2395"/>
      <c r="BS27" s="2396"/>
      <c r="BT27" s="2396"/>
      <c r="BU27" s="2353"/>
      <c r="BV27" s="2354"/>
      <c r="BW27" s="501"/>
      <c r="BX27" s="2287"/>
      <c r="BY27" s="2347"/>
      <c r="BZ27" s="2350" t="s">
        <v>3129</v>
      </c>
      <c r="CA27" s="2351"/>
      <c r="CB27" s="2351"/>
      <c r="CC27" s="2351"/>
      <c r="CD27" s="2352"/>
      <c r="CE27" s="943">
        <v>100</v>
      </c>
      <c r="CF27" s="942">
        <f t="shared" si="3"/>
        <v>0</v>
      </c>
      <c r="CG27" s="2160"/>
      <c r="CH27" s="2158"/>
      <c r="CI27" s="2159"/>
      <c r="CJ27" s="2157"/>
      <c r="CK27" s="2158"/>
      <c r="CL27" s="2159"/>
      <c r="CM27" s="2157"/>
      <c r="CN27" s="2158"/>
      <c r="CO27" s="2159"/>
      <c r="CP27" s="2157"/>
      <c r="CQ27" s="2158"/>
      <c r="CR27" s="2159"/>
      <c r="CS27" s="2157"/>
      <c r="CT27" s="2158"/>
      <c r="CU27" s="2159"/>
      <c r="CV27" s="469"/>
      <c r="CW27" s="469"/>
      <c r="CX27" s="946">
        <f t="shared" si="4"/>
        <v>0</v>
      </c>
      <c r="CY27" s="19"/>
      <c r="CZ27" s="19"/>
      <c r="DA27" s="19"/>
      <c r="DB27" s="23" t="s">
        <v>231</v>
      </c>
      <c r="DC27" s="19">
        <f>DC17-100</f>
        <v>590</v>
      </c>
      <c r="DD27" s="914"/>
      <c r="DE27" s="18"/>
      <c r="DF27" s="19"/>
      <c r="DG27" s="84"/>
      <c r="DH27" s="83"/>
      <c r="DI27" s="83"/>
      <c r="DJ27" s="83"/>
      <c r="DK27" s="83"/>
      <c r="DL27" s="83"/>
      <c r="DM27" s="83"/>
      <c r="DN27" s="83"/>
      <c r="DO27" s="83"/>
      <c r="DP27" s="83"/>
      <c r="DQ27" s="83"/>
      <c r="DR27" s="83"/>
      <c r="DS27" s="83"/>
      <c r="DT27" s="83"/>
      <c r="DU27" s="83"/>
      <c r="DV27" s="83"/>
      <c r="DW27" s="83"/>
      <c r="DX27" s="83"/>
      <c r="DY27" s="83"/>
      <c r="DZ27" s="83"/>
      <c r="EA27" s="83"/>
    </row>
    <row r="28" spans="1:131" ht="27" customHeight="1" thickBot="1">
      <c r="A28" s="2227"/>
      <c r="B28" s="2310"/>
      <c r="C28" s="2330"/>
      <c r="D28" s="2331"/>
      <c r="E28" s="2331"/>
      <c r="F28" s="2331"/>
      <c r="G28" s="2331"/>
      <c r="H28" s="407"/>
      <c r="I28" s="408"/>
      <c r="J28" s="2349"/>
      <c r="K28" s="2180"/>
      <c r="L28" s="409"/>
      <c r="M28" s="410"/>
      <c r="N28" s="409"/>
      <c r="O28" s="410"/>
      <c r="P28" s="2179"/>
      <c r="Q28" s="2180"/>
      <c r="R28" s="2179"/>
      <c r="S28" s="2180"/>
      <c r="T28" s="2304"/>
      <c r="U28" s="2305"/>
      <c r="V28" s="22"/>
      <c r="W28" s="2287"/>
      <c r="X28" s="2347"/>
      <c r="Y28" s="2295" t="s">
        <v>3130</v>
      </c>
      <c r="Z28" s="2293"/>
      <c r="AA28" s="2293"/>
      <c r="AB28" s="2293"/>
      <c r="AC28" s="2294"/>
      <c r="AD28" s="934">
        <v>200</v>
      </c>
      <c r="AE28" s="942">
        <f t="shared" si="2"/>
        <v>0</v>
      </c>
      <c r="AF28" s="2169"/>
      <c r="AG28" s="2150"/>
      <c r="AH28" s="2151"/>
      <c r="AI28" s="2149"/>
      <c r="AJ28" s="2150"/>
      <c r="AK28" s="2151"/>
      <c r="AL28" s="2149"/>
      <c r="AM28" s="2150"/>
      <c r="AN28" s="2151"/>
      <c r="AO28" s="2149"/>
      <c r="AP28" s="2150"/>
      <c r="AQ28" s="2151"/>
      <c r="AR28" s="2149"/>
      <c r="AS28" s="2150"/>
      <c r="AT28" s="2151"/>
      <c r="AU28" s="2157"/>
      <c r="AV28" s="2158"/>
      <c r="AW28" s="2159"/>
      <c r="AX28" s="2577"/>
      <c r="AY28" s="2190"/>
      <c r="AZ28" s="2578"/>
      <c r="BA28" s="949">
        <f t="shared" si="1"/>
        <v>0</v>
      </c>
      <c r="BB28" s="2227"/>
      <c r="BC28" s="2310"/>
      <c r="BD28" s="2330"/>
      <c r="BE28" s="2331"/>
      <c r="BF28" s="2331"/>
      <c r="BG28" s="2331"/>
      <c r="BH28" s="2331"/>
      <c r="BI28" s="407"/>
      <c r="BJ28" s="408"/>
      <c r="BK28" s="2349"/>
      <c r="BL28" s="2180"/>
      <c r="BM28" s="409"/>
      <c r="BN28" s="410"/>
      <c r="BO28" s="409"/>
      <c r="BP28" s="410"/>
      <c r="BQ28" s="2179"/>
      <c r="BR28" s="2180"/>
      <c r="BS28" s="2179"/>
      <c r="BT28" s="2180"/>
      <c r="BU28" s="2304"/>
      <c r="BV28" s="2305"/>
      <c r="BW28" s="501"/>
      <c r="BX28" s="2287"/>
      <c r="BY28" s="2347"/>
      <c r="BZ28" s="2295" t="s">
        <v>3130</v>
      </c>
      <c r="CA28" s="2293"/>
      <c r="CB28" s="2293"/>
      <c r="CC28" s="2293"/>
      <c r="CD28" s="2294"/>
      <c r="CE28" s="934">
        <v>200</v>
      </c>
      <c r="CF28" s="942">
        <f t="shared" si="3"/>
        <v>0</v>
      </c>
      <c r="CG28" s="2160"/>
      <c r="CH28" s="2158"/>
      <c r="CI28" s="2159"/>
      <c r="CJ28" s="2157"/>
      <c r="CK28" s="2158"/>
      <c r="CL28" s="2159"/>
      <c r="CM28" s="2157"/>
      <c r="CN28" s="2158"/>
      <c r="CO28" s="2159"/>
      <c r="CP28" s="2157"/>
      <c r="CQ28" s="2158"/>
      <c r="CR28" s="2159"/>
      <c r="CS28" s="2157"/>
      <c r="CT28" s="2158"/>
      <c r="CU28" s="2159"/>
      <c r="CV28" s="469"/>
      <c r="CW28" s="469"/>
      <c r="CX28" s="946">
        <f t="shared" si="4"/>
        <v>0</v>
      </c>
      <c r="CY28" s="19"/>
      <c r="CZ28" s="19"/>
      <c r="DA28" s="19"/>
      <c r="DB28" s="23"/>
      <c r="DC28" s="19"/>
      <c r="DD28" s="914"/>
      <c r="DE28" s="18"/>
      <c r="DF28" s="19"/>
      <c r="DG28" s="84"/>
      <c r="DH28" s="83"/>
      <c r="DI28" s="83"/>
      <c r="DJ28" s="83"/>
      <c r="DK28" s="83"/>
      <c r="DL28" s="83"/>
      <c r="DM28" s="83"/>
      <c r="DN28" s="83"/>
      <c r="DO28" s="83"/>
      <c r="DP28" s="83"/>
      <c r="DQ28" s="83"/>
      <c r="DR28" s="83"/>
      <c r="DS28" s="83"/>
      <c r="DT28" s="83"/>
      <c r="DU28" s="83"/>
      <c r="DV28" s="83"/>
      <c r="DW28" s="83"/>
      <c r="DX28" s="83"/>
      <c r="DY28" s="83"/>
      <c r="DZ28" s="83"/>
      <c r="EA28" s="83"/>
    </row>
    <row r="29" spans="1:131" ht="27" customHeight="1" thickTop="1" thickBot="1">
      <c r="A29" s="2228"/>
      <c r="B29" s="2311"/>
      <c r="C29" s="2397" t="s">
        <v>553</v>
      </c>
      <c r="D29" s="2398"/>
      <c r="E29" s="2398"/>
      <c r="F29" s="2398"/>
      <c r="G29" s="2398"/>
      <c r="H29" s="2399"/>
      <c r="I29" s="411">
        <f>SUM(I23:I26)</f>
        <v>0</v>
      </c>
      <c r="J29" s="2296">
        <f>J24*$H$24+J25*$H$25</f>
        <v>0</v>
      </c>
      <c r="K29" s="2297"/>
      <c r="L29" s="412">
        <f>L24*$H$24+L25*$H$25</f>
        <v>0</v>
      </c>
      <c r="M29" s="412">
        <f>M24*$H$24+M25*$H$25</f>
        <v>0</v>
      </c>
      <c r="N29" s="413">
        <f>N24*$H$24+N25*$H$25</f>
        <v>0</v>
      </c>
      <c r="O29" s="413">
        <f>O24*$H$24+O25*$H$25</f>
        <v>0</v>
      </c>
      <c r="P29" s="2233">
        <f>P24*$H$24+P25*$H$25</f>
        <v>0</v>
      </c>
      <c r="Q29" s="2235"/>
      <c r="R29" s="2233">
        <f>R24*$H$24+R25*$H$25</f>
        <v>0</v>
      </c>
      <c r="S29" s="2235"/>
      <c r="T29" s="2360">
        <f>IF(COUNTIF(T23:U26,"人数を再確認！"),"人数を再確認！",SUM(T23:U26))</f>
        <v>0</v>
      </c>
      <c r="U29" s="2361"/>
      <c r="V29" s="610"/>
      <c r="W29" s="2287"/>
      <c r="X29" s="2347"/>
      <c r="Y29" s="2364" t="s">
        <v>3202</v>
      </c>
      <c r="Z29" s="2351"/>
      <c r="AA29" s="2351"/>
      <c r="AB29" s="2351"/>
      <c r="AC29" s="2352"/>
      <c r="AD29" s="943">
        <v>3500</v>
      </c>
      <c r="AE29" s="942">
        <f t="shared" si="2"/>
        <v>0</v>
      </c>
      <c r="AF29" s="2169"/>
      <c r="AG29" s="2150"/>
      <c r="AH29" s="2151"/>
      <c r="AI29" s="2149"/>
      <c r="AJ29" s="2150"/>
      <c r="AK29" s="2151"/>
      <c r="AL29" s="2149"/>
      <c r="AM29" s="2150"/>
      <c r="AN29" s="2151"/>
      <c r="AO29" s="2149"/>
      <c r="AP29" s="2150"/>
      <c r="AQ29" s="2151"/>
      <c r="AR29" s="2149"/>
      <c r="AS29" s="2150"/>
      <c r="AT29" s="2151"/>
      <c r="AU29" s="2157"/>
      <c r="AV29" s="2158"/>
      <c r="AW29" s="2159"/>
      <c r="AX29" s="2577"/>
      <c r="AY29" s="2190"/>
      <c r="AZ29" s="2578"/>
      <c r="BA29" s="949">
        <f t="shared" si="1"/>
        <v>0</v>
      </c>
      <c r="BB29" s="2228"/>
      <c r="BC29" s="2311"/>
      <c r="BD29" s="2397" t="s">
        <v>553</v>
      </c>
      <c r="BE29" s="2398"/>
      <c r="BF29" s="2398"/>
      <c r="BG29" s="2398"/>
      <c r="BH29" s="2398"/>
      <c r="BI29" s="2399"/>
      <c r="BJ29" s="411">
        <f>SUM(BJ23:BJ26)</f>
        <v>110</v>
      </c>
      <c r="BK29" s="2296">
        <f>BK24*$H$24+BK25*$H$25</f>
        <v>0</v>
      </c>
      <c r="BL29" s="2297"/>
      <c r="BM29" s="412">
        <f>BM24*$H$24+BM25*$H$25</f>
        <v>0</v>
      </c>
      <c r="BN29" s="412">
        <f>BN24*$H$24+BN25*$H$25</f>
        <v>2030</v>
      </c>
      <c r="BO29" s="413">
        <f>BO24*$H$24+BO25*$H$25</f>
        <v>0</v>
      </c>
      <c r="BP29" s="413">
        <f>BP24*$H$24+BP25*$H$25</f>
        <v>350</v>
      </c>
      <c r="BQ29" s="2233">
        <f>BQ24*$H$24+BQ25*$H$25</f>
        <v>290</v>
      </c>
      <c r="BR29" s="2235"/>
      <c r="BS29" s="2233">
        <f>BS24*$H$24+BS25*$H$25</f>
        <v>0</v>
      </c>
      <c r="BT29" s="2235"/>
      <c r="BU29" s="2360">
        <f>SUM(BU24:BV27)</f>
        <v>2670</v>
      </c>
      <c r="BV29" s="2361"/>
      <c r="BW29" s="501"/>
      <c r="BX29" s="2287"/>
      <c r="BY29" s="2347"/>
      <c r="BZ29" s="2364" t="s">
        <v>3202</v>
      </c>
      <c r="CA29" s="2351"/>
      <c r="CB29" s="2351"/>
      <c r="CC29" s="2351"/>
      <c r="CD29" s="2352"/>
      <c r="CE29" s="943">
        <v>3500</v>
      </c>
      <c r="CF29" s="942">
        <f t="shared" si="3"/>
        <v>1</v>
      </c>
      <c r="CG29" s="2169"/>
      <c r="CH29" s="2150"/>
      <c r="CI29" s="2151"/>
      <c r="CJ29" s="2149"/>
      <c r="CK29" s="2150"/>
      <c r="CL29" s="2151"/>
      <c r="CM29" s="2157"/>
      <c r="CN29" s="2158"/>
      <c r="CO29" s="2159"/>
      <c r="CP29" s="2157">
        <v>1</v>
      </c>
      <c r="CQ29" s="2158"/>
      <c r="CR29" s="2159"/>
      <c r="CS29" s="2157"/>
      <c r="CT29" s="2158"/>
      <c r="CU29" s="2159"/>
      <c r="CV29" s="469"/>
      <c r="CW29" s="469"/>
      <c r="CX29" s="946">
        <f t="shared" si="4"/>
        <v>3500</v>
      </c>
      <c r="CY29" s="19"/>
      <c r="CZ29" s="19"/>
      <c r="DA29" s="19"/>
      <c r="DB29" s="23" t="s">
        <v>232</v>
      </c>
      <c r="DC29" s="19">
        <f t="shared" ref="DC29:DC34" si="5">DC18-100</f>
        <v>550</v>
      </c>
      <c r="DD29" s="19"/>
      <c r="DE29" s="18"/>
      <c r="DF29" s="19"/>
      <c r="DG29" s="84"/>
      <c r="DH29" s="83"/>
      <c r="DI29" s="83"/>
      <c r="DJ29" s="83"/>
      <c r="DK29" s="83"/>
      <c r="DL29" s="83"/>
      <c r="DM29" s="83"/>
      <c r="DN29" s="83"/>
      <c r="DO29" s="83"/>
      <c r="DP29" s="83"/>
      <c r="DQ29" s="83"/>
      <c r="DR29" s="83"/>
      <c r="DS29" s="83"/>
      <c r="DT29" s="83"/>
      <c r="DU29" s="83"/>
      <c r="DV29" s="83"/>
      <c r="DW29" s="83"/>
      <c r="DX29" s="83"/>
      <c r="DY29" s="83"/>
      <c r="DZ29" s="83"/>
      <c r="EA29" s="83"/>
    </row>
    <row r="30" spans="1:131" ht="27" customHeight="1" thickTop="1">
      <c r="A30" s="2413" t="s">
        <v>1391</v>
      </c>
      <c r="B30" s="2427" t="s">
        <v>233</v>
      </c>
      <c r="C30" s="2430" t="s">
        <v>234</v>
      </c>
      <c r="D30" s="2433" t="s">
        <v>237</v>
      </c>
      <c r="E30" s="2433"/>
      <c r="F30" s="2433"/>
      <c r="G30" s="2433"/>
      <c r="H30" s="414">
        <v>330</v>
      </c>
      <c r="I30" s="415">
        <f>SUM('05 利用者名簿'!BP3+'05 利用者名簿'!BQ3)-SUM('05 利用者名簿'!BT38+'05 利用者名簿'!BV38)</f>
        <v>0</v>
      </c>
      <c r="J30" s="2358"/>
      <c r="K30" s="2359"/>
      <c r="L30" s="416"/>
      <c r="M30" s="416"/>
      <c r="N30" s="416"/>
      <c r="O30" s="416"/>
      <c r="P30" s="2359"/>
      <c r="Q30" s="2359"/>
      <c r="R30" s="2359"/>
      <c r="S30" s="2405"/>
      <c r="T30" s="2416">
        <f>IF(I30=J30+L30+M30+N30+O30+P30+R30,H30*I30,"人数を再確認！")</f>
        <v>0</v>
      </c>
      <c r="U30" s="2417"/>
      <c r="V30" s="22"/>
      <c r="W30" s="2287"/>
      <c r="X30" s="2347"/>
      <c r="Y30" s="2292" t="s">
        <v>3089</v>
      </c>
      <c r="Z30" s="2293"/>
      <c r="AA30" s="2293"/>
      <c r="AB30" s="2293"/>
      <c r="AC30" s="2294"/>
      <c r="AD30" s="1037">
        <v>250</v>
      </c>
      <c r="AE30" s="942">
        <f t="shared" si="2"/>
        <v>0</v>
      </c>
      <c r="AF30" s="2169"/>
      <c r="AG30" s="2150"/>
      <c r="AH30" s="2151"/>
      <c r="AI30" s="2149"/>
      <c r="AJ30" s="2150"/>
      <c r="AK30" s="2151"/>
      <c r="AL30" s="2149"/>
      <c r="AM30" s="2150"/>
      <c r="AN30" s="2151"/>
      <c r="AO30" s="2149"/>
      <c r="AP30" s="2150"/>
      <c r="AQ30" s="2151"/>
      <c r="AR30" s="2149"/>
      <c r="AS30" s="2150"/>
      <c r="AT30" s="2151"/>
      <c r="AU30" s="2157"/>
      <c r="AV30" s="2158"/>
      <c r="AW30" s="2159"/>
      <c r="AX30" s="2577"/>
      <c r="AY30" s="2190"/>
      <c r="AZ30" s="2578"/>
      <c r="BA30" s="949">
        <f t="shared" si="1"/>
        <v>0</v>
      </c>
      <c r="BB30" s="2413" t="s">
        <v>1391</v>
      </c>
      <c r="BC30" s="2427" t="s">
        <v>233</v>
      </c>
      <c r="BD30" s="2430" t="s">
        <v>234</v>
      </c>
      <c r="BE30" s="2433" t="s">
        <v>237</v>
      </c>
      <c r="BF30" s="2433"/>
      <c r="BG30" s="2433"/>
      <c r="BH30" s="2433"/>
      <c r="BI30" s="414">
        <v>330</v>
      </c>
      <c r="BJ30" s="415">
        <v>90</v>
      </c>
      <c r="BK30" s="2358">
        <v>90</v>
      </c>
      <c r="BL30" s="2359"/>
      <c r="BM30" s="416"/>
      <c r="BN30" s="416"/>
      <c r="BO30" s="416"/>
      <c r="BP30" s="416"/>
      <c r="BQ30" s="2359"/>
      <c r="BR30" s="2359"/>
      <c r="BS30" s="2359"/>
      <c r="BT30" s="2405"/>
      <c r="BU30" s="2416">
        <f>IF(BJ30=BK30+BM30+BN30+BO30+BP30+BQ30+BS30,BI30*BJ30,"人数を再確認！")</f>
        <v>29700</v>
      </c>
      <c r="BV30" s="2417"/>
      <c r="BW30" s="501"/>
      <c r="BX30" s="2287"/>
      <c r="BY30" s="2347"/>
      <c r="BZ30" s="2292" t="s">
        <v>3089</v>
      </c>
      <c r="CA30" s="2293"/>
      <c r="CB30" s="2293"/>
      <c r="CC30" s="2293"/>
      <c r="CD30" s="2294"/>
      <c r="CE30" s="948">
        <v>300</v>
      </c>
      <c r="CF30" s="942">
        <f t="shared" si="3"/>
        <v>108</v>
      </c>
      <c r="CG30" s="2169">
        <v>100</v>
      </c>
      <c r="CH30" s="2150"/>
      <c r="CI30" s="2151"/>
      <c r="CJ30" s="2149">
        <v>8</v>
      </c>
      <c r="CK30" s="2150"/>
      <c r="CL30" s="2151"/>
      <c r="CM30" s="2157"/>
      <c r="CN30" s="2158"/>
      <c r="CO30" s="2159"/>
      <c r="CP30" s="2157"/>
      <c r="CQ30" s="2158"/>
      <c r="CR30" s="2159"/>
      <c r="CS30" s="2157"/>
      <c r="CT30" s="2158"/>
      <c r="CU30" s="2159"/>
      <c r="CV30" s="469"/>
      <c r="CW30" s="469"/>
      <c r="CX30" s="946">
        <f t="shared" si="4"/>
        <v>32400</v>
      </c>
      <c r="CY30" s="19"/>
      <c r="CZ30" s="19"/>
      <c r="DA30" s="19"/>
      <c r="DB30" s="23" t="s">
        <v>235</v>
      </c>
      <c r="DC30" s="19">
        <f t="shared" si="5"/>
        <v>660</v>
      </c>
      <c r="DD30" s="914"/>
      <c r="DE30" s="18"/>
      <c r="DF30" s="19"/>
      <c r="DG30" s="84"/>
      <c r="DH30" s="83"/>
      <c r="DI30" s="83"/>
      <c r="DJ30" s="83"/>
      <c r="DK30" s="83"/>
      <c r="DL30" s="83"/>
      <c r="DM30" s="83"/>
      <c r="DN30" s="83"/>
      <c r="DO30" s="83"/>
      <c r="DP30" s="83"/>
      <c r="DQ30" s="83"/>
      <c r="DR30" s="83"/>
      <c r="DS30" s="83"/>
      <c r="DT30" s="83"/>
      <c r="DU30" s="83"/>
      <c r="DV30" s="83"/>
      <c r="DW30" s="83"/>
      <c r="DX30" s="83"/>
      <c r="DY30" s="83"/>
      <c r="DZ30" s="83"/>
      <c r="EA30" s="83"/>
    </row>
    <row r="31" spans="1:131" ht="27" customHeight="1">
      <c r="A31" s="2413"/>
      <c r="B31" s="2427"/>
      <c r="C31" s="2401"/>
      <c r="D31" s="2379" t="s">
        <v>428</v>
      </c>
      <c r="E31" s="2380"/>
      <c r="F31" s="2381"/>
      <c r="G31" s="2382"/>
      <c r="H31" s="417">
        <v>330</v>
      </c>
      <c r="I31" s="418">
        <f>'05 利用者名簿'!BR3-'05 利用者名簿'!BX38</f>
        <v>0</v>
      </c>
      <c r="J31" s="2383"/>
      <c r="K31" s="2384"/>
      <c r="L31" s="419"/>
      <c r="M31" s="419"/>
      <c r="N31" s="419"/>
      <c r="O31" s="419"/>
      <c r="P31" s="2384"/>
      <c r="Q31" s="2384"/>
      <c r="R31" s="2384"/>
      <c r="S31" s="2385"/>
      <c r="T31" s="2362">
        <f>IF(I31=J31+L31+M31+N31+O31+P31+R31,H31*I31,"人数を再確認！")</f>
        <v>0</v>
      </c>
      <c r="U31" s="2363"/>
      <c r="V31" s="87">
        <f>IF(I30*0.2&lt;J31+L31+M31+N31+O31+P31+R31,1,0)</f>
        <v>0</v>
      </c>
      <c r="W31" s="2287"/>
      <c r="X31" s="2347"/>
      <c r="Y31" s="2364" t="s">
        <v>3045</v>
      </c>
      <c r="Z31" s="2351"/>
      <c r="AA31" s="2351"/>
      <c r="AB31" s="2351"/>
      <c r="AC31" s="2352"/>
      <c r="AD31" s="2500">
        <v>100</v>
      </c>
      <c r="AE31" s="2508">
        <f t="shared" si="2"/>
        <v>0</v>
      </c>
      <c r="AF31" s="2510"/>
      <c r="AG31" s="2203"/>
      <c r="AH31" s="2206"/>
      <c r="AI31" s="2202"/>
      <c r="AJ31" s="2203"/>
      <c r="AK31" s="2206"/>
      <c r="AL31" s="2202"/>
      <c r="AM31" s="2203"/>
      <c r="AN31" s="2206"/>
      <c r="AO31" s="2202"/>
      <c r="AP31" s="2203"/>
      <c r="AQ31" s="2206"/>
      <c r="AR31" s="2202"/>
      <c r="AS31" s="2203"/>
      <c r="AT31" s="2206"/>
      <c r="AU31" s="2571"/>
      <c r="AV31" s="2162"/>
      <c r="AW31" s="2572"/>
      <c r="AX31" s="2202"/>
      <c r="AY31" s="2203"/>
      <c r="AZ31" s="2579"/>
      <c r="BA31" s="2372">
        <f>IF(AE31=AF31+AI31+AL31+AO31+AR31+AU31+AX31,AE31*AD31,"人数を再確認！")</f>
        <v>0</v>
      </c>
      <c r="BB31" s="2413"/>
      <c r="BC31" s="2427"/>
      <c r="BD31" s="2401"/>
      <c r="BE31" s="2379" t="s">
        <v>428</v>
      </c>
      <c r="BF31" s="2380"/>
      <c r="BG31" s="2381"/>
      <c r="BH31" s="2382"/>
      <c r="BI31" s="417">
        <v>330</v>
      </c>
      <c r="BJ31" s="418">
        <v>7</v>
      </c>
      <c r="BK31" s="2383"/>
      <c r="BL31" s="2384"/>
      <c r="BM31" s="419">
        <v>7</v>
      </c>
      <c r="BN31" s="419"/>
      <c r="BO31" s="419"/>
      <c r="BP31" s="419"/>
      <c r="BQ31" s="2384"/>
      <c r="BR31" s="2384"/>
      <c r="BS31" s="2384"/>
      <c r="BT31" s="2385"/>
      <c r="BU31" s="2362">
        <f>IF(BJ31=BK31+BM31+BN31+BO31+BP31+BQ31+BS31,BI31*BJ31,"人数を再確認！")</f>
        <v>2310</v>
      </c>
      <c r="BV31" s="2363"/>
      <c r="BW31" s="501"/>
      <c r="BX31" s="2287"/>
      <c r="BY31" s="2347"/>
      <c r="BZ31" s="2364" t="s">
        <v>3045</v>
      </c>
      <c r="CA31" s="2351"/>
      <c r="CB31" s="2351"/>
      <c r="CC31" s="2351"/>
      <c r="CD31" s="2352"/>
      <c r="CE31" s="2500">
        <v>100</v>
      </c>
      <c r="CF31" s="2508">
        <f>SUM(CG31:CW31)</f>
        <v>0</v>
      </c>
      <c r="CG31" s="2510"/>
      <c r="CH31" s="2203"/>
      <c r="CI31" s="2206"/>
      <c r="CJ31" s="2202"/>
      <c r="CK31" s="2203"/>
      <c r="CL31" s="2206"/>
      <c r="CM31" s="2202"/>
      <c r="CN31" s="2203"/>
      <c r="CO31" s="2206"/>
      <c r="CP31" s="2202"/>
      <c r="CQ31" s="2203"/>
      <c r="CR31" s="2206"/>
      <c r="CS31" s="2202"/>
      <c r="CT31" s="2203"/>
      <c r="CU31" s="2203"/>
      <c r="CV31" s="2198"/>
      <c r="CW31" s="2200"/>
      <c r="CX31" s="2187">
        <f>IF(CF31=CG31+CJ31+CM31+CP31+CS31+CV31+CW31,CF31*CE31,"人数を再確認！")</f>
        <v>0</v>
      </c>
      <c r="CY31" s="19"/>
      <c r="CZ31" s="19"/>
      <c r="DA31" s="19"/>
      <c r="DB31" s="23" t="s">
        <v>236</v>
      </c>
      <c r="DC31" s="19">
        <f t="shared" si="5"/>
        <v>700</v>
      </c>
      <c r="DD31" s="914"/>
      <c r="DE31" s="18"/>
      <c r="DF31" s="19"/>
      <c r="DG31" s="84"/>
      <c r="DH31" s="83"/>
      <c r="DI31" s="83"/>
      <c r="DJ31" s="83"/>
      <c r="DK31" s="83"/>
      <c r="DL31" s="83"/>
      <c r="DM31" s="83"/>
      <c r="DN31" s="83"/>
      <c r="DO31" s="83"/>
      <c r="DP31" s="83"/>
      <c r="DQ31" s="83"/>
      <c r="DR31" s="83"/>
      <c r="DS31" s="83"/>
      <c r="DT31" s="83"/>
      <c r="DU31" s="83"/>
      <c r="DV31" s="83"/>
      <c r="DW31" s="83"/>
      <c r="DX31" s="83"/>
      <c r="DY31" s="83"/>
      <c r="DZ31" s="83"/>
      <c r="EA31" s="83"/>
    </row>
    <row r="32" spans="1:131" ht="27" customHeight="1" thickBot="1">
      <c r="A32" s="2414"/>
      <c r="B32" s="2428"/>
      <c r="C32" s="2431"/>
      <c r="D32" s="2404" t="s">
        <v>241</v>
      </c>
      <c r="E32" s="2404"/>
      <c r="F32" s="2404"/>
      <c r="G32" s="2404"/>
      <c r="H32" s="420">
        <v>0</v>
      </c>
      <c r="I32" s="418">
        <f>'05 利用者名簿'!BT38+'05 利用者名簿'!BV38+'05 利用者名簿'!BX38+'05 利用者名簿'!BZ38</f>
        <v>0</v>
      </c>
      <c r="J32" s="2383"/>
      <c r="K32" s="2384"/>
      <c r="L32" s="419"/>
      <c r="M32" s="419"/>
      <c r="N32" s="419"/>
      <c r="O32" s="419"/>
      <c r="P32" s="2384"/>
      <c r="Q32" s="2384"/>
      <c r="R32" s="2384"/>
      <c r="S32" s="2385"/>
      <c r="T32" s="2422" t="str">
        <f>IF(I32=J32+L32+M32+N32+O32+P32+R32,"無料","人数を再確認！")</f>
        <v>無料</v>
      </c>
      <c r="U32" s="2423"/>
      <c r="V32" s="24"/>
      <c r="W32" s="2287"/>
      <c r="X32" s="2347"/>
      <c r="Y32" s="2505" t="s">
        <v>3100</v>
      </c>
      <c r="Z32" s="2506"/>
      <c r="AA32" s="2506"/>
      <c r="AB32" s="2506"/>
      <c r="AC32" s="2507"/>
      <c r="AD32" s="2501"/>
      <c r="AE32" s="2509"/>
      <c r="AF32" s="2511"/>
      <c r="AG32" s="2205"/>
      <c r="AH32" s="2207"/>
      <c r="AI32" s="2204"/>
      <c r="AJ32" s="2205"/>
      <c r="AK32" s="2207"/>
      <c r="AL32" s="2204"/>
      <c r="AM32" s="2205"/>
      <c r="AN32" s="2207"/>
      <c r="AO32" s="2204"/>
      <c r="AP32" s="2205"/>
      <c r="AQ32" s="2207"/>
      <c r="AR32" s="2204"/>
      <c r="AS32" s="2205"/>
      <c r="AT32" s="2207"/>
      <c r="AU32" s="2573"/>
      <c r="AV32" s="2574"/>
      <c r="AW32" s="2575"/>
      <c r="AX32" s="2204"/>
      <c r="AY32" s="2205"/>
      <c r="AZ32" s="2580"/>
      <c r="BA32" s="2527"/>
      <c r="BB32" s="2414"/>
      <c r="BC32" s="2428"/>
      <c r="BD32" s="2431"/>
      <c r="BE32" s="2404" t="s">
        <v>241</v>
      </c>
      <c r="BF32" s="2404"/>
      <c r="BG32" s="2404"/>
      <c r="BH32" s="2404"/>
      <c r="BI32" s="420">
        <v>0</v>
      </c>
      <c r="BJ32" s="418">
        <v>11</v>
      </c>
      <c r="BK32" s="2383">
        <v>10</v>
      </c>
      <c r="BL32" s="2384"/>
      <c r="BM32" s="419">
        <v>1</v>
      </c>
      <c r="BN32" s="419"/>
      <c r="BO32" s="419"/>
      <c r="BP32" s="419"/>
      <c r="BQ32" s="2384"/>
      <c r="BR32" s="2384"/>
      <c r="BS32" s="2384"/>
      <c r="BT32" s="2385"/>
      <c r="BU32" s="2422" t="str">
        <f>IF(BJ32=BK32+BM32+BN32+BO32+BP32+BQ32+BS32,"無料","人数を再確認！")</f>
        <v>無料</v>
      </c>
      <c r="BV32" s="2423"/>
      <c r="BW32" s="507"/>
      <c r="BX32" s="2287"/>
      <c r="BY32" s="2347"/>
      <c r="BZ32" s="2505" t="s">
        <v>3100</v>
      </c>
      <c r="CA32" s="2506"/>
      <c r="CB32" s="2506"/>
      <c r="CC32" s="2506"/>
      <c r="CD32" s="2507"/>
      <c r="CE32" s="2501"/>
      <c r="CF32" s="2509"/>
      <c r="CG32" s="2511"/>
      <c r="CH32" s="2205"/>
      <c r="CI32" s="2207"/>
      <c r="CJ32" s="2204"/>
      <c r="CK32" s="2205"/>
      <c r="CL32" s="2207"/>
      <c r="CM32" s="2204"/>
      <c r="CN32" s="2205"/>
      <c r="CO32" s="2207"/>
      <c r="CP32" s="2204"/>
      <c r="CQ32" s="2205"/>
      <c r="CR32" s="2207"/>
      <c r="CS32" s="2204"/>
      <c r="CT32" s="2205"/>
      <c r="CU32" s="2205"/>
      <c r="CV32" s="2199"/>
      <c r="CW32" s="2201"/>
      <c r="CX32" s="2188"/>
      <c r="CY32" s="19"/>
      <c r="CZ32" s="19"/>
      <c r="DA32" s="19"/>
      <c r="DB32" s="23" t="s">
        <v>238</v>
      </c>
      <c r="DC32" s="19">
        <f t="shared" si="5"/>
        <v>440</v>
      </c>
      <c r="DD32" s="914"/>
      <c r="DE32" s="18"/>
      <c r="DF32" s="19"/>
      <c r="DG32" s="84"/>
      <c r="DH32" s="83"/>
      <c r="DI32" s="83"/>
      <c r="DJ32" s="83"/>
      <c r="DK32" s="83"/>
      <c r="DL32" s="83"/>
      <c r="DM32" s="83"/>
      <c r="DN32" s="83"/>
      <c r="DO32" s="83"/>
      <c r="DP32" s="83"/>
      <c r="DQ32" s="83"/>
      <c r="DR32" s="83"/>
      <c r="DS32" s="83"/>
      <c r="DT32" s="83"/>
      <c r="DU32" s="83"/>
      <c r="DV32" s="83"/>
      <c r="DW32" s="83"/>
      <c r="DX32" s="83"/>
      <c r="DY32" s="83"/>
      <c r="DZ32" s="83"/>
      <c r="EA32" s="83"/>
    </row>
    <row r="33" spans="1:131" ht="27" customHeight="1" thickBot="1">
      <c r="A33" s="2413"/>
      <c r="B33" s="2427"/>
      <c r="C33" s="2401"/>
      <c r="D33" s="2404" t="s">
        <v>242</v>
      </c>
      <c r="E33" s="2404"/>
      <c r="F33" s="2404"/>
      <c r="G33" s="2404"/>
      <c r="H33" s="421">
        <v>1100</v>
      </c>
      <c r="I33" s="418">
        <f>'05 利用者名簿'!BS3-'05 利用者名簿'!BS10</f>
        <v>0</v>
      </c>
      <c r="J33" s="2468"/>
      <c r="K33" s="2410"/>
      <c r="L33" s="422"/>
      <c r="M33" s="422"/>
      <c r="N33" s="422"/>
      <c r="O33" s="423"/>
      <c r="P33" s="2410"/>
      <c r="Q33" s="2410"/>
      <c r="R33" s="2410"/>
      <c r="S33" s="2411"/>
      <c r="T33" s="2416">
        <f>IF(I33=J33+L33+M33+N33+O33+P33+R33,H33*I33,"人数を再確認！")</f>
        <v>0</v>
      </c>
      <c r="U33" s="2417"/>
      <c r="V33" s="21"/>
      <c r="W33" s="2287"/>
      <c r="X33" s="2347"/>
      <c r="Y33" s="2292"/>
      <c r="Z33" s="2293"/>
      <c r="AA33" s="2293"/>
      <c r="AB33" s="2293"/>
      <c r="AC33" s="2294"/>
      <c r="AD33" s="489"/>
      <c r="AE33" s="490">
        <f>SUM(AF33:AX33)</f>
        <v>0</v>
      </c>
      <c r="AF33" s="2165"/>
      <c r="AG33" s="2166"/>
      <c r="AH33" s="2167"/>
      <c r="AI33" s="2480"/>
      <c r="AJ33" s="2481"/>
      <c r="AK33" s="2482"/>
      <c r="AL33" s="2480"/>
      <c r="AM33" s="2481"/>
      <c r="AN33" s="2482"/>
      <c r="AO33" s="2518"/>
      <c r="AP33" s="2519"/>
      <c r="AQ33" s="2520"/>
      <c r="AR33" s="2518"/>
      <c r="AS33" s="2519"/>
      <c r="AT33" s="2519"/>
      <c r="AU33" s="2192"/>
      <c r="AV33" s="2193"/>
      <c r="AW33" s="2194"/>
      <c r="AX33" s="2192"/>
      <c r="AY33" s="2193"/>
      <c r="AZ33" s="2581"/>
      <c r="BA33" s="1060">
        <f>IF(AE33=AF33+AI33+AL33+AO33+AR33+AU33+AX33,AE33*AD33,"数量を再確認！")</f>
        <v>0</v>
      </c>
      <c r="BB33" s="2413"/>
      <c r="BC33" s="2427"/>
      <c r="BD33" s="2401"/>
      <c r="BE33" s="2404" t="s">
        <v>242</v>
      </c>
      <c r="BF33" s="2404"/>
      <c r="BG33" s="2404"/>
      <c r="BH33" s="2404"/>
      <c r="BI33" s="421">
        <v>1100</v>
      </c>
      <c r="BJ33" s="418">
        <f>'05 利用者名簿'!DP3-'05 利用者名簿'!DP10</f>
        <v>0</v>
      </c>
      <c r="BK33" s="2468"/>
      <c r="BL33" s="2410"/>
      <c r="BM33" s="422"/>
      <c r="BN33" s="422"/>
      <c r="BO33" s="422"/>
      <c r="BP33" s="423"/>
      <c r="BQ33" s="2410"/>
      <c r="BR33" s="2410"/>
      <c r="BS33" s="2410"/>
      <c r="BT33" s="2411"/>
      <c r="BU33" s="2416">
        <f>IF(BJ33=BK33+BM33+BN33+BO33+BP33+BQ33+BS33,BI33*BJ33,"人数を再確認！")</f>
        <v>0</v>
      </c>
      <c r="BV33" s="2417"/>
      <c r="BW33" s="493"/>
      <c r="BX33" s="2287"/>
      <c r="BY33" s="2347"/>
      <c r="BZ33" s="2292"/>
      <c r="CA33" s="2293"/>
      <c r="CB33" s="2293"/>
      <c r="CC33" s="2293"/>
      <c r="CD33" s="2294"/>
      <c r="CE33" s="489"/>
      <c r="CF33" s="490">
        <f>SUM(CG33:CW33)</f>
        <v>0</v>
      </c>
      <c r="CG33" s="2189"/>
      <c r="CH33" s="2190"/>
      <c r="CI33" s="2191"/>
      <c r="CJ33" s="2168"/>
      <c r="CK33" s="2166"/>
      <c r="CL33" s="2167"/>
      <c r="CM33" s="2168"/>
      <c r="CN33" s="2166"/>
      <c r="CO33" s="2167"/>
      <c r="CP33" s="2192"/>
      <c r="CQ33" s="2193"/>
      <c r="CR33" s="2194"/>
      <c r="CS33" s="2192"/>
      <c r="CT33" s="2193"/>
      <c r="CU33" s="2194"/>
      <c r="CV33" s="483"/>
      <c r="CW33" s="484"/>
      <c r="CX33" s="485">
        <f>IF(CF33=CG33+CJ33+CM33+CP33+CS33+CV33+CW33,CF33*CE33,"数量を再確認！")</f>
        <v>0</v>
      </c>
      <c r="CY33" s="19"/>
      <c r="CZ33" s="19"/>
      <c r="DA33" s="19"/>
      <c r="DB33" s="23" t="s">
        <v>239</v>
      </c>
      <c r="DC33" s="19">
        <f t="shared" si="5"/>
        <v>530</v>
      </c>
      <c r="DD33" s="914"/>
      <c r="DE33" s="18"/>
      <c r="DF33" s="19"/>
      <c r="DG33" s="84"/>
      <c r="DH33" s="83"/>
      <c r="DI33" s="83"/>
      <c r="DJ33" s="83"/>
      <c r="DK33" s="83"/>
      <c r="DL33" s="83"/>
      <c r="DM33" s="83"/>
      <c r="DN33" s="83"/>
      <c r="DO33" s="83"/>
      <c r="DP33" s="83"/>
      <c r="DQ33" s="83"/>
      <c r="DR33" s="83"/>
      <c r="DS33" s="83"/>
      <c r="DT33" s="83"/>
      <c r="DU33" s="83"/>
      <c r="DV33" s="83"/>
      <c r="DW33" s="83"/>
      <c r="DX33" s="83"/>
      <c r="DY33" s="83"/>
      <c r="DZ33" s="83"/>
      <c r="EA33" s="83"/>
    </row>
    <row r="34" spans="1:131" ht="27" customHeight="1" thickTop="1" thickBot="1">
      <c r="A34" s="2413"/>
      <c r="B34" s="2427"/>
      <c r="C34" s="2401"/>
      <c r="D34" s="2418"/>
      <c r="E34" s="2419"/>
      <c r="F34" s="2420"/>
      <c r="G34" s="2421"/>
      <c r="H34" s="424"/>
      <c r="I34" s="425"/>
      <c r="J34" s="2434"/>
      <c r="K34" s="2435"/>
      <c r="L34" s="426"/>
      <c r="M34" s="426"/>
      <c r="N34" s="426"/>
      <c r="O34" s="427"/>
      <c r="P34" s="2435"/>
      <c r="Q34" s="2435"/>
      <c r="R34" s="2435"/>
      <c r="S34" s="2435"/>
      <c r="T34" s="2446"/>
      <c r="U34" s="2447"/>
      <c r="V34" s="21"/>
      <c r="W34" s="2287"/>
      <c r="X34" s="2347"/>
      <c r="Y34" s="2436"/>
      <c r="Z34" s="2437"/>
      <c r="AA34" s="2437"/>
      <c r="AB34" s="2437"/>
      <c r="AC34" s="2438"/>
      <c r="AD34" s="935"/>
      <c r="AE34" s="490">
        <f>SUM(AF34:AX34)</f>
        <v>0</v>
      </c>
      <c r="AF34" s="2232"/>
      <c r="AG34" s="2182"/>
      <c r="AH34" s="2183"/>
      <c r="AI34" s="2439"/>
      <c r="AJ34" s="2440"/>
      <c r="AK34" s="2441"/>
      <c r="AL34" s="2439"/>
      <c r="AM34" s="2440"/>
      <c r="AN34" s="2441"/>
      <c r="AO34" s="2521"/>
      <c r="AP34" s="2522"/>
      <c r="AQ34" s="2523"/>
      <c r="AR34" s="2521"/>
      <c r="AS34" s="2522"/>
      <c r="AT34" s="2523"/>
      <c r="AU34" s="2195"/>
      <c r="AV34" s="2196"/>
      <c r="AW34" s="2197"/>
      <c r="AX34" s="2195"/>
      <c r="AY34" s="2196"/>
      <c r="AZ34" s="2582"/>
      <c r="BA34" s="1061">
        <f>IF(AE34=AF34+AI34+AL34+AO34+AR34+AU34+AX34,AE34*AD34,"数量を再確認！")</f>
        <v>0</v>
      </c>
      <c r="BB34" s="2413"/>
      <c r="BC34" s="2427"/>
      <c r="BD34" s="2401"/>
      <c r="BE34" s="2418"/>
      <c r="BF34" s="2419"/>
      <c r="BG34" s="2420"/>
      <c r="BH34" s="2421"/>
      <c r="BI34" s="424"/>
      <c r="BJ34" s="425"/>
      <c r="BK34" s="2434"/>
      <c r="BL34" s="2435"/>
      <c r="BM34" s="426"/>
      <c r="BN34" s="426"/>
      <c r="BO34" s="426"/>
      <c r="BP34" s="427"/>
      <c r="BQ34" s="2435"/>
      <c r="BR34" s="2435"/>
      <c r="BS34" s="2435"/>
      <c r="BT34" s="2435"/>
      <c r="BU34" s="2446"/>
      <c r="BV34" s="2447"/>
      <c r="BW34" s="493"/>
      <c r="BX34" s="2287"/>
      <c r="BY34" s="2347"/>
      <c r="BZ34" s="2436"/>
      <c r="CA34" s="2437"/>
      <c r="CB34" s="2437"/>
      <c r="CC34" s="2437"/>
      <c r="CD34" s="2438"/>
      <c r="CE34" s="935"/>
      <c r="CF34" s="490">
        <f>SUM(CG34:CW34)</f>
        <v>0</v>
      </c>
      <c r="CG34" s="2160"/>
      <c r="CH34" s="2158"/>
      <c r="CI34" s="2159"/>
      <c r="CJ34" s="2181"/>
      <c r="CK34" s="2182"/>
      <c r="CL34" s="2183"/>
      <c r="CM34" s="2181"/>
      <c r="CN34" s="2182"/>
      <c r="CO34" s="2183"/>
      <c r="CP34" s="2195"/>
      <c r="CQ34" s="2196"/>
      <c r="CR34" s="2197"/>
      <c r="CS34" s="2195"/>
      <c r="CT34" s="2196"/>
      <c r="CU34" s="2197"/>
      <c r="CV34" s="945"/>
      <c r="CW34" s="481"/>
      <c r="CX34" s="486">
        <f>IF(CF34=CG34+CJ34+CM34+CP34+CS34+CV34+CW34,CF34*CE34,"数量を再確認！")</f>
        <v>0</v>
      </c>
      <c r="CY34" s="19"/>
      <c r="CZ34" s="19"/>
      <c r="DA34" s="19"/>
      <c r="DB34" s="23" t="s">
        <v>240</v>
      </c>
      <c r="DC34" s="19">
        <f t="shared" si="5"/>
        <v>570</v>
      </c>
      <c r="DD34" s="19"/>
      <c r="DE34" s="18"/>
      <c r="DF34" s="19"/>
      <c r="DG34" s="84"/>
      <c r="DH34" s="83"/>
      <c r="DI34" s="83"/>
      <c r="DJ34" s="83"/>
      <c r="DK34" s="83"/>
      <c r="DL34" s="83"/>
      <c r="DM34" s="83"/>
      <c r="DN34" s="83"/>
      <c r="DO34" s="83"/>
      <c r="DP34" s="83"/>
      <c r="DQ34" s="83"/>
      <c r="DR34" s="83"/>
      <c r="DS34" s="83"/>
      <c r="DT34" s="83"/>
      <c r="DU34" s="83"/>
      <c r="DV34" s="83"/>
      <c r="DW34" s="83"/>
      <c r="DX34" s="83"/>
      <c r="DY34" s="83"/>
      <c r="DZ34" s="83"/>
      <c r="EA34" s="83"/>
    </row>
    <row r="35" spans="1:131" ht="27" customHeight="1" thickTop="1" thickBot="1">
      <c r="A35" s="2413"/>
      <c r="B35" s="2427"/>
      <c r="C35" s="2401"/>
      <c r="D35" s="2418"/>
      <c r="E35" s="2419"/>
      <c r="F35" s="2420"/>
      <c r="G35" s="2421"/>
      <c r="H35" s="424"/>
      <c r="I35" s="425"/>
      <c r="J35" s="2467"/>
      <c r="K35" s="2445"/>
      <c r="L35" s="428"/>
      <c r="M35" s="428"/>
      <c r="N35" s="428"/>
      <c r="O35" s="429"/>
      <c r="P35" s="2445"/>
      <c r="Q35" s="2445"/>
      <c r="R35" s="2445"/>
      <c r="S35" s="2445"/>
      <c r="T35" s="2446"/>
      <c r="U35" s="2447"/>
      <c r="V35" s="21"/>
      <c r="W35" s="2288"/>
      <c r="X35" s="2348"/>
      <c r="Y35" s="2249" t="s">
        <v>1392</v>
      </c>
      <c r="Z35" s="2250"/>
      <c r="AA35" s="2250"/>
      <c r="AB35" s="2250"/>
      <c r="AC35" s="2250"/>
      <c r="AD35" s="2250"/>
      <c r="AE35" s="2251"/>
      <c r="AF35" s="2502">
        <f>$AD26*AF26+$AD28*AF28+$AD30*AF30+$AD31*AF31+$AD22*AF22+$AD23*AF23+$AD24*AF24+$AD25*AF25+$AD27*AF27+$AD29*AF29+$AD33*AF33+$AD34*AF34</f>
        <v>0</v>
      </c>
      <c r="AG35" s="2503"/>
      <c r="AH35" s="2504"/>
      <c r="AI35" s="2502">
        <f>$AD26*AI26+$AD28*AI28+$AD30*AI30+$AD31*AI31+$AD22*AI22+$AD23*AI23+$AD24*AI24+$AD25*AI25+$AD27*AI27+$AD29*AI29+$AD33*AI33+$AD34*AI34</f>
        <v>0</v>
      </c>
      <c r="AJ35" s="2503"/>
      <c r="AK35" s="2504"/>
      <c r="AL35" s="2502">
        <f>$AD26*AL26+$AD28*AL28+$AD30*AL30+$AD31*AL31+$AD22*AL22+$AD23*AL23+$AD24*AL24+$AD25*AL25+$AD27*AL27+$AD29*AL29+$AD33*AL33+$AD34*AL34</f>
        <v>0</v>
      </c>
      <c r="AM35" s="2503"/>
      <c r="AN35" s="2504"/>
      <c r="AO35" s="2502">
        <f>$AD26*AO26+$AD28*AO28+$AD30*AO30+$AD31*AO31+$AD22*AO22+$AD23*AO23+$AD24*AO24+$AD25*AO25+$AD27*AO27+$AD29*AO29+$AD33*AO33+$AD34*AO34</f>
        <v>0</v>
      </c>
      <c r="AP35" s="2503"/>
      <c r="AQ35" s="2504"/>
      <c r="AR35" s="2502">
        <f>$AD26*AR26+$AD28*AR28+$AD30*AR30+$AD31*AR31+$AD22*AR22+$AD23*AR23+$AD24*AR24+$AD25*AR25+$AD27*AR27+$AD29*AR29+$AD33*AR33+$AD34*AR34</f>
        <v>0</v>
      </c>
      <c r="AS35" s="2503"/>
      <c r="AT35" s="2504"/>
      <c r="AU35" s="2586">
        <f>$AD26*AU26+$AD28*AU28+$AD30*AU30+$AD31*AU31+$AD22*AU22+$AD23*AU23+$AD24*AU24+$AD25*AU25+$AD27*AU27+$AD29*AU29+$AD33*AU33+$AD34*AU34</f>
        <v>0</v>
      </c>
      <c r="AV35" s="2587"/>
      <c r="AW35" s="2588"/>
      <c r="AX35" s="2586">
        <f>$AD26*AX26+$AD28*AX28+$AD30*AX30+$AD31*AX31+$AD22*AX22+$AD23*AX23+$AD24*AX24+$AD25*AX25+$AD27*AX27+$AD29*AX29+$AD33*AX33+$AD34*AX34</f>
        <v>0</v>
      </c>
      <c r="AY35" s="2587"/>
      <c r="AZ35" s="2588"/>
      <c r="BA35" s="613">
        <f>IF(COUNTIF(BA22:BA34,"数量を再確認！"),"数量を再確認！",SUM(BA22:BA34))</f>
        <v>0</v>
      </c>
      <c r="BB35" s="2413"/>
      <c r="BC35" s="2427"/>
      <c r="BD35" s="2401"/>
      <c r="BE35" s="2418"/>
      <c r="BF35" s="2419"/>
      <c r="BG35" s="2420"/>
      <c r="BH35" s="2421"/>
      <c r="BI35" s="424"/>
      <c r="BJ35" s="425"/>
      <c r="BK35" s="2467"/>
      <c r="BL35" s="2445"/>
      <c r="BM35" s="428"/>
      <c r="BN35" s="428"/>
      <c r="BO35" s="428"/>
      <c r="BP35" s="429"/>
      <c r="BQ35" s="2445"/>
      <c r="BR35" s="2445"/>
      <c r="BS35" s="2445"/>
      <c r="BT35" s="2445"/>
      <c r="BU35" s="2446"/>
      <c r="BV35" s="2447"/>
      <c r="BW35" s="493"/>
      <c r="BX35" s="2288"/>
      <c r="BY35" s="2348"/>
      <c r="BZ35" s="2249" t="s">
        <v>1392</v>
      </c>
      <c r="CA35" s="2250"/>
      <c r="CB35" s="2250"/>
      <c r="CC35" s="2250"/>
      <c r="CD35" s="2250"/>
      <c r="CE35" s="2250"/>
      <c r="CF35" s="2251"/>
      <c r="CG35" s="2208">
        <f>$CE31*CF31+$CE22*CF22+$CE23*CF23+$CE24*CF24+$CE25*CF25+$CE27*CF27+$CE29*CF29+CE33*CF33+CE34*CF34</f>
        <v>33740</v>
      </c>
      <c r="CH35" s="2209"/>
      <c r="CI35" s="2210"/>
      <c r="CJ35" s="2208">
        <f>$AD$22*CJ22+$AD$23*CJ23+$AD$24*CJ24+$AD$25*CJ25+$AD$27*CJ27+$AD$29*CJ29+$AD$31*CJ31+$AD$33*CJ33+$AD$34*CJ34</f>
        <v>2240</v>
      </c>
      <c r="CK35" s="2209"/>
      <c r="CL35" s="2210"/>
      <c r="CM35" s="2208">
        <f>$AD22*CM22+$AD23*CM23+$AD24*CM24+$AD25*CM25+$AD27*CM27+$AD29*CM29+CM31*CE31+CM33*CE33+CM34*CE34</f>
        <v>0</v>
      </c>
      <c r="CN35" s="2209"/>
      <c r="CO35" s="2210"/>
      <c r="CP35" s="2539">
        <f>$AD31*CP31+$AD22*CP22+$AD23*CP23+$AD24*CP24+$AD25*CP25+$AD27*CP27+$AD29*CP29+CE33*CP33+CE34*CP34</f>
        <v>3500</v>
      </c>
      <c r="CQ35" s="2540"/>
      <c r="CR35" s="2541"/>
      <c r="CS35" s="2539">
        <f>$AD31*CS31+$AD22*CS22+$AD23*CS23+$AD24*CS24+$AD25*CS25+$AD27*CS27+$AD29*CS29+CE33*CS33+CE34*CS34</f>
        <v>0</v>
      </c>
      <c r="CT35" s="2540"/>
      <c r="CU35" s="2541"/>
      <c r="CV35" s="477">
        <f>$AD31*CV31+$AD22*CV22+$AD23*CV23+$AD24*CV24+$AD25*CV25+$AD27*CV27+$AD29*CV29+CE33*CV33+CE34*CV34</f>
        <v>0</v>
      </c>
      <c r="CW35" s="477">
        <f>$AD31*CW31+$AD22*CW22+$AD23*CW23+$AD24*CW24+$AD25*CW25+$AD27*CW27+$AD29*CW29+CE33*CW33+CE34*CW34</f>
        <v>0</v>
      </c>
      <c r="CX35" s="820">
        <f>SUM(CX22:CX34)</f>
        <v>72620</v>
      </c>
      <c r="CY35" s="19"/>
      <c r="CZ35" s="19"/>
      <c r="DA35" s="19"/>
      <c r="DB35" s="2546" t="s">
        <v>101</v>
      </c>
      <c r="DC35" s="2546"/>
      <c r="DD35" s="914"/>
      <c r="DE35" s="18"/>
      <c r="DF35" s="19"/>
      <c r="DG35" s="84"/>
      <c r="DH35" s="83"/>
      <c r="DI35" s="83"/>
      <c r="DJ35" s="83"/>
      <c r="DK35" s="83"/>
      <c r="DL35" s="83"/>
      <c r="DM35" s="83"/>
      <c r="DN35" s="83"/>
      <c r="DO35" s="83"/>
      <c r="DP35" s="83"/>
      <c r="DQ35" s="83"/>
      <c r="DR35" s="83"/>
      <c r="DS35" s="83"/>
      <c r="DT35" s="83"/>
      <c r="DU35" s="83"/>
      <c r="DV35" s="83"/>
      <c r="DW35" s="83"/>
      <c r="DX35" s="83"/>
      <c r="DY35" s="83"/>
      <c r="DZ35" s="83"/>
      <c r="EA35" s="83"/>
    </row>
    <row r="36" spans="1:131" ht="27" customHeight="1" thickTop="1">
      <c r="A36" s="2413"/>
      <c r="B36" s="2427"/>
      <c r="C36" s="2401"/>
      <c r="D36" s="2464"/>
      <c r="E36" s="2464"/>
      <c r="F36" s="2464"/>
      <c r="G36" s="2464"/>
      <c r="H36" s="430"/>
      <c r="I36" s="431"/>
      <c r="J36" s="2465"/>
      <c r="K36" s="2466"/>
      <c r="L36" s="432"/>
      <c r="M36" s="433"/>
      <c r="N36" s="432"/>
      <c r="O36" s="433"/>
      <c r="P36" s="2466"/>
      <c r="Q36" s="2466"/>
      <c r="R36" s="2466"/>
      <c r="S36" s="2466"/>
      <c r="T36" s="2474"/>
      <c r="U36" s="2475"/>
      <c r="V36" s="165"/>
      <c r="W36" s="2493" t="s">
        <v>78</v>
      </c>
      <c r="X36" s="2495" t="s">
        <v>1400</v>
      </c>
      <c r="Y36" s="2495"/>
      <c r="Z36" s="2495"/>
      <c r="AA36" s="2495"/>
      <c r="AB36" s="2495"/>
      <c r="AC36" s="2495"/>
      <c r="AD36" s="2495"/>
      <c r="AE36" s="2496"/>
      <c r="AF36" s="2458">
        <f>($AD26*AF26+$AD28*AF28+$AD30*AF30+AF22*$AD22+AF25*$AD25+AF27*$AD27+AF29*$AD29+AF31*$AD31+AF33*$AD33+AF34*$AD34)+AF21+J29+J46</f>
        <v>0</v>
      </c>
      <c r="AG36" s="2459"/>
      <c r="AH36" s="2460"/>
      <c r="AI36" s="2458">
        <f>($AD26*AI26+$AD28*AI28+$AD30*AI30+AI22*$AD22+AI25*$AD25+AI27*$AD27+AI29*$AD29+AI31*$AD31+AI33*$AD33+AI34*$AD34)+AI21+L29+L46</f>
        <v>0</v>
      </c>
      <c r="AJ36" s="2459"/>
      <c r="AK36" s="2460"/>
      <c r="AL36" s="2458">
        <f>($AD26*AL26+$AD28*AL28+$AD30*AL30+AL22*$AD22+AL25*$AD25+AL27*$AD27+AL29*$AD29+AL31*$AD31+AL33*$AD33+AL34*$AD34)+AL21+M29+M46</f>
        <v>0</v>
      </c>
      <c r="AM36" s="2459"/>
      <c r="AN36" s="2460"/>
      <c r="AO36" s="2458">
        <f>($AD26*AO26+$AD28*AO28+$AD30*AO30+AO22*$AD22+AO25*$AD25+AO27*$AD27+AO29*$AD29+AO31*$AD31+AO33*$AD33+AO34*$AD34)+AO21+N29+N46</f>
        <v>0</v>
      </c>
      <c r="AP36" s="2459"/>
      <c r="AQ36" s="2460"/>
      <c r="AR36" s="2458">
        <f>($AD26*AR26+$AD28*AR28+$AD30*AR30+AR22*$AD22+AR25*$AD25+AR27*$AD27+AR29*$AD29+AR31*$AD31+AR33*$AD33+AR34*$AD34)+AR21+O29+O46</f>
        <v>0</v>
      </c>
      <c r="AS36" s="2459"/>
      <c r="AT36" s="2460"/>
      <c r="AU36" s="2589">
        <f>(AD26*AU26+AD28*AU28+AD30*AU30+AU22*AD22+AU25*AD25+AU27*AD27+AU29*AD29+AU31*AD31+AU33*AD33+AU34*AD34)+AU21+P29+P46</f>
        <v>0</v>
      </c>
      <c r="AV36" s="2590"/>
      <c r="AW36" s="2591"/>
      <c r="AX36" s="2589">
        <f>(AD26*AX26+AD28*AX28+AD30*AX30+AX22*AD22+AX25*AD25+AX27*AD27+AX29*AD29+AX31*AD31+AX33*AD33+AX34*AD34)+AX21+Q29+Q46</f>
        <v>0</v>
      </c>
      <c r="AY36" s="2590"/>
      <c r="AZ36" s="2592"/>
      <c r="BA36" s="612">
        <f>SUM(AF36:AX36)</f>
        <v>0</v>
      </c>
      <c r="BB36" s="2413"/>
      <c r="BC36" s="2427"/>
      <c r="BD36" s="2401"/>
      <c r="BE36" s="2464"/>
      <c r="BF36" s="2464"/>
      <c r="BG36" s="2464"/>
      <c r="BH36" s="2464"/>
      <c r="BI36" s="430"/>
      <c r="BJ36" s="431"/>
      <c r="BK36" s="2465"/>
      <c r="BL36" s="2466"/>
      <c r="BM36" s="432"/>
      <c r="BN36" s="433"/>
      <c r="BO36" s="432"/>
      <c r="BP36" s="433"/>
      <c r="BQ36" s="2466"/>
      <c r="BR36" s="2466"/>
      <c r="BS36" s="2466"/>
      <c r="BT36" s="2466"/>
      <c r="BU36" s="2474"/>
      <c r="BV36" s="2475"/>
      <c r="BW36" s="493"/>
      <c r="BX36" s="2493" t="s">
        <v>78</v>
      </c>
      <c r="BY36" s="2495" t="s">
        <v>1400</v>
      </c>
      <c r="BZ36" s="2495"/>
      <c r="CA36" s="2495"/>
      <c r="CB36" s="2495"/>
      <c r="CC36" s="2495"/>
      <c r="CD36" s="2495"/>
      <c r="CE36" s="2495"/>
      <c r="CF36" s="2496"/>
      <c r="CG36" s="2458">
        <f>(CG22*CE22+CG25*CE25+CG27*CE27+CG29*CE29+CG31*CE31+CG33*CE33+CG34*CE34)+CG21+BK29+BK46</f>
        <v>288700</v>
      </c>
      <c r="CH36" s="2459"/>
      <c r="CI36" s="2460"/>
      <c r="CJ36" s="2458">
        <f>(CJ22*CE22+CJ25*CE25+CJ27*CE27+CJ29*CE29+CJ31*CE31+CJ33*CE33+CJ34*CE34)+CJ21+BM29+BM46</f>
        <v>23830</v>
      </c>
      <c r="CK36" s="2459"/>
      <c r="CL36" s="2460"/>
      <c r="CM36" s="2458">
        <f>(CM22*CE22+CM25*CE25+CM27*CE27+CM29*CE29+CM31*CE31+CM33*CE33+CM34*CE34)+CM21+BN29+BN46</f>
        <v>2030</v>
      </c>
      <c r="CN36" s="2459"/>
      <c r="CO36" s="2460"/>
      <c r="CP36" s="2458">
        <f>(CP22*CE22+CP25*CE25+CP27*CE27+CP29*CE29+CP31*CE31+CP33*CE33+CP34*CE34)+CP21+BO29+BO46</f>
        <v>3500</v>
      </c>
      <c r="CQ36" s="2459"/>
      <c r="CR36" s="2460"/>
      <c r="CS36" s="2458">
        <f>(CS22*CE22+CS25*CE25+CS27*CE27+CS29*CE29+CS31*CE31+CS33*CE33+CS34*CE34)+CS21+BP29+BP46</f>
        <v>1050</v>
      </c>
      <c r="CT36" s="2459"/>
      <c r="CU36" s="2460"/>
      <c r="CV36" s="716">
        <f>(CV22*CE22+CV25*CE25+CV27*CE27+CV29*CE29+CV31*CE31+CV33*CE33+CV34*CE34)+CV21+BQ29+BQ46</f>
        <v>640</v>
      </c>
      <c r="CW36" s="715">
        <f>(CW22*CF22+CW25*CF25+CW27*CF27+CW29*CF29+CW31*CF31+CW33*CF33+CW34*CF34)+CW21+BS29+BS46</f>
        <v>0</v>
      </c>
      <c r="CX36" s="821">
        <f>SUM(CG36:CW36)</f>
        <v>319750</v>
      </c>
      <c r="CY36" s="19"/>
      <c r="CZ36" s="19"/>
      <c r="DA36" s="19"/>
      <c r="DB36" s="23" t="s">
        <v>3197</v>
      </c>
      <c r="DC36" s="19">
        <v>300</v>
      </c>
      <c r="DD36" s="914"/>
      <c r="DE36" s="18"/>
      <c r="DF36" s="19"/>
      <c r="DG36" s="84"/>
      <c r="DH36" s="83"/>
      <c r="DI36" s="83"/>
      <c r="DJ36" s="83"/>
      <c r="DK36" s="83"/>
      <c r="DL36" s="83"/>
      <c r="DM36" s="83"/>
      <c r="DN36" s="83"/>
      <c r="DO36" s="83"/>
      <c r="DP36" s="83"/>
      <c r="DQ36" s="83"/>
      <c r="DR36" s="83"/>
      <c r="DS36" s="83"/>
      <c r="DT36" s="83"/>
      <c r="DU36" s="83"/>
      <c r="DV36" s="83"/>
      <c r="DW36" s="83"/>
      <c r="DX36" s="83"/>
      <c r="DY36" s="83"/>
      <c r="DZ36" s="83"/>
      <c r="EA36" s="83"/>
    </row>
    <row r="37" spans="1:131" ht="27" customHeight="1" thickBot="1">
      <c r="A37" s="2413"/>
      <c r="B37" s="2427"/>
      <c r="C37" s="2432"/>
      <c r="D37" s="2512" t="s">
        <v>554</v>
      </c>
      <c r="E37" s="2513"/>
      <c r="F37" s="2513"/>
      <c r="G37" s="2513"/>
      <c r="H37" s="2514"/>
      <c r="I37" s="434">
        <f>SUM(I30:I33)</f>
        <v>0</v>
      </c>
      <c r="J37" s="2472">
        <f>$H$30*J30+$H$31*J31+$H$33*J33</f>
        <v>0</v>
      </c>
      <c r="K37" s="2473"/>
      <c r="L37" s="435">
        <f>$H$30*L30+$H$31*L31+$H$33*L33</f>
        <v>0</v>
      </c>
      <c r="M37" s="435">
        <f>$H$30*M30+$H$31*M31+$H$33*M33</f>
        <v>0</v>
      </c>
      <c r="N37" s="435">
        <f>$H$30*N30+$H$31*N31+$H$33*N33</f>
        <v>0</v>
      </c>
      <c r="O37" s="435">
        <f>$H$30*O30+$H$31*O31+$H$33*O33</f>
        <v>0</v>
      </c>
      <c r="P37" s="2483">
        <f>$H$30*P30+$H$31*P31+$H$33*P33</f>
        <v>0</v>
      </c>
      <c r="Q37" s="2473"/>
      <c r="R37" s="2483">
        <f>$H$30*R30+$H$31*R31+$H$33*R33</f>
        <v>0</v>
      </c>
      <c r="S37" s="2473"/>
      <c r="T37" s="2484">
        <f>IF(COUNTIF(T30:U33,"人数を再確認！"),"人数を再確認！",SUM(T30:U33))</f>
        <v>0</v>
      </c>
      <c r="U37" s="2485"/>
      <c r="V37" s="609"/>
      <c r="W37" s="2494"/>
      <c r="X37" s="2453" t="s">
        <v>1401</v>
      </c>
      <c r="Y37" s="2453"/>
      <c r="Z37" s="2453"/>
      <c r="AA37" s="2453"/>
      <c r="AB37" s="2453"/>
      <c r="AC37" s="2453"/>
      <c r="AD37" s="2453"/>
      <c r="AE37" s="2454"/>
      <c r="AF37" s="2448">
        <f>(J29-AF36)*-1</f>
        <v>0</v>
      </c>
      <c r="AG37" s="2449"/>
      <c r="AH37" s="2450"/>
      <c r="AI37" s="2442">
        <f>(L29-AI36)*-1</f>
        <v>0</v>
      </c>
      <c r="AJ37" s="2443"/>
      <c r="AK37" s="2444"/>
      <c r="AL37" s="2442">
        <f>(M29-AL36)*-1</f>
        <v>0</v>
      </c>
      <c r="AM37" s="2443"/>
      <c r="AN37" s="2444"/>
      <c r="AO37" s="2442">
        <f>(N29-AO36)*-1</f>
        <v>0</v>
      </c>
      <c r="AP37" s="2443"/>
      <c r="AQ37" s="2444"/>
      <c r="AR37" s="2442">
        <f>(O29-AR36)*-1</f>
        <v>0</v>
      </c>
      <c r="AS37" s="2443"/>
      <c r="AT37" s="2444"/>
      <c r="AU37" s="2593">
        <f>(P29-AU36)*-1</f>
        <v>0</v>
      </c>
      <c r="AV37" s="2594"/>
      <c r="AW37" s="2594"/>
      <c r="AX37" s="2593">
        <f>(R29-AX36)*-1</f>
        <v>0</v>
      </c>
      <c r="AY37" s="2594"/>
      <c r="AZ37" s="2595"/>
      <c r="BA37" s="628">
        <f>SUM(AF37:AX37)</f>
        <v>0</v>
      </c>
      <c r="BB37" s="2413"/>
      <c r="BC37" s="2427"/>
      <c r="BD37" s="2432"/>
      <c r="BE37" s="2512" t="s">
        <v>554</v>
      </c>
      <c r="BF37" s="2513"/>
      <c r="BG37" s="2513"/>
      <c r="BH37" s="2513"/>
      <c r="BI37" s="2514"/>
      <c r="BJ37" s="434">
        <f>SUM(BJ30:BJ33)</f>
        <v>108</v>
      </c>
      <c r="BK37" s="2472">
        <f>$H$30*BK30+$H$31*BK31+$H$33*BK33</f>
        <v>29700</v>
      </c>
      <c r="BL37" s="2473"/>
      <c r="BM37" s="435">
        <f>$H$30*BM30+$H$31*BM31+$H$33*BM33</f>
        <v>2310</v>
      </c>
      <c r="BN37" s="435">
        <f>$H$30*BN30+$H$31*BN31+$H$33*BN33</f>
        <v>0</v>
      </c>
      <c r="BO37" s="435">
        <f>$H$30*BO30+$H$31*BO31+$H$33*BO33</f>
        <v>0</v>
      </c>
      <c r="BP37" s="435">
        <f>$H$30*BP30+$H$31*BP31+$H$33*BP33</f>
        <v>0</v>
      </c>
      <c r="BQ37" s="2483">
        <f>$H$30*BQ30+$H$31*BQ31+$H$33*BQ33</f>
        <v>0</v>
      </c>
      <c r="BR37" s="2473"/>
      <c r="BS37" s="2483">
        <f>$H$30*BS30+$H$31*BS31+$H$33*BS33</f>
        <v>0</v>
      </c>
      <c r="BT37" s="2473"/>
      <c r="BU37" s="2484">
        <f>SUM(BU30:BV33)</f>
        <v>32010</v>
      </c>
      <c r="BV37" s="2485"/>
      <c r="BW37" s="493"/>
      <c r="BX37" s="2494"/>
      <c r="BY37" s="2453" t="s">
        <v>1401</v>
      </c>
      <c r="BZ37" s="2453"/>
      <c r="CA37" s="2453"/>
      <c r="CB37" s="2453"/>
      <c r="CC37" s="2453"/>
      <c r="CD37" s="2453"/>
      <c r="CE37" s="2453"/>
      <c r="CF37" s="2454"/>
      <c r="CG37" s="2448">
        <f>(BK29-CG36)*-1</f>
        <v>288700</v>
      </c>
      <c r="CH37" s="2449"/>
      <c r="CI37" s="2450"/>
      <c r="CJ37" s="2442">
        <f>(BM29-CJ36)*-1</f>
        <v>23830</v>
      </c>
      <c r="CK37" s="2443"/>
      <c r="CL37" s="2444"/>
      <c r="CM37" s="2442">
        <f>(BN29-CM36)*-1</f>
        <v>0</v>
      </c>
      <c r="CN37" s="2443"/>
      <c r="CO37" s="2444"/>
      <c r="CP37" s="2442">
        <f>(BO29-CP36)*-1</f>
        <v>3500</v>
      </c>
      <c r="CQ37" s="2443"/>
      <c r="CR37" s="2444"/>
      <c r="CS37" s="2442">
        <f>(BP29-CS36)*-1</f>
        <v>700</v>
      </c>
      <c r="CT37" s="2443"/>
      <c r="CU37" s="2444"/>
      <c r="CV37" s="719">
        <f>(BQ29-CV36)*-1</f>
        <v>350</v>
      </c>
      <c r="CW37" s="720">
        <f>(BS29-CW36)*-1</f>
        <v>0</v>
      </c>
      <c r="CX37" s="822">
        <f>SUM(CG37:CW37)</f>
        <v>317080</v>
      </c>
      <c r="CY37" s="19"/>
      <c r="CZ37" s="19"/>
      <c r="DA37" s="19"/>
      <c r="DB37" s="23" t="s">
        <v>2994</v>
      </c>
      <c r="DC37" s="19">
        <v>300</v>
      </c>
      <c r="DD37" s="914"/>
      <c r="DE37" s="18"/>
      <c r="DF37" s="19"/>
      <c r="DG37" s="84"/>
      <c r="DH37" s="83"/>
      <c r="DI37" s="83"/>
      <c r="DJ37" s="83"/>
      <c r="DK37" s="83"/>
      <c r="DL37" s="83"/>
      <c r="DM37" s="83"/>
      <c r="DN37" s="83"/>
      <c r="DO37" s="83"/>
      <c r="DP37" s="83"/>
      <c r="DQ37" s="83"/>
      <c r="DR37" s="83"/>
      <c r="DS37" s="83"/>
      <c r="DT37" s="83"/>
      <c r="DU37" s="83"/>
      <c r="DV37" s="83"/>
      <c r="DW37" s="83"/>
      <c r="DX37" s="83"/>
      <c r="DY37" s="83"/>
      <c r="DZ37" s="83"/>
      <c r="EA37" s="83"/>
    </row>
    <row r="38" spans="1:131" ht="27" customHeight="1" thickTop="1">
      <c r="A38" s="2413"/>
      <c r="B38" s="2427"/>
      <c r="C38" s="2400" t="s">
        <v>243</v>
      </c>
      <c r="D38" s="2403" t="s">
        <v>237</v>
      </c>
      <c r="E38" s="2403"/>
      <c r="F38" s="2403"/>
      <c r="G38" s="2403"/>
      <c r="H38" s="436">
        <v>110</v>
      </c>
      <c r="I38" s="418">
        <f>SUM('05 利用者名簿'!BP4:BQ4)-SUM('05 利用者名簿'!BU38+'05 利用者名簿'!BW38)</f>
        <v>0</v>
      </c>
      <c r="J38" s="2424"/>
      <c r="K38" s="2425"/>
      <c r="L38" s="416"/>
      <c r="M38" s="437"/>
      <c r="N38" s="416"/>
      <c r="O38" s="437"/>
      <c r="P38" s="2426"/>
      <c r="Q38" s="2425"/>
      <c r="R38" s="2426"/>
      <c r="S38" s="2469"/>
      <c r="T38" s="2470">
        <f>IF(I38=J38+L38+M38+N38+O38+P38+R38,H38*I38,"人数を再確認！")</f>
        <v>0</v>
      </c>
      <c r="U38" s="2471"/>
      <c r="V38" s="165"/>
      <c r="W38" s="2451" t="s">
        <v>77</v>
      </c>
      <c r="X38" s="2491" t="s">
        <v>1403</v>
      </c>
      <c r="Y38" s="2491"/>
      <c r="Z38" s="2491"/>
      <c r="AA38" s="2491"/>
      <c r="AB38" s="2491"/>
      <c r="AC38" s="2491"/>
      <c r="AD38" s="2491"/>
      <c r="AE38" s="2492"/>
      <c r="AF38" s="2458">
        <f>J29+J46+AF21+AF35</f>
        <v>0</v>
      </c>
      <c r="AG38" s="2459"/>
      <c r="AH38" s="2460"/>
      <c r="AI38" s="2455">
        <f>L29+L46+AI21+AI35</f>
        <v>0</v>
      </c>
      <c r="AJ38" s="2456"/>
      <c r="AK38" s="2457"/>
      <c r="AL38" s="2455">
        <f>M29+M46+AL21+AL35</f>
        <v>0</v>
      </c>
      <c r="AM38" s="2456"/>
      <c r="AN38" s="2457"/>
      <c r="AO38" s="2515">
        <f>N29+N46+AO21+AO35</f>
        <v>0</v>
      </c>
      <c r="AP38" s="2516"/>
      <c r="AQ38" s="2517"/>
      <c r="AR38" s="2515">
        <f>O29+O46+AR21+AR35</f>
        <v>0</v>
      </c>
      <c r="AS38" s="2516"/>
      <c r="AT38" s="2517"/>
      <c r="AU38" s="2589">
        <f>P29+P46+AU21+AU35</f>
        <v>0</v>
      </c>
      <c r="AV38" s="2590"/>
      <c r="AW38" s="2590"/>
      <c r="AX38" s="2590">
        <f>R29+R46+AX21+AX35</f>
        <v>0</v>
      </c>
      <c r="AY38" s="2590"/>
      <c r="AZ38" s="2592"/>
      <c r="BA38" s="611">
        <f>SUM(AF38:AX38)</f>
        <v>0</v>
      </c>
      <c r="BB38" s="2413"/>
      <c r="BC38" s="2427"/>
      <c r="BD38" s="2400" t="s">
        <v>243</v>
      </c>
      <c r="BE38" s="2403" t="s">
        <v>237</v>
      </c>
      <c r="BF38" s="2403"/>
      <c r="BG38" s="2403"/>
      <c r="BH38" s="2403"/>
      <c r="BI38" s="436">
        <v>110</v>
      </c>
      <c r="BJ38" s="418">
        <f>SUM('05 利用者名簿'!DM4:DN4)-SUM('05 利用者名簿'!DR38+'05 利用者名簿'!DT38)</f>
        <v>0</v>
      </c>
      <c r="BK38" s="2424"/>
      <c r="BL38" s="2425"/>
      <c r="BM38" s="416"/>
      <c r="BN38" s="437"/>
      <c r="BO38" s="416"/>
      <c r="BP38" s="437"/>
      <c r="BQ38" s="2426"/>
      <c r="BR38" s="2425"/>
      <c r="BS38" s="2426"/>
      <c r="BT38" s="2469"/>
      <c r="BU38" s="2470">
        <f>IF(BJ38=BK38+BM38+BN38+BO38+BP38+BQ38+BS38,BI38*BJ38,"人数を再確認！")</f>
        <v>0</v>
      </c>
      <c r="BV38" s="2471"/>
      <c r="BW38" s="493"/>
      <c r="BX38" s="2451" t="s">
        <v>77</v>
      </c>
      <c r="BY38" s="2491" t="s">
        <v>1403</v>
      </c>
      <c r="BZ38" s="2491"/>
      <c r="CA38" s="2491"/>
      <c r="CB38" s="2491"/>
      <c r="CC38" s="2491"/>
      <c r="CD38" s="2491"/>
      <c r="CE38" s="2491"/>
      <c r="CF38" s="2492"/>
      <c r="CG38" s="2458">
        <f>BK29+BK46+CG21+CG35</f>
        <v>294440</v>
      </c>
      <c r="CH38" s="2459"/>
      <c r="CI38" s="2460"/>
      <c r="CJ38" s="2455">
        <f>BM29+BM46+CJ21+CJ35</f>
        <v>23830</v>
      </c>
      <c r="CK38" s="2456"/>
      <c r="CL38" s="2457"/>
      <c r="CM38" s="2455">
        <f>BN29+BN46+CM21+CM35</f>
        <v>2030</v>
      </c>
      <c r="CN38" s="2456"/>
      <c r="CO38" s="2457"/>
      <c r="CP38" s="2515">
        <f>BO29+BO46+CP21+CP35</f>
        <v>3500</v>
      </c>
      <c r="CQ38" s="2516"/>
      <c r="CR38" s="2517"/>
      <c r="CS38" s="2515">
        <f>BP29+BP46+CS21+CS35</f>
        <v>1050</v>
      </c>
      <c r="CT38" s="2516"/>
      <c r="CU38" s="2517"/>
      <c r="CV38" s="716">
        <f>BQ29+BQ46+CV21+CV35</f>
        <v>640</v>
      </c>
      <c r="CW38" s="715">
        <f>BS29+BS46+CW21+CW35</f>
        <v>0</v>
      </c>
      <c r="CX38" s="823">
        <f>SUM(CG38:CW38)</f>
        <v>325490</v>
      </c>
      <c r="CY38" s="19"/>
      <c r="CZ38" s="19"/>
      <c r="DA38" s="19"/>
      <c r="DB38" s="23" t="s">
        <v>2995</v>
      </c>
      <c r="DC38" s="19">
        <v>300</v>
      </c>
      <c r="DD38" s="84"/>
      <c r="DE38" s="84"/>
      <c r="DF38" s="19"/>
      <c r="DG38" s="84"/>
      <c r="DH38" s="83"/>
      <c r="DI38" s="83"/>
      <c r="DJ38" s="83"/>
      <c r="DK38" s="83"/>
      <c r="DL38" s="83"/>
      <c r="DM38" s="83"/>
      <c r="DN38" s="83"/>
      <c r="DO38" s="83"/>
      <c r="DP38" s="83"/>
      <c r="DQ38" s="83"/>
      <c r="DR38" s="83"/>
      <c r="DS38" s="83"/>
      <c r="DT38" s="83"/>
      <c r="DU38" s="83"/>
      <c r="DV38" s="83"/>
      <c r="DW38" s="83"/>
      <c r="DX38" s="83"/>
      <c r="DY38" s="83"/>
      <c r="DZ38" s="83"/>
      <c r="EA38" s="83"/>
    </row>
    <row r="39" spans="1:131" ht="27" customHeight="1" thickBot="1">
      <c r="A39" s="2413"/>
      <c r="B39" s="2427"/>
      <c r="C39" s="2401"/>
      <c r="D39" s="2379" t="s">
        <v>428</v>
      </c>
      <c r="E39" s="2380"/>
      <c r="F39" s="2381"/>
      <c r="G39" s="2382"/>
      <c r="H39" s="421">
        <v>110</v>
      </c>
      <c r="I39" s="418">
        <f>'05 利用者名簿'!BR7</f>
        <v>0</v>
      </c>
      <c r="J39" s="2383"/>
      <c r="K39" s="2384"/>
      <c r="L39" s="419"/>
      <c r="M39" s="438"/>
      <c r="N39" s="419"/>
      <c r="O39" s="438"/>
      <c r="P39" s="2384"/>
      <c r="Q39" s="2384"/>
      <c r="R39" s="2384"/>
      <c r="S39" s="2385"/>
      <c r="T39" s="2422">
        <f>IF(I39=J39+L39+M39+N39+O39+P39+R39,H39*I39,"人数を再確認！")</f>
        <v>0</v>
      </c>
      <c r="U39" s="2423"/>
      <c r="V39" s="165"/>
      <c r="W39" s="2452"/>
      <c r="X39" s="2453" t="s">
        <v>1402</v>
      </c>
      <c r="Y39" s="2453"/>
      <c r="Z39" s="2453"/>
      <c r="AA39" s="2453"/>
      <c r="AB39" s="2453"/>
      <c r="AC39" s="2453"/>
      <c r="AD39" s="2453"/>
      <c r="AE39" s="2454"/>
      <c r="AF39" s="2448">
        <f>(J29-AF38)*-1</f>
        <v>0</v>
      </c>
      <c r="AG39" s="2449"/>
      <c r="AH39" s="2450"/>
      <c r="AI39" s="2448">
        <f>(L29-AI38)*-1</f>
        <v>0</v>
      </c>
      <c r="AJ39" s="2449"/>
      <c r="AK39" s="2450"/>
      <c r="AL39" s="2448">
        <f>(M29-AL38)*-1</f>
        <v>0</v>
      </c>
      <c r="AM39" s="2449"/>
      <c r="AN39" s="2450"/>
      <c r="AO39" s="2448">
        <f>(N29-AO38)*-1</f>
        <v>0</v>
      </c>
      <c r="AP39" s="2449"/>
      <c r="AQ39" s="2450"/>
      <c r="AR39" s="2448">
        <f>(O29-AR38)*-1</f>
        <v>0</v>
      </c>
      <c r="AS39" s="2449"/>
      <c r="AT39" s="2450"/>
      <c r="AU39" s="2593">
        <f>(P29-AU38)*-1</f>
        <v>0</v>
      </c>
      <c r="AV39" s="2594"/>
      <c r="AW39" s="2596"/>
      <c r="AX39" s="2593">
        <f>(R29-AX38)*-1</f>
        <v>0</v>
      </c>
      <c r="AY39" s="2594"/>
      <c r="AZ39" s="2595"/>
      <c r="BA39" s="629">
        <f>SUM(AF39:AX39)</f>
        <v>0</v>
      </c>
      <c r="BB39" s="2413"/>
      <c r="BC39" s="2427"/>
      <c r="BD39" s="2401"/>
      <c r="BE39" s="2379" t="s">
        <v>428</v>
      </c>
      <c r="BF39" s="2380"/>
      <c r="BG39" s="2381"/>
      <c r="BH39" s="2382"/>
      <c r="BI39" s="421">
        <v>110</v>
      </c>
      <c r="BJ39" s="418">
        <f>'05 利用者名簿'!DO7</f>
        <v>0</v>
      </c>
      <c r="BK39" s="2383"/>
      <c r="BL39" s="2384"/>
      <c r="BM39" s="419"/>
      <c r="BN39" s="438"/>
      <c r="BO39" s="419"/>
      <c r="BP39" s="438"/>
      <c r="BQ39" s="2384"/>
      <c r="BR39" s="2384"/>
      <c r="BS39" s="2384"/>
      <c r="BT39" s="2385"/>
      <c r="BU39" s="2422">
        <f>IF(BJ39=BK39+BM39+BN39+BO39+BP39+BQ39+BS39,BI39*BJ39,"人数を再確認！")</f>
        <v>0</v>
      </c>
      <c r="BV39" s="2423"/>
      <c r="BW39" s="493"/>
      <c r="BX39" s="2452"/>
      <c r="BY39" s="2453" t="s">
        <v>1402</v>
      </c>
      <c r="BZ39" s="2453"/>
      <c r="CA39" s="2453"/>
      <c r="CB39" s="2453"/>
      <c r="CC39" s="2453"/>
      <c r="CD39" s="2453"/>
      <c r="CE39" s="2453"/>
      <c r="CF39" s="2454"/>
      <c r="CG39" s="2448">
        <f>(BK29-CG38)*-1</f>
        <v>294440</v>
      </c>
      <c r="CH39" s="2449"/>
      <c r="CI39" s="2450"/>
      <c r="CJ39" s="2448">
        <f>(BM29-CJ38)*-1</f>
        <v>23830</v>
      </c>
      <c r="CK39" s="2449"/>
      <c r="CL39" s="2450"/>
      <c r="CM39" s="2448">
        <f>(BN29-CM38)*-1</f>
        <v>0</v>
      </c>
      <c r="CN39" s="2449"/>
      <c r="CO39" s="2450"/>
      <c r="CP39" s="2448">
        <f>(BO29-CP38)*-1</f>
        <v>3500</v>
      </c>
      <c r="CQ39" s="2449"/>
      <c r="CR39" s="2450"/>
      <c r="CS39" s="2448">
        <f>(BP29-CS38)*-1</f>
        <v>700</v>
      </c>
      <c r="CT39" s="2449"/>
      <c r="CU39" s="2450"/>
      <c r="CV39" s="721">
        <f>(BQ29-CV38)*-1</f>
        <v>350</v>
      </c>
      <c r="CW39" s="722">
        <f>(BS29-CW38)*-1</f>
        <v>0</v>
      </c>
      <c r="CX39" s="824">
        <f>SUM(CG39:CW39)</f>
        <v>322820</v>
      </c>
      <c r="CY39" s="19"/>
      <c r="CZ39" s="19"/>
      <c r="DA39" s="19"/>
      <c r="DB39" s="23" t="s">
        <v>3198</v>
      </c>
      <c r="DC39" s="19">
        <v>500</v>
      </c>
      <c r="DD39" s="84"/>
      <c r="DE39" s="84"/>
      <c r="DF39" s="19"/>
      <c r="DG39" s="84"/>
      <c r="DH39" s="83"/>
      <c r="DI39" s="83"/>
      <c r="DJ39" s="83"/>
      <c r="DK39" s="83"/>
      <c r="DL39" s="83"/>
      <c r="DM39" s="83"/>
      <c r="DN39" s="83"/>
      <c r="DO39" s="83"/>
      <c r="DP39" s="83"/>
      <c r="DQ39" s="83"/>
      <c r="DR39" s="83"/>
      <c r="DS39" s="83"/>
      <c r="DT39" s="83"/>
      <c r="DU39" s="83"/>
      <c r="DV39" s="83"/>
      <c r="DW39" s="83"/>
      <c r="DX39" s="83"/>
      <c r="DY39" s="83"/>
      <c r="DZ39" s="83"/>
      <c r="EA39" s="83"/>
    </row>
    <row r="40" spans="1:131" ht="27" customHeight="1" thickTop="1">
      <c r="A40" s="2413"/>
      <c r="B40" s="2427"/>
      <c r="C40" s="2401"/>
      <c r="D40" s="2404" t="s">
        <v>241</v>
      </c>
      <c r="E40" s="2404"/>
      <c r="F40" s="2404"/>
      <c r="G40" s="2404"/>
      <c r="H40" s="439">
        <v>0</v>
      </c>
      <c r="I40" s="418">
        <f>'05 利用者名簿'!BU38+'05 利用者名簿'!BW38+'05 利用者名簿'!BY38+'05 利用者名簿'!CA38</f>
        <v>0</v>
      </c>
      <c r="J40" s="2383"/>
      <c r="K40" s="2384"/>
      <c r="L40" s="419"/>
      <c r="M40" s="438"/>
      <c r="N40" s="419"/>
      <c r="O40" s="438"/>
      <c r="P40" s="2384"/>
      <c r="Q40" s="2384"/>
      <c r="R40" s="2384"/>
      <c r="S40" s="2385"/>
      <c r="T40" s="2422" t="str">
        <f>IF(I40=J40+L40+M40+N40+O40+P40+R40,"無料","人数を再確認！")</f>
        <v>無料</v>
      </c>
      <c r="U40" s="2423"/>
      <c r="V40" s="21"/>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2413"/>
      <c r="BC40" s="2427"/>
      <c r="BD40" s="2401"/>
      <c r="BE40" s="2404" t="s">
        <v>241</v>
      </c>
      <c r="BF40" s="2404"/>
      <c r="BG40" s="2404"/>
      <c r="BH40" s="2404"/>
      <c r="BI40" s="439">
        <v>0</v>
      </c>
      <c r="BJ40" s="418">
        <f>'05 利用者名簿'!DR38+'05 利用者名簿'!DT38+'05 利用者名簿'!DV38+'05 利用者名簿'!DX38</f>
        <v>0</v>
      </c>
      <c r="BK40" s="2383"/>
      <c r="BL40" s="2384"/>
      <c r="BM40" s="419"/>
      <c r="BN40" s="438"/>
      <c r="BO40" s="419"/>
      <c r="BP40" s="438"/>
      <c r="BQ40" s="2384"/>
      <c r="BR40" s="2384"/>
      <c r="BS40" s="2384"/>
      <c r="BT40" s="2385"/>
      <c r="BU40" s="2422" t="str">
        <f>IF(BJ40=BK40+BM40+BN40+BO40+BP40+BQ40+BS40,"無料","人数を再確認！")</f>
        <v>無料</v>
      </c>
      <c r="BV40" s="2423"/>
      <c r="BW40" s="493"/>
      <c r="BX40" s="2547"/>
      <c r="BY40" s="2547"/>
      <c r="BZ40" s="2547"/>
      <c r="CA40" s="2547"/>
      <c r="CB40" s="2547"/>
      <c r="CC40" s="2547"/>
      <c r="CD40" s="2547"/>
      <c r="CE40" s="2547"/>
      <c r="CF40" s="2547"/>
      <c r="CG40" s="2547"/>
      <c r="CH40" s="2547"/>
      <c r="CI40" s="2547"/>
      <c r="CJ40" s="2547"/>
      <c r="CK40" s="2547"/>
      <c r="CL40" s="2547"/>
      <c r="CM40" s="2547"/>
      <c r="CN40" s="2547"/>
      <c r="CO40" s="2547"/>
      <c r="CP40" s="2547"/>
      <c r="CQ40" s="2547"/>
      <c r="CR40" s="2547"/>
      <c r="CS40" s="2547"/>
      <c r="CT40" s="2547"/>
      <c r="CU40" s="2547"/>
      <c r="CV40" s="2547"/>
      <c r="CW40" s="508"/>
      <c r="CX40" s="493"/>
      <c r="CY40" s="19"/>
      <c r="CZ40" s="19"/>
      <c r="DA40" s="19"/>
      <c r="DB40" s="23" t="s">
        <v>2996</v>
      </c>
      <c r="DC40" s="19">
        <v>500</v>
      </c>
      <c r="DD40" s="84"/>
      <c r="DE40" s="84"/>
      <c r="DF40" s="84"/>
      <c r="DG40" s="84"/>
      <c r="DH40" s="83"/>
      <c r="DI40" s="83"/>
      <c r="DJ40" s="83"/>
      <c r="DK40" s="83"/>
      <c r="DL40" s="83"/>
      <c r="DM40" s="83"/>
      <c r="DN40" s="83"/>
      <c r="DO40" s="83"/>
      <c r="DP40" s="83"/>
      <c r="DQ40" s="83"/>
      <c r="DR40" s="83"/>
      <c r="DS40" s="83"/>
      <c r="DT40" s="83"/>
      <c r="DU40" s="83"/>
      <c r="DV40" s="83"/>
      <c r="DW40" s="83"/>
      <c r="DX40" s="83"/>
      <c r="DY40" s="83"/>
      <c r="DZ40" s="83"/>
      <c r="EA40" s="83"/>
    </row>
    <row r="41" spans="1:131" ht="27" customHeight="1" thickBot="1">
      <c r="A41" s="2413"/>
      <c r="B41" s="2427"/>
      <c r="C41" s="2401"/>
      <c r="D41" s="2404" t="s">
        <v>242</v>
      </c>
      <c r="E41" s="2404"/>
      <c r="F41" s="2404"/>
      <c r="G41" s="2404"/>
      <c r="H41" s="440">
        <v>350</v>
      </c>
      <c r="I41" s="418">
        <f>'05 利用者名簿'!BS4-'05 利用者名簿'!BS9</f>
        <v>0</v>
      </c>
      <c r="J41" s="2468"/>
      <c r="K41" s="2410"/>
      <c r="L41" s="422"/>
      <c r="M41" s="423"/>
      <c r="N41" s="422"/>
      <c r="O41" s="423"/>
      <c r="P41" s="2410"/>
      <c r="Q41" s="2410"/>
      <c r="R41" s="2410"/>
      <c r="S41" s="2411"/>
      <c r="T41" s="2422">
        <f>IF(I41=J41+L41+M41+N41+O41+P41+R41,H41*I41,"人数を再確認！")</f>
        <v>0</v>
      </c>
      <c r="U41" s="2423"/>
      <c r="V41" s="21"/>
      <c r="W41" s="2463" t="s">
        <v>3220</v>
      </c>
      <c r="X41" s="2463"/>
      <c r="Y41" s="2463"/>
      <c r="Z41" s="2463"/>
      <c r="AA41" s="2463"/>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5"/>
      <c r="AY41" s="25"/>
      <c r="AZ41" s="25"/>
      <c r="BA41" s="25"/>
      <c r="BB41" s="2551"/>
      <c r="BC41" s="2427"/>
      <c r="BD41" s="2401"/>
      <c r="BE41" s="2404" t="s">
        <v>242</v>
      </c>
      <c r="BF41" s="2404"/>
      <c r="BG41" s="2404"/>
      <c r="BH41" s="2404"/>
      <c r="BI41" s="440">
        <v>350</v>
      </c>
      <c r="BJ41" s="418">
        <v>3</v>
      </c>
      <c r="BK41" s="2468"/>
      <c r="BL41" s="2410"/>
      <c r="BM41" s="422"/>
      <c r="BN41" s="423"/>
      <c r="BO41" s="422"/>
      <c r="BP41" s="423">
        <v>2</v>
      </c>
      <c r="BQ41" s="2410">
        <v>1</v>
      </c>
      <c r="BR41" s="2410"/>
      <c r="BS41" s="2410"/>
      <c r="BT41" s="2411"/>
      <c r="BU41" s="2422">
        <f>IF(BJ41=BK41+BM41+BN41+BO41+BP41+BQ41+BS41,BI41*BJ41,"人数を再確認！")</f>
        <v>1050</v>
      </c>
      <c r="BV41" s="2423"/>
      <c r="BW41" s="493"/>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19"/>
      <c r="CZ41" s="19"/>
      <c r="DA41" s="19"/>
      <c r="DB41" s="23" t="s">
        <v>2997</v>
      </c>
      <c r="DC41" s="19">
        <v>500</v>
      </c>
      <c r="DD41" s="84"/>
      <c r="DE41" s="84"/>
      <c r="DF41" s="84"/>
      <c r="DG41" s="84"/>
      <c r="DH41" s="83"/>
      <c r="DI41" s="83"/>
      <c r="DJ41" s="83"/>
      <c r="DK41" s="83"/>
      <c r="DL41" s="83"/>
      <c r="DM41" s="83"/>
      <c r="DN41" s="83"/>
      <c r="DO41" s="83"/>
      <c r="DP41" s="83"/>
      <c r="DQ41" s="83"/>
      <c r="DR41" s="83"/>
      <c r="DS41" s="83"/>
      <c r="DT41" s="83"/>
      <c r="DU41" s="83"/>
      <c r="DV41" s="83"/>
      <c r="DW41" s="83"/>
      <c r="DX41" s="83"/>
      <c r="DY41" s="83"/>
      <c r="DZ41" s="83"/>
      <c r="EA41" s="83"/>
    </row>
    <row r="42" spans="1:131" ht="27" customHeight="1" thickTop="1">
      <c r="A42" s="2413"/>
      <c r="B42" s="2427"/>
      <c r="C42" s="2401"/>
      <c r="D42" s="2406"/>
      <c r="E42" s="2407"/>
      <c r="F42" s="2408"/>
      <c r="G42" s="2409"/>
      <c r="H42" s="441"/>
      <c r="I42" s="425"/>
      <c r="J42" s="2434"/>
      <c r="K42" s="2435"/>
      <c r="L42" s="426"/>
      <c r="M42" s="427"/>
      <c r="N42" s="426"/>
      <c r="O42" s="427"/>
      <c r="P42" s="2435"/>
      <c r="Q42" s="2435"/>
      <c r="R42" s="2435"/>
      <c r="S42" s="2435"/>
      <c r="T42" s="2446"/>
      <c r="U42" s="2447"/>
      <c r="V42" s="21"/>
      <c r="W42" s="2461" t="s">
        <v>184</v>
      </c>
      <c r="X42" s="2462"/>
      <c r="Y42" s="2462" t="s">
        <v>186</v>
      </c>
      <c r="Z42" s="2462"/>
      <c r="AA42" s="2462"/>
      <c r="AB42" s="2462"/>
      <c r="AC42" s="2462" t="s">
        <v>3218</v>
      </c>
      <c r="AD42" s="2462"/>
      <c r="AE42" s="2462"/>
      <c r="AF42" s="2462" t="s">
        <v>3218</v>
      </c>
      <c r="AG42" s="2462"/>
      <c r="AH42" s="2462"/>
      <c r="AI42" s="2462" t="s">
        <v>3218</v>
      </c>
      <c r="AJ42" s="2462"/>
      <c r="AK42" s="2462"/>
      <c r="AL42" s="2462" t="s">
        <v>3218</v>
      </c>
      <c r="AM42" s="2462"/>
      <c r="AN42" s="2462"/>
      <c r="AO42" s="2462" t="s">
        <v>3218</v>
      </c>
      <c r="AP42" s="2462"/>
      <c r="AQ42" s="2462"/>
      <c r="AR42" s="2462" t="s">
        <v>121</v>
      </c>
      <c r="AS42" s="2462"/>
      <c r="AT42" s="2462"/>
      <c r="AU42" s="2559"/>
      <c r="AV42" s="1056"/>
      <c r="AW42" s="1056"/>
      <c r="AX42" s="196"/>
      <c r="AY42" s="196"/>
      <c r="AZ42" s="196"/>
      <c r="BA42" s="196"/>
      <c r="BB42" s="2551"/>
      <c r="BC42" s="2427"/>
      <c r="BD42" s="2401"/>
      <c r="BE42" s="2406"/>
      <c r="BF42" s="2407"/>
      <c r="BG42" s="2408"/>
      <c r="BH42" s="2409"/>
      <c r="BI42" s="441"/>
      <c r="BJ42" s="425"/>
      <c r="BK42" s="2434"/>
      <c r="BL42" s="2435"/>
      <c r="BM42" s="426"/>
      <c r="BN42" s="427"/>
      <c r="BO42" s="426"/>
      <c r="BP42" s="427"/>
      <c r="BQ42" s="2435"/>
      <c r="BR42" s="2435"/>
      <c r="BS42" s="2435"/>
      <c r="BT42" s="2435"/>
      <c r="BU42" s="2446"/>
      <c r="BV42" s="2447"/>
      <c r="BW42" s="493"/>
      <c r="BX42" s="232"/>
      <c r="BY42" s="196"/>
      <c r="BZ42" s="196"/>
      <c r="CA42" s="196"/>
      <c r="CB42" s="230"/>
      <c r="CC42" s="230"/>
      <c r="CD42" s="230"/>
      <c r="CE42" s="228"/>
      <c r="CF42" s="229"/>
      <c r="CG42" s="229"/>
      <c r="CH42" s="228"/>
      <c r="CI42" s="228"/>
      <c r="CJ42" s="228"/>
      <c r="CK42" s="228"/>
      <c r="CL42" s="228"/>
      <c r="CM42" s="228"/>
      <c r="CN42" s="228"/>
      <c r="CO42" s="228"/>
      <c r="CP42" s="228"/>
      <c r="CQ42" s="228"/>
      <c r="CR42" s="228"/>
      <c r="CS42" s="228"/>
      <c r="CT42" s="228"/>
      <c r="CU42" s="196"/>
      <c r="CV42" s="196"/>
      <c r="CW42" s="196"/>
      <c r="CX42" s="196"/>
      <c r="CY42" s="19"/>
      <c r="CZ42" s="19"/>
      <c r="DA42" s="19"/>
      <c r="DB42" s="2546" t="s">
        <v>120</v>
      </c>
      <c r="DC42" s="2546"/>
      <c r="DD42" s="19"/>
      <c r="DE42" s="84"/>
      <c r="DF42" s="84"/>
      <c r="DG42" s="84"/>
      <c r="DH42" s="83"/>
      <c r="DI42" s="83"/>
      <c r="DJ42" s="83"/>
      <c r="DK42" s="83"/>
      <c r="DL42" s="83"/>
      <c r="DM42" s="83"/>
      <c r="DN42" s="83"/>
      <c r="DO42" s="83"/>
      <c r="DP42" s="83"/>
      <c r="DQ42" s="83"/>
      <c r="DR42" s="83"/>
      <c r="DS42" s="83"/>
      <c r="DT42" s="83"/>
      <c r="DU42" s="83"/>
      <c r="DV42" s="83"/>
      <c r="DW42" s="83"/>
      <c r="DX42" s="83"/>
      <c r="DY42" s="83"/>
      <c r="DZ42" s="83"/>
      <c r="EA42" s="83"/>
    </row>
    <row r="43" spans="1:131" ht="27" customHeight="1">
      <c r="A43" s="2413"/>
      <c r="B43" s="2427"/>
      <c r="C43" s="2401"/>
      <c r="D43" s="2418"/>
      <c r="E43" s="2419"/>
      <c r="F43" s="2420"/>
      <c r="G43" s="2421"/>
      <c r="H43" s="442"/>
      <c r="I43" s="425"/>
      <c r="J43" s="2467"/>
      <c r="K43" s="2445"/>
      <c r="L43" s="428"/>
      <c r="M43" s="429"/>
      <c r="N43" s="428"/>
      <c r="O43" s="429"/>
      <c r="P43" s="2445"/>
      <c r="Q43" s="2445"/>
      <c r="R43" s="2445"/>
      <c r="S43" s="2445"/>
      <c r="T43" s="2446"/>
      <c r="U43" s="2447"/>
      <c r="V43" s="21"/>
      <c r="W43" s="1063">
        <f>'03 食事申込書'!A44</f>
        <v>0</v>
      </c>
      <c r="X43" s="1064" t="s">
        <v>14</v>
      </c>
      <c r="Y43" s="2556">
        <f>'03 食事申込書'!C44</f>
        <v>0</v>
      </c>
      <c r="Z43" s="2557"/>
      <c r="AA43" s="2557"/>
      <c r="AB43" s="2558"/>
      <c r="AC43" s="1062">
        <f>'03 食事申込書'!H44</f>
        <v>0</v>
      </c>
      <c r="AD43" s="1065" t="s">
        <v>122</v>
      </c>
      <c r="AE43" s="1066">
        <f>'03 食事申込書'!J44</f>
        <v>0</v>
      </c>
      <c r="AF43" s="1067">
        <f>'03 食事申込書'!K44</f>
        <v>0</v>
      </c>
      <c r="AG43" s="1065" t="s">
        <v>122</v>
      </c>
      <c r="AH43" s="1068">
        <f>'03 食事申込書'!M44</f>
        <v>0</v>
      </c>
      <c r="AI43" s="1069">
        <f>'03 食事申込書'!N44</f>
        <v>0</v>
      </c>
      <c r="AJ43" s="1065" t="s">
        <v>122</v>
      </c>
      <c r="AK43" s="1068">
        <f>'03 食事申込書'!P44</f>
        <v>0</v>
      </c>
      <c r="AL43" s="1069">
        <f>'03 食事申込書'!Q44</f>
        <v>0</v>
      </c>
      <c r="AM43" s="1065" t="s">
        <v>122</v>
      </c>
      <c r="AN43" s="1068">
        <f>'03 食事申込書'!S44</f>
        <v>0</v>
      </c>
      <c r="AO43" s="1069">
        <f>'03 食事申込書'!T44</f>
        <v>0</v>
      </c>
      <c r="AP43" s="1065" t="s">
        <v>122</v>
      </c>
      <c r="AQ43" s="1068">
        <f>'03 食事申込書'!V44</f>
        <v>0</v>
      </c>
      <c r="AR43" s="1070">
        <f>'03 食事申込書'!W44</f>
        <v>0</v>
      </c>
      <c r="AS43" s="1071" t="s">
        <v>32</v>
      </c>
      <c r="AT43" s="1071">
        <f>'03 食事申込書'!Y44</f>
        <v>0</v>
      </c>
      <c r="AU43" s="1072" t="s">
        <v>3219</v>
      </c>
      <c r="AV43" s="1057"/>
      <c r="AW43" s="1057"/>
      <c r="AX43" s="226"/>
      <c r="AY43" s="226"/>
      <c r="AZ43" s="226"/>
      <c r="BA43" s="226"/>
      <c r="BB43" s="2551"/>
      <c r="BC43" s="2427"/>
      <c r="BD43" s="2401"/>
      <c r="BE43" s="2418"/>
      <c r="BF43" s="2419"/>
      <c r="BG43" s="2420"/>
      <c r="BH43" s="2421"/>
      <c r="BI43" s="442"/>
      <c r="BJ43" s="425"/>
      <c r="BK43" s="2467"/>
      <c r="BL43" s="2445"/>
      <c r="BM43" s="428"/>
      <c r="BN43" s="429"/>
      <c r="BO43" s="428"/>
      <c r="BP43" s="429"/>
      <c r="BQ43" s="2445"/>
      <c r="BR43" s="2445"/>
      <c r="BS43" s="2445"/>
      <c r="BT43" s="2445"/>
      <c r="BU43" s="2446"/>
      <c r="BV43" s="2447"/>
      <c r="BW43" s="493"/>
      <c r="BX43" s="232"/>
      <c r="BY43" s="231"/>
      <c r="BZ43" s="231"/>
      <c r="CA43" s="231"/>
      <c r="CB43" s="195"/>
      <c r="CC43" s="194"/>
      <c r="CD43" s="195"/>
      <c r="CE43" s="195"/>
      <c r="CF43" s="194"/>
      <c r="CG43" s="195"/>
      <c r="CH43" s="195"/>
      <c r="CI43" s="194"/>
      <c r="CJ43" s="195"/>
      <c r="CK43" s="195"/>
      <c r="CL43" s="194"/>
      <c r="CM43" s="224"/>
      <c r="CN43" s="227"/>
      <c r="CO43" s="227"/>
      <c r="CP43" s="227"/>
      <c r="CQ43" s="194"/>
      <c r="CR43" s="227"/>
      <c r="CS43" s="227"/>
      <c r="CT43" s="225"/>
      <c r="CU43" s="226"/>
      <c r="CV43" s="226"/>
      <c r="CW43" s="226"/>
      <c r="CX43" s="226"/>
      <c r="CY43" s="19"/>
      <c r="CZ43" s="19"/>
      <c r="DA43" s="19"/>
      <c r="DB43" s="23" t="s">
        <v>2910</v>
      </c>
      <c r="DC43" s="19">
        <v>90</v>
      </c>
      <c r="DD43" s="19"/>
      <c r="DE43" s="84"/>
      <c r="DF43" s="84"/>
      <c r="DG43" s="84"/>
      <c r="DH43" s="83"/>
      <c r="DI43" s="83"/>
      <c r="DJ43" s="83"/>
      <c r="DK43" s="83"/>
      <c r="DL43" s="83"/>
      <c r="DM43" s="83"/>
      <c r="DN43" s="83"/>
      <c r="DO43" s="83"/>
      <c r="DP43" s="83"/>
      <c r="DQ43" s="83"/>
      <c r="DR43" s="83"/>
      <c r="DS43" s="83"/>
      <c r="DT43" s="83"/>
      <c r="DU43" s="83"/>
      <c r="DV43" s="83"/>
      <c r="DW43" s="83"/>
      <c r="DX43" s="83"/>
      <c r="DY43" s="83"/>
      <c r="DZ43" s="83"/>
      <c r="EA43" s="83"/>
    </row>
    <row r="44" spans="1:131" ht="27" customHeight="1" thickBot="1">
      <c r="A44" s="2413"/>
      <c r="B44" s="2427"/>
      <c r="C44" s="2401"/>
      <c r="D44" s="2464"/>
      <c r="E44" s="2464"/>
      <c r="F44" s="2464"/>
      <c r="G44" s="2464"/>
      <c r="H44" s="443"/>
      <c r="I44" s="444"/>
      <c r="J44" s="2465"/>
      <c r="K44" s="2466"/>
      <c r="L44" s="432"/>
      <c r="M44" s="433"/>
      <c r="N44" s="432"/>
      <c r="O44" s="433"/>
      <c r="P44" s="2466"/>
      <c r="Q44" s="2466"/>
      <c r="R44" s="2466"/>
      <c r="S44" s="2466"/>
      <c r="T44" s="2474"/>
      <c r="U44" s="2475"/>
      <c r="V44" s="22"/>
      <c r="W44" s="1073">
        <f>'03 食事申込書'!A46</f>
        <v>0</v>
      </c>
      <c r="X44" s="1074" t="s">
        <v>14</v>
      </c>
      <c r="Y44" s="2583">
        <f>'03 食事申込書'!C46</f>
        <v>0</v>
      </c>
      <c r="Z44" s="2584"/>
      <c r="AA44" s="2584"/>
      <c r="AB44" s="2585"/>
      <c r="AC44" s="1075">
        <f>'03 食事申込書'!H46</f>
        <v>0</v>
      </c>
      <c r="AD44" s="1076" t="s">
        <v>3214</v>
      </c>
      <c r="AE44" s="1077">
        <f>'03 食事申込書'!J46</f>
        <v>0</v>
      </c>
      <c r="AF44" s="1075">
        <f>'03 食事申込書'!K46</f>
        <v>0</v>
      </c>
      <c r="AG44" s="1076" t="s">
        <v>3214</v>
      </c>
      <c r="AH44" s="1077">
        <f>'03 食事申込書'!M46</f>
        <v>0</v>
      </c>
      <c r="AI44" s="1075">
        <f>'03 食事申込書'!N46</f>
        <v>0</v>
      </c>
      <c r="AJ44" s="1076" t="s">
        <v>3214</v>
      </c>
      <c r="AK44" s="1077">
        <f>'03 食事申込書'!P46</f>
        <v>0</v>
      </c>
      <c r="AL44" s="1075">
        <f>'03 食事申込書'!Q46</f>
        <v>0</v>
      </c>
      <c r="AM44" s="1076" t="s">
        <v>3214</v>
      </c>
      <c r="AN44" s="1077">
        <f>'03 食事申込書'!S46</f>
        <v>0</v>
      </c>
      <c r="AO44" s="1075">
        <f>'03 食事申込書'!T46</f>
        <v>0</v>
      </c>
      <c r="AP44" s="1076" t="s">
        <v>3214</v>
      </c>
      <c r="AQ44" s="1077">
        <f>'03 食事申込書'!V46</f>
        <v>0</v>
      </c>
      <c r="AR44" s="1078">
        <f>'03 食事申込書'!W46</f>
        <v>0</v>
      </c>
      <c r="AS44" s="1079" t="s">
        <v>3221</v>
      </c>
      <c r="AT44" s="1080">
        <f>'03 食事申込書'!Y46</f>
        <v>0</v>
      </c>
      <c r="AU44" s="1081" t="s">
        <v>3222</v>
      </c>
      <c r="AV44" s="226"/>
      <c r="AW44" s="226"/>
      <c r="AX44" s="226"/>
      <c r="AY44" s="226"/>
      <c r="AZ44" s="226"/>
      <c r="BA44" s="226"/>
      <c r="BB44" s="2551"/>
      <c r="BC44" s="2427"/>
      <c r="BD44" s="2401"/>
      <c r="BE44" s="2464"/>
      <c r="BF44" s="2464"/>
      <c r="BG44" s="2464"/>
      <c r="BH44" s="2464"/>
      <c r="BI44" s="443"/>
      <c r="BJ44" s="444"/>
      <c r="BK44" s="2465"/>
      <c r="BL44" s="2466"/>
      <c r="BM44" s="432"/>
      <c r="BN44" s="433"/>
      <c r="BO44" s="432"/>
      <c r="BP44" s="433"/>
      <c r="BQ44" s="2466"/>
      <c r="BR44" s="2466"/>
      <c r="BS44" s="2466"/>
      <c r="BT44" s="2466"/>
      <c r="BU44" s="2474"/>
      <c r="BV44" s="2475"/>
      <c r="BW44" s="501"/>
      <c r="BX44" s="232"/>
      <c r="BY44" s="231"/>
      <c r="BZ44" s="231"/>
      <c r="CA44" s="231"/>
      <c r="CB44" s="195"/>
      <c r="CC44" s="194"/>
      <c r="CD44" s="195"/>
      <c r="CE44" s="195"/>
      <c r="CF44" s="194"/>
      <c r="CG44" s="195"/>
      <c r="CH44" s="195"/>
      <c r="CI44" s="194"/>
      <c r="CJ44" s="195"/>
      <c r="CK44" s="195"/>
      <c r="CL44" s="194"/>
      <c r="CM44" s="224"/>
      <c r="CN44" s="227"/>
      <c r="CO44" s="227"/>
      <c r="CP44" s="227"/>
      <c r="CQ44" s="194"/>
      <c r="CR44" s="227"/>
      <c r="CS44" s="227"/>
      <c r="CT44" s="225"/>
      <c r="CU44" s="226"/>
      <c r="CV44" s="226"/>
      <c r="CW44" s="226"/>
      <c r="CX44" s="226"/>
      <c r="CY44" s="19"/>
      <c r="CZ44" s="19"/>
      <c r="DA44" s="19"/>
      <c r="DB44" s="23" t="s">
        <v>2913</v>
      </c>
      <c r="DC44" s="19">
        <v>90</v>
      </c>
      <c r="DD44" s="19"/>
      <c r="DE44" s="84"/>
      <c r="DF44" s="84"/>
      <c r="DG44" s="84"/>
      <c r="DH44" s="83"/>
      <c r="DI44" s="83"/>
      <c r="DJ44" s="83"/>
      <c r="DK44" s="83"/>
      <c r="DL44" s="83"/>
      <c r="DM44" s="83"/>
      <c r="DN44" s="83"/>
      <c r="DO44" s="83"/>
      <c r="DP44" s="83"/>
      <c r="DQ44" s="83"/>
      <c r="DR44" s="83"/>
      <c r="DS44" s="83"/>
      <c r="DT44" s="83"/>
      <c r="DU44" s="83"/>
      <c r="DV44" s="83"/>
      <c r="DW44" s="83"/>
      <c r="DX44" s="83"/>
      <c r="DY44" s="83"/>
      <c r="DZ44" s="83"/>
      <c r="EA44" s="83"/>
    </row>
    <row r="45" spans="1:131" ht="27" customHeight="1" thickBot="1">
      <c r="A45" s="2413"/>
      <c r="B45" s="2427"/>
      <c r="C45" s="2402"/>
      <c r="D45" s="2373" t="s">
        <v>555</v>
      </c>
      <c r="E45" s="2374"/>
      <c r="F45" s="2374"/>
      <c r="G45" s="2374"/>
      <c r="H45" s="2375"/>
      <c r="I45" s="445">
        <f>SUM(I38:I41)</f>
        <v>0</v>
      </c>
      <c r="J45" s="2489">
        <f>J38*H38+J39*H39+J40*H40+J41*H41</f>
        <v>0</v>
      </c>
      <c r="K45" s="2487"/>
      <c r="L45" s="446">
        <f>L38*$H$38+L39*$H$39+L40*$H$40+L41*$H$41</f>
        <v>0</v>
      </c>
      <c r="M45" s="446">
        <f>M38*$H$38+M39*$H$39+M40*$H$40+M41*$H$41</f>
        <v>0</v>
      </c>
      <c r="N45" s="446">
        <f>N38*$H$38+N39*$H$39+N40*$H$40+N41*$H$41</f>
        <v>0</v>
      </c>
      <c r="O45" s="446">
        <f>O38*$H$38+O39*$H$39+O40*$H$40+O41*$H$41</f>
        <v>0</v>
      </c>
      <c r="P45" s="2486">
        <f>P38*$H$38+P39*$H$39+P40*$H$40+P41*$H$41</f>
        <v>0</v>
      </c>
      <c r="Q45" s="2487"/>
      <c r="R45" s="2486">
        <f>R38*$H$38+R39*$H$39+R40*$H$40+R41*$H$41</f>
        <v>0</v>
      </c>
      <c r="S45" s="2487"/>
      <c r="T45" s="2490">
        <f>IF(COUNTIF(T38:U41,"人数を再確認！"),"人数を再確認！",SUM(T38:U41))</f>
        <v>0</v>
      </c>
      <c r="U45" s="2490"/>
      <c r="V45" s="22"/>
      <c r="W45" s="232"/>
      <c r="X45" s="231"/>
      <c r="Y45" s="231"/>
      <c r="Z45" s="231"/>
      <c r="AA45" s="195"/>
      <c r="AB45" s="194"/>
      <c r="AC45" s="195"/>
      <c r="AD45" s="195"/>
      <c r="AE45" s="194"/>
      <c r="AF45" s="195"/>
      <c r="AG45" s="195"/>
      <c r="AH45" s="194"/>
      <c r="AI45" s="195"/>
      <c r="AJ45" s="195"/>
      <c r="AK45" s="194"/>
      <c r="AL45" s="224"/>
      <c r="AM45" s="227"/>
      <c r="AN45" s="227"/>
      <c r="AO45" s="227"/>
      <c r="AP45" s="194"/>
      <c r="AQ45" s="227"/>
      <c r="AR45" s="227"/>
      <c r="AS45" s="225"/>
      <c r="AT45" s="226"/>
      <c r="AU45" s="226"/>
      <c r="AV45" s="226"/>
      <c r="AW45" s="226"/>
      <c r="AX45" s="226"/>
      <c r="AY45" s="226"/>
      <c r="AZ45" s="226"/>
      <c r="BA45" s="226"/>
      <c r="BB45" s="2551"/>
      <c r="BC45" s="2427"/>
      <c r="BD45" s="2402"/>
      <c r="BE45" s="2373" t="s">
        <v>555</v>
      </c>
      <c r="BF45" s="2374"/>
      <c r="BG45" s="2374"/>
      <c r="BH45" s="2374"/>
      <c r="BI45" s="2375"/>
      <c r="BJ45" s="445">
        <f>SUM(BJ38:BJ41)</f>
        <v>3</v>
      </c>
      <c r="BK45" s="2489">
        <f>BK38*BI38+BK39*BI39+BK40*BI40+BK41*BI41</f>
        <v>0</v>
      </c>
      <c r="BL45" s="2487"/>
      <c r="BM45" s="446">
        <f>BM38*$H$38+BM39*$H$39+BM40*$H$40+BM41*$H$41</f>
        <v>0</v>
      </c>
      <c r="BN45" s="446">
        <f>BN38*$H$38+BN39*$H$39+BN40*$H$40+BN41*$H$41</f>
        <v>0</v>
      </c>
      <c r="BO45" s="446">
        <f>BO38*$H$38+BO39*$H$39+BO40*$H$40+BO41*$H$41</f>
        <v>0</v>
      </c>
      <c r="BP45" s="446">
        <f>BP38*$H$38+BP39*$H$39+BP40*$H$40+BP41*$H$41</f>
        <v>700</v>
      </c>
      <c r="BQ45" s="2486">
        <f>BQ38*$H$38+BQ39*$H$39+BQ40*$H$40+BQ41*$H$41</f>
        <v>350</v>
      </c>
      <c r="BR45" s="2487"/>
      <c r="BS45" s="2486">
        <f>BS38*$H$38+BS39*$H$39+BS40*$H$40+BS41*$H$41</f>
        <v>0</v>
      </c>
      <c r="BT45" s="2487"/>
      <c r="BU45" s="2545">
        <f>SUM(BU38:BV41)</f>
        <v>1050</v>
      </c>
      <c r="BV45" s="2545"/>
      <c r="BW45" s="501"/>
      <c r="BX45" s="232"/>
      <c r="BY45" s="231"/>
      <c r="BZ45" s="231"/>
      <c r="CA45" s="231"/>
      <c r="CB45" s="195"/>
      <c r="CC45" s="194"/>
      <c r="CD45" s="195"/>
      <c r="CE45" s="195"/>
      <c r="CF45" s="194"/>
      <c r="CG45" s="195"/>
      <c r="CH45" s="195"/>
      <c r="CI45" s="194"/>
      <c r="CJ45" s="195"/>
      <c r="CK45" s="195"/>
      <c r="CL45" s="194"/>
      <c r="CM45" s="224"/>
      <c r="CN45" s="227"/>
      <c r="CO45" s="227"/>
      <c r="CP45" s="227"/>
      <c r="CQ45" s="194"/>
      <c r="CR45" s="227"/>
      <c r="CS45" s="227"/>
      <c r="CT45" s="225"/>
      <c r="CU45" s="226"/>
      <c r="CV45" s="226"/>
      <c r="CW45" s="226"/>
      <c r="CX45" s="226"/>
      <c r="CY45" s="19"/>
      <c r="CZ45" s="19"/>
      <c r="DA45" s="19"/>
      <c r="DB45" s="23" t="s">
        <v>2914</v>
      </c>
      <c r="DC45" s="19">
        <v>90</v>
      </c>
      <c r="DD45" s="19"/>
      <c r="DE45" s="84"/>
      <c r="DF45" s="84"/>
      <c r="DG45" s="84"/>
      <c r="DH45" s="83"/>
      <c r="DI45" s="83"/>
      <c r="DJ45" s="83"/>
      <c r="DK45" s="83"/>
      <c r="DL45" s="83"/>
      <c r="DM45" s="83"/>
      <c r="DN45" s="83"/>
      <c r="DO45" s="83"/>
      <c r="DP45" s="83"/>
      <c r="DQ45" s="83"/>
      <c r="DR45" s="83"/>
      <c r="DS45" s="83"/>
      <c r="DT45" s="83"/>
      <c r="DU45" s="83"/>
      <c r="DV45" s="83"/>
      <c r="DW45" s="83"/>
      <c r="DX45" s="83"/>
      <c r="DY45" s="83"/>
      <c r="DZ45" s="83"/>
      <c r="EA45" s="83"/>
    </row>
    <row r="46" spans="1:131" ht="27" customHeight="1" thickTop="1">
      <c r="A46" s="2415"/>
      <c r="B46" s="2429"/>
      <c r="C46" s="2376" t="s">
        <v>556</v>
      </c>
      <c r="D46" s="2377"/>
      <c r="E46" s="2377"/>
      <c r="F46" s="2377"/>
      <c r="G46" s="2377"/>
      <c r="H46" s="2378"/>
      <c r="I46" s="447">
        <f>I37+I45</f>
        <v>0</v>
      </c>
      <c r="J46" s="2476">
        <f>J37+J45</f>
        <v>0</v>
      </c>
      <c r="K46" s="2477"/>
      <c r="L46" s="448">
        <f>L37+L45</f>
        <v>0</v>
      </c>
      <c r="M46" s="448">
        <f>M37+M45</f>
        <v>0</v>
      </c>
      <c r="N46" s="448">
        <f>N37+N45</f>
        <v>0</v>
      </c>
      <c r="O46" s="448">
        <f>O37+O45</f>
        <v>0</v>
      </c>
      <c r="P46" s="2478">
        <f>P37+P45</f>
        <v>0</v>
      </c>
      <c r="Q46" s="2479"/>
      <c r="R46" s="2478">
        <f>R37+R45</f>
        <v>0</v>
      </c>
      <c r="S46" s="2479"/>
      <c r="T46" s="2488">
        <f>IFERROR(T37+T45,"人数を再確認！")</f>
        <v>0</v>
      </c>
      <c r="U46" s="2488"/>
      <c r="V46" s="78"/>
      <c r="W46" s="232"/>
      <c r="X46" s="231"/>
      <c r="Y46" s="231"/>
      <c r="Z46" s="231"/>
      <c r="AA46" s="195"/>
      <c r="AB46" s="194"/>
      <c r="AC46" s="195"/>
      <c r="AD46" s="195"/>
      <c r="AE46" s="194"/>
      <c r="AF46" s="195"/>
      <c r="AG46" s="195"/>
      <c r="AH46" s="194"/>
      <c r="AI46" s="195"/>
      <c r="AJ46" s="195"/>
      <c r="AK46" s="194"/>
      <c r="AL46" s="224"/>
      <c r="AM46" s="227"/>
      <c r="AN46" s="227"/>
      <c r="AO46" s="227"/>
      <c r="AP46" s="194"/>
      <c r="AQ46" s="227"/>
      <c r="AR46" s="227"/>
      <c r="AS46" s="225"/>
      <c r="AT46" s="226"/>
      <c r="AU46" s="226"/>
      <c r="AV46" s="226"/>
      <c r="AW46" s="226"/>
      <c r="AX46" s="226"/>
      <c r="AY46" s="226"/>
      <c r="AZ46" s="226"/>
      <c r="BA46" s="226"/>
      <c r="BB46" s="2552"/>
      <c r="BC46" s="2429"/>
      <c r="BD46" s="2376" t="s">
        <v>556</v>
      </c>
      <c r="BE46" s="2377"/>
      <c r="BF46" s="2377"/>
      <c r="BG46" s="2377"/>
      <c r="BH46" s="2377"/>
      <c r="BI46" s="2378"/>
      <c r="BJ46" s="447">
        <f>BJ37+BJ45</f>
        <v>111</v>
      </c>
      <c r="BK46" s="2476">
        <f>BK37+BK45</f>
        <v>29700</v>
      </c>
      <c r="BL46" s="2477"/>
      <c r="BM46" s="448">
        <f>BM37+BM45</f>
        <v>2310</v>
      </c>
      <c r="BN46" s="448">
        <f>BN37+BN45</f>
        <v>0</v>
      </c>
      <c r="BO46" s="448">
        <f>BO37+BO45</f>
        <v>0</v>
      </c>
      <c r="BP46" s="448">
        <f>BP37+BP45</f>
        <v>700</v>
      </c>
      <c r="BQ46" s="2478">
        <f>BQ37+BQ45</f>
        <v>350</v>
      </c>
      <c r="BR46" s="2479"/>
      <c r="BS46" s="2478">
        <f>BS37+BS45</f>
        <v>0</v>
      </c>
      <c r="BT46" s="2479"/>
      <c r="BU46" s="2553">
        <f>BU37+BU45</f>
        <v>33060</v>
      </c>
      <c r="BV46" s="2553"/>
      <c r="BW46" s="509"/>
      <c r="BX46" s="232"/>
      <c r="BY46" s="231"/>
      <c r="BZ46" s="231"/>
      <c r="CA46" s="231"/>
      <c r="CB46" s="195"/>
      <c r="CC46" s="194"/>
      <c r="CD46" s="195"/>
      <c r="CE46" s="195"/>
      <c r="CF46" s="194"/>
      <c r="CG46" s="195"/>
      <c r="CH46" s="195"/>
      <c r="CI46" s="194"/>
      <c r="CJ46" s="195"/>
      <c r="CK46" s="195"/>
      <c r="CL46" s="194"/>
      <c r="CM46" s="224"/>
      <c r="CN46" s="227"/>
      <c r="CO46" s="227"/>
      <c r="CP46" s="227"/>
      <c r="CQ46" s="194"/>
      <c r="CR46" s="227"/>
      <c r="CS46" s="227"/>
      <c r="CT46" s="225"/>
      <c r="CU46" s="226"/>
      <c r="CV46" s="226"/>
      <c r="CW46" s="226"/>
      <c r="CX46" s="226"/>
      <c r="CY46" s="19"/>
      <c r="CZ46" s="19"/>
      <c r="DA46" s="19"/>
      <c r="DB46" s="23" t="s">
        <v>2915</v>
      </c>
      <c r="DC46" s="19">
        <v>130</v>
      </c>
      <c r="DD46" s="19"/>
      <c r="DE46" s="84"/>
      <c r="DF46" s="84"/>
      <c r="DG46" s="84"/>
      <c r="DH46" s="83"/>
      <c r="DI46" s="83"/>
      <c r="DJ46" s="83"/>
      <c r="DK46" s="83"/>
      <c r="DL46" s="83"/>
      <c r="DM46" s="83"/>
      <c r="DN46" s="83"/>
      <c r="DO46" s="83"/>
      <c r="DP46" s="83"/>
      <c r="DQ46" s="83"/>
      <c r="DR46" s="83"/>
      <c r="DS46" s="83"/>
      <c r="DT46" s="83"/>
      <c r="DU46" s="83"/>
      <c r="DV46" s="83"/>
      <c r="DW46" s="83"/>
      <c r="DX46" s="83"/>
      <c r="DY46" s="83"/>
      <c r="DZ46" s="83"/>
      <c r="EA46" s="83"/>
    </row>
    <row r="47" spans="1:131" ht="27" customHeight="1">
      <c r="A47" s="2412" t="s">
        <v>2854</v>
      </c>
      <c r="B47" s="2412"/>
      <c r="C47" s="2412"/>
      <c r="D47" s="2412"/>
      <c r="E47" s="2412"/>
      <c r="F47" s="2412"/>
      <c r="G47" s="2412"/>
      <c r="H47" s="2412"/>
      <c r="I47" s="2412"/>
      <c r="J47" s="2412"/>
      <c r="K47" s="2412"/>
      <c r="L47" s="2412"/>
      <c r="M47" s="2412"/>
      <c r="N47" s="2412"/>
      <c r="O47" s="2412"/>
      <c r="P47" s="2412"/>
      <c r="Q47" s="2412"/>
      <c r="R47" s="2412"/>
      <c r="S47" s="2412"/>
      <c r="T47" s="2412"/>
      <c r="U47" s="2412"/>
      <c r="V47" s="25"/>
      <c r="W47" s="232"/>
      <c r="X47" s="231"/>
      <c r="Y47" s="231"/>
      <c r="Z47" s="231"/>
      <c r="AA47" s="195"/>
      <c r="AB47" s="194"/>
      <c r="AC47" s="195"/>
      <c r="AD47" s="195"/>
      <c r="AE47" s="194"/>
      <c r="AF47" s="195"/>
      <c r="AG47" s="195"/>
      <c r="AH47" s="194"/>
      <c r="AI47" s="195"/>
      <c r="AJ47" s="195"/>
      <c r="AK47" s="194"/>
      <c r="AL47" s="224"/>
      <c r="AM47" s="227"/>
      <c r="AN47" s="227"/>
      <c r="AO47" s="227"/>
      <c r="AP47" s="194"/>
      <c r="AQ47" s="227"/>
      <c r="AR47" s="227"/>
      <c r="AS47" s="225"/>
      <c r="AT47" s="226"/>
      <c r="AU47" s="226"/>
      <c r="AV47" s="226"/>
      <c r="AW47" s="226"/>
      <c r="AX47" s="226"/>
      <c r="AY47" s="226"/>
      <c r="AZ47" s="226"/>
      <c r="BA47" s="226"/>
      <c r="BB47" s="2550" t="s">
        <v>2854</v>
      </c>
      <c r="BC47" s="2550"/>
      <c r="BD47" s="2550"/>
      <c r="BE47" s="2550"/>
      <c r="BF47" s="2550"/>
      <c r="BG47" s="2550"/>
      <c r="BH47" s="2550"/>
      <c r="BI47" s="2550"/>
      <c r="BJ47" s="2550"/>
      <c r="BK47" s="2550"/>
      <c r="BL47" s="2550"/>
      <c r="BM47" s="2550"/>
      <c r="BN47" s="2550"/>
      <c r="BO47" s="2550"/>
      <c r="BP47" s="2550"/>
      <c r="BQ47" s="2550"/>
      <c r="BR47" s="2550"/>
      <c r="BS47" s="2550"/>
      <c r="BT47" s="2550"/>
      <c r="BU47" s="2550"/>
      <c r="BV47" s="2550"/>
      <c r="BW47" s="510"/>
      <c r="BX47" s="232"/>
      <c r="BY47" s="231"/>
      <c r="BZ47" s="231"/>
      <c r="CA47" s="231"/>
      <c r="CB47" s="195"/>
      <c r="CC47" s="194"/>
      <c r="CD47" s="195"/>
      <c r="CE47" s="195"/>
      <c r="CF47" s="194"/>
      <c r="CG47" s="195"/>
      <c r="CH47" s="195"/>
      <c r="CI47" s="194"/>
      <c r="CJ47" s="195"/>
      <c r="CK47" s="195"/>
      <c r="CL47" s="194"/>
      <c r="CM47" s="224"/>
      <c r="CN47" s="227"/>
      <c r="CO47" s="227"/>
      <c r="CP47" s="227"/>
      <c r="CQ47" s="194"/>
      <c r="CR47" s="227"/>
      <c r="CS47" s="227"/>
      <c r="CT47" s="225"/>
      <c r="CU47" s="226"/>
      <c r="CV47" s="226"/>
      <c r="CW47" s="226"/>
      <c r="CX47" s="226"/>
      <c r="CY47" s="19"/>
      <c r="CZ47" s="19"/>
      <c r="DA47" s="19"/>
      <c r="DB47" s="23" t="s">
        <v>2916</v>
      </c>
      <c r="DC47" s="19">
        <v>130</v>
      </c>
      <c r="DD47" s="19"/>
      <c r="DE47" s="84"/>
      <c r="DF47" s="84"/>
      <c r="DG47" s="84"/>
      <c r="DH47" s="83"/>
      <c r="DI47" s="83"/>
      <c r="DJ47" s="83"/>
      <c r="DK47" s="83"/>
      <c r="DL47" s="83"/>
      <c r="DM47" s="83"/>
      <c r="DN47" s="83"/>
      <c r="DO47" s="83"/>
      <c r="DP47" s="83"/>
      <c r="DQ47" s="83"/>
      <c r="DR47" s="83"/>
      <c r="DS47" s="83"/>
      <c r="DT47" s="83"/>
      <c r="DU47" s="83"/>
      <c r="DV47" s="83"/>
      <c r="DW47" s="83"/>
      <c r="DX47" s="83"/>
      <c r="DY47" s="83"/>
      <c r="DZ47" s="83"/>
      <c r="EA47" s="83"/>
    </row>
    <row r="48" spans="1:131" ht="23.25" customHeight="1">
      <c r="A48" s="124"/>
      <c r="B48" s="124"/>
      <c r="C48" s="124"/>
      <c r="D48" s="124"/>
      <c r="E48" s="124"/>
      <c r="F48" s="124"/>
      <c r="G48" s="124"/>
      <c r="H48" s="124"/>
      <c r="I48" s="124"/>
      <c r="J48" s="124"/>
      <c r="K48" s="124"/>
      <c r="L48" s="124"/>
      <c r="M48" s="124"/>
      <c r="N48" s="124"/>
      <c r="O48" s="124"/>
      <c r="P48" s="125"/>
      <c r="Q48" s="125"/>
      <c r="R48" s="125"/>
      <c r="S48" s="125"/>
      <c r="T48" s="125"/>
      <c r="U48" s="125"/>
      <c r="V48" s="92"/>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75"/>
      <c r="BC48" s="15"/>
      <c r="BD48" s="15"/>
      <c r="BE48" s="15"/>
      <c r="BF48" s="23"/>
      <c r="BG48" s="19"/>
      <c r="BH48" s="15"/>
      <c r="BI48" s="16"/>
      <c r="BJ48" s="15"/>
      <c r="BK48" s="83"/>
      <c r="BL48" s="83"/>
      <c r="BM48" s="83"/>
      <c r="BN48" s="83"/>
      <c r="BO48" s="83"/>
      <c r="BP48" s="83"/>
      <c r="BQ48" s="83"/>
      <c r="BR48" s="83"/>
      <c r="BS48" s="83"/>
      <c r="BT48" s="83"/>
      <c r="BU48" s="83"/>
      <c r="BV48" s="83"/>
      <c r="CY48" s="84"/>
      <c r="CZ48" s="84"/>
      <c r="DA48" s="84"/>
      <c r="DB48" s="23" t="s">
        <v>2919</v>
      </c>
      <c r="DC48" s="19">
        <v>130</v>
      </c>
      <c r="DD48" s="84"/>
      <c r="DE48" s="84"/>
      <c r="DF48" s="84"/>
      <c r="DG48" s="84"/>
      <c r="DH48" s="83"/>
      <c r="DI48" s="83"/>
      <c r="DJ48" s="83"/>
      <c r="DK48" s="83"/>
      <c r="DL48" s="83"/>
      <c r="DM48" s="83"/>
      <c r="DN48" s="83"/>
      <c r="DO48" s="83"/>
      <c r="DP48" s="83"/>
      <c r="DQ48" s="83"/>
      <c r="DR48" s="83"/>
      <c r="DS48" s="83"/>
      <c r="DT48" s="83"/>
      <c r="DU48" s="83"/>
      <c r="DV48" s="83"/>
      <c r="DW48" s="83"/>
      <c r="DX48" s="83"/>
      <c r="DY48" s="83"/>
      <c r="DZ48" s="83"/>
      <c r="EA48" s="83"/>
    </row>
    <row r="49" spans="1:131" ht="15" customHeight="1">
      <c r="A49" s="124"/>
      <c r="B49" s="124"/>
      <c r="C49" s="124"/>
      <c r="D49" s="124"/>
      <c r="E49" s="124"/>
      <c r="F49" s="124"/>
      <c r="G49" s="124"/>
      <c r="H49" s="124"/>
      <c r="I49" s="124"/>
      <c r="J49" s="124"/>
      <c r="K49" s="124"/>
      <c r="L49" s="124"/>
      <c r="M49" s="124"/>
      <c r="N49" s="124"/>
      <c r="O49" s="124"/>
      <c r="P49" s="125"/>
      <c r="Q49" s="125"/>
      <c r="R49" s="125"/>
      <c r="S49" s="125"/>
      <c r="T49" s="125"/>
      <c r="U49" s="125"/>
      <c r="V49" s="87"/>
      <c r="W49" s="126"/>
      <c r="X49" s="126"/>
      <c r="Y49" s="126"/>
      <c r="Z49" s="126"/>
      <c r="AA49" s="126"/>
      <c r="AB49" s="126"/>
      <c r="AC49" s="126"/>
      <c r="AD49" s="126"/>
      <c r="AE49" s="126"/>
      <c r="AF49" s="126"/>
      <c r="AG49" s="126"/>
      <c r="AK49" s="126"/>
      <c r="AL49" s="126"/>
      <c r="AM49" s="126"/>
      <c r="AN49" s="126"/>
      <c r="AO49" s="126"/>
      <c r="AP49" s="126"/>
      <c r="AQ49" s="126"/>
      <c r="AR49" s="126"/>
      <c r="AS49" s="126"/>
      <c r="AT49" s="126"/>
      <c r="AU49" s="126"/>
      <c r="AV49" s="126"/>
      <c r="AW49" s="126"/>
      <c r="AX49" s="126"/>
      <c r="AY49" s="126"/>
      <c r="AZ49" s="126"/>
      <c r="BA49" s="126"/>
      <c r="BB49" s="17"/>
      <c r="BC49" s="15"/>
      <c r="BD49" s="15"/>
      <c r="BE49" s="15"/>
      <c r="BF49" s="808" t="s">
        <v>102</v>
      </c>
      <c r="BG49" s="802"/>
      <c r="BH49" s="801"/>
      <c r="BI49" s="809" t="s">
        <v>186</v>
      </c>
      <c r="BJ49" s="806" t="s">
        <v>562</v>
      </c>
      <c r="BK49" s="806" t="s">
        <v>563</v>
      </c>
      <c r="BL49" s="810"/>
      <c r="BM49" s="10"/>
      <c r="BN49" s="84"/>
      <c r="BO49" s="84"/>
      <c r="BP49" s="84"/>
      <c r="BQ49" s="84"/>
      <c r="BR49" s="84"/>
      <c r="BS49" s="84"/>
      <c r="BT49" s="84"/>
      <c r="BU49" s="83"/>
      <c r="BV49" s="83"/>
      <c r="CY49" s="84"/>
      <c r="CZ49" s="84"/>
      <c r="DA49" s="84"/>
      <c r="DB49" s="18" t="s">
        <v>102</v>
      </c>
      <c r="DC49" s="19"/>
      <c r="DD49" s="84"/>
      <c r="DE49" s="84"/>
      <c r="DF49" s="84"/>
      <c r="DG49" s="84"/>
      <c r="DH49" s="83"/>
      <c r="DI49" s="83"/>
      <c r="DJ49" s="83"/>
      <c r="DK49" s="83"/>
      <c r="DL49" s="83"/>
      <c r="DM49" s="83"/>
      <c r="DN49" s="83"/>
      <c r="DO49" s="83"/>
      <c r="DP49" s="83"/>
      <c r="DQ49" s="83"/>
      <c r="DR49" s="83"/>
      <c r="DS49" s="83"/>
      <c r="DT49" s="83"/>
      <c r="DU49" s="83"/>
      <c r="DV49" s="83"/>
      <c r="DW49" s="83"/>
      <c r="DX49" s="83"/>
      <c r="DY49" s="83"/>
      <c r="DZ49" s="83"/>
      <c r="EA49" s="83"/>
    </row>
    <row r="50" spans="1:131" ht="30" customHeight="1">
      <c r="A50" s="127"/>
      <c r="B50" s="127"/>
      <c r="C50" s="127"/>
      <c r="D50" s="127"/>
      <c r="E50" s="128"/>
      <c r="F50" s="128"/>
      <c r="G50" s="128"/>
      <c r="H50" s="128"/>
      <c r="I50" s="128"/>
      <c r="J50" s="128"/>
      <c r="K50" s="128"/>
      <c r="L50" s="128"/>
      <c r="M50" s="128"/>
      <c r="N50" s="127"/>
      <c r="O50" s="127"/>
      <c r="P50" s="127"/>
      <c r="Q50" s="129"/>
      <c r="R50" s="129"/>
      <c r="S50" s="129"/>
      <c r="T50" s="129"/>
      <c r="U50" s="129"/>
      <c r="V50" s="87"/>
      <c r="W50" s="130"/>
      <c r="X50" s="131"/>
      <c r="Y50" s="131"/>
      <c r="Z50" s="131"/>
      <c r="AA50" s="131"/>
      <c r="AB50" s="131"/>
      <c r="AC50" s="131"/>
      <c r="AD50" s="93"/>
      <c r="AE50" s="132"/>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94"/>
      <c r="BB50" s="17"/>
      <c r="BC50" s="15"/>
      <c r="BD50" s="15"/>
      <c r="BE50" s="15"/>
      <c r="BF50" s="801" t="s">
        <v>103</v>
      </c>
      <c r="BG50" s="802">
        <v>90</v>
      </c>
      <c r="BH50" s="801"/>
      <c r="BI50" s="811" t="s">
        <v>557</v>
      </c>
      <c r="BJ50" s="812">
        <f>SUMIFS($AQ$43:$AQ$47,$X$43:$X$47,"カレーライス")*2</f>
        <v>0</v>
      </c>
      <c r="BK50" s="809"/>
      <c r="BL50" s="813"/>
      <c r="BM50" s="84"/>
      <c r="BN50" s="84"/>
      <c r="BO50" s="84"/>
      <c r="BP50" s="84"/>
      <c r="BQ50" s="84"/>
      <c r="BR50" s="84"/>
      <c r="BS50" s="84"/>
      <c r="BT50" s="84"/>
      <c r="BU50" s="83"/>
      <c r="BV50" s="83"/>
      <c r="CY50" s="84"/>
      <c r="CZ50" s="84"/>
      <c r="DA50" s="84"/>
      <c r="DB50" s="23" t="s">
        <v>3080</v>
      </c>
      <c r="DC50" s="19">
        <v>90</v>
      </c>
      <c r="DD50" s="84"/>
      <c r="DE50" s="84"/>
      <c r="DF50" s="84"/>
      <c r="DG50" s="84"/>
      <c r="DH50" s="83"/>
      <c r="DI50" s="83"/>
      <c r="DJ50" s="83"/>
      <c r="DK50" s="83"/>
      <c r="DL50" s="83"/>
      <c r="DM50" s="83"/>
      <c r="DN50" s="83"/>
      <c r="DO50" s="83"/>
      <c r="DP50" s="83"/>
      <c r="DQ50" s="83"/>
      <c r="DR50" s="83"/>
      <c r="DS50" s="83"/>
      <c r="DT50" s="83"/>
      <c r="DU50" s="83"/>
      <c r="DV50" s="83"/>
      <c r="DW50" s="83"/>
      <c r="DX50" s="83"/>
      <c r="DY50" s="83"/>
      <c r="DZ50" s="83"/>
      <c r="EA50" s="83"/>
    </row>
    <row r="51" spans="1:131" ht="27" customHeight="1">
      <c r="A51" s="127"/>
      <c r="B51" s="127"/>
      <c r="C51" s="127"/>
      <c r="D51" s="127"/>
      <c r="E51" s="134"/>
      <c r="F51" s="134"/>
      <c r="G51" s="95"/>
      <c r="H51" s="96"/>
      <c r="I51" s="95"/>
      <c r="J51" s="96"/>
      <c r="K51" s="95"/>
      <c r="L51" s="95"/>
      <c r="M51" s="96"/>
      <c r="N51" s="95"/>
      <c r="O51" s="96"/>
      <c r="P51" s="95"/>
      <c r="Q51" s="97"/>
      <c r="R51" s="98"/>
      <c r="S51" s="95"/>
      <c r="T51" s="98"/>
      <c r="U51" s="99"/>
      <c r="V51" s="87"/>
      <c r="BB51" s="17"/>
      <c r="BC51" s="15"/>
      <c r="BD51" s="15"/>
      <c r="BE51" s="15"/>
      <c r="BF51" s="801" t="s">
        <v>245</v>
      </c>
      <c r="BG51" s="802">
        <v>600</v>
      </c>
      <c r="BH51" s="801"/>
      <c r="BI51" s="807" t="s">
        <v>558</v>
      </c>
      <c r="BJ51" s="812">
        <f>SUMIFS($AQ$43:$AQ$47,$Y$43:$Y$47,"牛丼")*2</f>
        <v>0</v>
      </c>
      <c r="BK51" s="809"/>
      <c r="BL51" s="813"/>
      <c r="BM51" s="84"/>
      <c r="BN51" s="84"/>
      <c r="BO51" s="84"/>
      <c r="BP51" s="84"/>
      <c r="BQ51" s="84"/>
      <c r="BR51" s="84"/>
      <c r="BS51" s="84"/>
      <c r="BT51" s="84"/>
      <c r="BU51" s="83"/>
      <c r="BV51" s="83"/>
      <c r="CY51" s="84"/>
      <c r="CZ51" s="84"/>
      <c r="DA51" s="84"/>
      <c r="DB51" s="23" t="s">
        <v>2921</v>
      </c>
      <c r="DC51" s="19">
        <v>500</v>
      </c>
      <c r="DD51" s="84"/>
      <c r="DE51" s="84"/>
      <c r="DF51" s="84"/>
      <c r="DG51" s="84"/>
      <c r="DH51" s="83"/>
      <c r="DI51" s="83"/>
      <c r="DJ51" s="83"/>
      <c r="DK51" s="83"/>
      <c r="DL51" s="83"/>
      <c r="DM51" s="83"/>
      <c r="DN51" s="83"/>
      <c r="DO51" s="83"/>
      <c r="DP51" s="83"/>
      <c r="DQ51" s="83"/>
      <c r="DR51" s="83"/>
      <c r="DS51" s="83"/>
      <c r="DT51" s="83"/>
      <c r="DU51" s="83"/>
      <c r="DV51" s="83"/>
      <c r="DW51" s="83"/>
      <c r="DX51" s="83"/>
      <c r="DY51" s="83"/>
      <c r="DZ51" s="83"/>
      <c r="EA51" s="83"/>
    </row>
    <row r="52" spans="1:131" ht="27"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5"/>
      <c r="X52" s="136"/>
      <c r="Y52" s="100"/>
      <c r="Z52" s="101"/>
      <c r="AA52" s="131"/>
      <c r="AB52" s="131"/>
      <c r="AC52" s="131"/>
      <c r="AD52" s="102"/>
      <c r="AE52" s="103"/>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04"/>
      <c r="BB52" s="17"/>
      <c r="BC52" s="15"/>
      <c r="BD52" s="15"/>
      <c r="BE52" s="15"/>
      <c r="BF52" s="801" t="s">
        <v>104</v>
      </c>
      <c r="BG52" s="802">
        <v>600</v>
      </c>
      <c r="BH52" s="801"/>
      <c r="BI52" s="807" t="s">
        <v>559</v>
      </c>
      <c r="BJ52" s="812">
        <f>SUMIFS($AQ$43:$AQ$47,$Y$43:$Y$47,"豚汁")*2</f>
        <v>0</v>
      </c>
      <c r="BK52" s="809"/>
      <c r="BL52" s="813"/>
      <c r="BM52" s="84"/>
      <c r="BN52" s="84"/>
      <c r="BO52" s="84"/>
      <c r="BP52" s="84"/>
      <c r="BQ52" s="84"/>
      <c r="BR52" s="84"/>
      <c r="BS52" s="84"/>
      <c r="BT52" s="84"/>
      <c r="BU52" s="83"/>
      <c r="BV52" s="83"/>
      <c r="CY52" s="84"/>
      <c r="CZ52" s="84"/>
      <c r="DA52" s="84"/>
      <c r="DB52" s="23" t="s">
        <v>104</v>
      </c>
      <c r="DC52" s="19">
        <v>600</v>
      </c>
      <c r="DD52" s="84"/>
      <c r="DE52" s="84"/>
      <c r="DF52" s="84"/>
      <c r="DG52" s="84"/>
      <c r="DH52" s="83"/>
      <c r="DI52" s="83"/>
      <c r="DJ52" s="83"/>
      <c r="DK52" s="83"/>
      <c r="DL52" s="83"/>
      <c r="DM52" s="83"/>
      <c r="DN52" s="83"/>
      <c r="DO52" s="83"/>
      <c r="DP52" s="83"/>
      <c r="DQ52" s="83"/>
      <c r="DR52" s="83"/>
      <c r="DS52" s="83"/>
      <c r="DT52" s="83"/>
      <c r="DU52" s="83"/>
      <c r="DV52" s="83"/>
      <c r="DW52" s="83"/>
      <c r="DX52" s="83"/>
      <c r="DY52" s="83"/>
      <c r="DZ52" s="83"/>
      <c r="EA52" s="83"/>
    </row>
    <row r="53" spans="1:131" ht="27"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5"/>
      <c r="X53" s="136"/>
      <c r="Y53" s="100"/>
      <c r="Z53" s="101"/>
      <c r="AA53" s="131"/>
      <c r="AB53" s="131"/>
      <c r="AC53" s="131"/>
      <c r="AD53" s="102"/>
      <c r="AE53" s="103"/>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04"/>
      <c r="BB53" s="76"/>
      <c r="BC53" s="15"/>
      <c r="BD53" s="15"/>
      <c r="BE53" s="15"/>
      <c r="BF53" s="801" t="s">
        <v>105</v>
      </c>
      <c r="BG53" s="802">
        <v>600</v>
      </c>
      <c r="BH53" s="801"/>
      <c r="BI53" s="807" t="s">
        <v>561</v>
      </c>
      <c r="BJ53" s="812">
        <f>SUMIFS($AQ$43:$AQ$47,$X$43:$X$47,"焼きそば")</f>
        <v>0</v>
      </c>
      <c r="BK53" s="809"/>
      <c r="BL53" s="813"/>
      <c r="BM53" s="84"/>
      <c r="BN53" s="84"/>
      <c r="BO53" s="84"/>
      <c r="BP53" s="84"/>
      <c r="BQ53" s="84"/>
      <c r="BR53" s="84"/>
      <c r="BS53" s="84"/>
      <c r="BT53" s="84"/>
      <c r="BU53" s="83"/>
      <c r="BV53" s="83"/>
      <c r="CY53" s="84"/>
      <c r="CZ53" s="84"/>
      <c r="DA53" s="84"/>
      <c r="DB53" s="23" t="s">
        <v>105</v>
      </c>
      <c r="DC53" s="19">
        <v>600</v>
      </c>
      <c r="DD53" s="84"/>
      <c r="DE53" s="84"/>
      <c r="DF53" s="84"/>
      <c r="DG53" s="84"/>
      <c r="DH53" s="83"/>
      <c r="DI53" s="83"/>
      <c r="DJ53" s="83"/>
      <c r="DK53" s="83"/>
      <c r="DL53" s="83"/>
      <c r="DM53" s="83"/>
      <c r="DN53" s="83"/>
      <c r="DO53" s="83"/>
      <c r="DP53" s="83"/>
      <c r="DQ53" s="83"/>
      <c r="DR53" s="83"/>
      <c r="DS53" s="83"/>
      <c r="DT53" s="83"/>
      <c r="DU53" s="83"/>
      <c r="DV53" s="83"/>
      <c r="DW53" s="83"/>
      <c r="DX53" s="83"/>
      <c r="DY53" s="83"/>
      <c r="DZ53" s="83"/>
      <c r="EA53" s="83"/>
    </row>
    <row r="54" spans="1:131" ht="27"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5"/>
      <c r="X54" s="136"/>
      <c r="Y54" s="100"/>
      <c r="Z54" s="101"/>
      <c r="AA54" s="131"/>
      <c r="AB54" s="131"/>
      <c r="AC54" s="131"/>
      <c r="AD54" s="102"/>
      <c r="AE54" s="103"/>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04"/>
      <c r="BB54" s="76"/>
      <c r="BC54" s="15"/>
      <c r="BD54" s="15"/>
      <c r="BE54" s="15"/>
      <c r="BF54" s="801" t="s">
        <v>247</v>
      </c>
      <c r="BG54" s="802">
        <v>600</v>
      </c>
      <c r="BH54" s="801"/>
      <c r="BI54" s="807" t="s">
        <v>560</v>
      </c>
      <c r="BJ54" s="812">
        <f>SUMIFS($AQ$43:$AQ$47,$X$43:$X$47,"ホットドッグ")/2</f>
        <v>0</v>
      </c>
      <c r="BK54" s="809"/>
      <c r="BL54" s="813"/>
      <c r="BM54" s="84"/>
      <c r="BN54" s="84"/>
      <c r="BO54" s="84"/>
      <c r="BP54" s="84"/>
      <c r="BQ54" s="84"/>
      <c r="BR54" s="84"/>
      <c r="BS54" s="84"/>
      <c r="BT54" s="84"/>
      <c r="BU54" s="83"/>
      <c r="BV54" s="83"/>
      <c r="CY54" s="84"/>
      <c r="CZ54" s="84"/>
      <c r="DA54" s="84"/>
      <c r="DB54" s="23" t="s">
        <v>247</v>
      </c>
      <c r="DC54" s="19">
        <v>600</v>
      </c>
      <c r="DD54" s="84"/>
      <c r="DE54" s="84"/>
      <c r="DF54" s="84"/>
      <c r="DG54" s="84"/>
      <c r="DH54" s="83"/>
      <c r="DI54" s="83"/>
      <c r="DJ54" s="83"/>
      <c r="DK54" s="83"/>
      <c r="DL54" s="83"/>
      <c r="DM54" s="83"/>
      <c r="DN54" s="83"/>
      <c r="DO54" s="83"/>
      <c r="DP54" s="83"/>
      <c r="DQ54" s="83"/>
      <c r="DR54" s="83"/>
      <c r="DS54" s="83"/>
      <c r="DT54" s="83"/>
      <c r="DU54" s="83"/>
      <c r="DV54" s="83"/>
      <c r="DW54" s="83"/>
      <c r="DX54" s="83"/>
      <c r="DY54" s="83"/>
      <c r="DZ54" s="83"/>
      <c r="EA54" s="83"/>
    </row>
    <row r="55" spans="1:131" ht="27"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5"/>
      <c r="X55" s="136"/>
      <c r="Y55" s="100"/>
      <c r="Z55" s="101"/>
      <c r="AA55" s="131"/>
      <c r="AB55" s="131"/>
      <c r="AC55" s="131"/>
      <c r="AD55" s="102"/>
      <c r="AE55" s="103"/>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04"/>
      <c r="BB55" s="76"/>
      <c r="BC55" s="15"/>
      <c r="BD55" s="15"/>
      <c r="BE55" s="15"/>
      <c r="BF55" s="801" t="s">
        <v>106</v>
      </c>
      <c r="BG55" s="802">
        <v>600</v>
      </c>
      <c r="BH55" s="801"/>
      <c r="BI55" s="2548" t="s">
        <v>144</v>
      </c>
      <c r="BJ55" s="2549"/>
      <c r="BK55" s="812">
        <f>SUMIFS($AQ$43:$AQ$47,$X$43:$X$47,"ジンギスカン")</f>
        <v>0</v>
      </c>
      <c r="BL55" s="813"/>
      <c r="BM55" s="84"/>
      <c r="BN55" s="84"/>
      <c r="BO55" s="84"/>
      <c r="BP55" s="84"/>
      <c r="BQ55" s="84"/>
      <c r="BR55" s="84"/>
      <c r="BS55" s="84"/>
      <c r="BT55" s="84"/>
      <c r="BU55" s="83"/>
      <c r="BV55" s="83"/>
      <c r="CY55" s="84"/>
      <c r="CZ55" s="84"/>
      <c r="DA55" s="84"/>
      <c r="DB55" s="23" t="s">
        <v>106</v>
      </c>
      <c r="DC55" s="19">
        <v>600</v>
      </c>
      <c r="DD55" s="84"/>
      <c r="DE55" s="84"/>
      <c r="DF55" s="84"/>
      <c r="DG55" s="84"/>
      <c r="DH55" s="83"/>
      <c r="DI55" s="83"/>
      <c r="DJ55" s="83"/>
      <c r="DK55" s="83"/>
      <c r="DL55" s="83"/>
      <c r="DM55" s="83"/>
      <c r="DN55" s="83"/>
      <c r="DO55" s="83"/>
      <c r="DP55" s="83"/>
      <c r="DQ55" s="83"/>
      <c r="DR55" s="83"/>
      <c r="DS55" s="83"/>
      <c r="DT55" s="83"/>
      <c r="DU55" s="83"/>
      <c r="DV55" s="83"/>
      <c r="DW55" s="83"/>
      <c r="DX55" s="83"/>
      <c r="DY55" s="83"/>
      <c r="DZ55" s="83"/>
      <c r="EA55" s="83"/>
    </row>
    <row r="56" spans="1:131" ht="27"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5"/>
      <c r="X56" s="136"/>
      <c r="Y56" s="100"/>
      <c r="Z56" s="101"/>
      <c r="AA56" s="131"/>
      <c r="AB56" s="131"/>
      <c r="AC56" s="131"/>
      <c r="AD56" s="102"/>
      <c r="AE56" s="103"/>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04"/>
      <c r="BB56" s="77"/>
      <c r="BC56" s="15"/>
      <c r="BD56" s="15"/>
      <c r="BE56" s="15"/>
      <c r="BF56" s="801" t="s">
        <v>246</v>
      </c>
      <c r="BG56" s="802">
        <v>750</v>
      </c>
      <c r="BH56" s="801"/>
      <c r="BI56" s="814" t="s">
        <v>2882</v>
      </c>
      <c r="BJ56" s="809">
        <f>SUMIFS($AQ$43:$AQ$47,$X$43:$X$47,"カレーライス")*-1</f>
        <v>0</v>
      </c>
      <c r="BK56" s="809"/>
      <c r="BL56" s="813"/>
      <c r="BM56" s="84"/>
      <c r="BN56" s="84"/>
      <c r="BO56" s="84"/>
      <c r="BP56" s="84"/>
      <c r="BQ56" s="84"/>
      <c r="BR56" s="84"/>
      <c r="BS56" s="84"/>
      <c r="BT56" s="84"/>
      <c r="BU56" s="83"/>
      <c r="BV56" s="83"/>
      <c r="CY56" s="84"/>
      <c r="CZ56" s="84"/>
      <c r="DA56" s="84"/>
      <c r="DB56" s="23" t="s">
        <v>246</v>
      </c>
      <c r="DC56" s="19">
        <v>750</v>
      </c>
      <c r="DD56" s="84"/>
      <c r="DE56" s="84"/>
      <c r="DF56" s="84"/>
      <c r="DG56" s="84"/>
      <c r="DH56" s="83"/>
      <c r="DI56" s="83"/>
      <c r="DJ56" s="83"/>
      <c r="DK56" s="83"/>
      <c r="DL56" s="83"/>
      <c r="DM56" s="83"/>
      <c r="DN56" s="83"/>
      <c r="DO56" s="83"/>
      <c r="DP56" s="83"/>
      <c r="DQ56" s="83"/>
      <c r="DR56" s="83"/>
      <c r="DS56" s="83"/>
      <c r="DT56" s="83"/>
      <c r="DU56" s="83"/>
      <c r="DV56" s="83"/>
      <c r="DW56" s="83"/>
      <c r="DX56" s="83"/>
      <c r="DY56" s="83"/>
      <c r="DZ56" s="83"/>
      <c r="EA56" s="83"/>
    </row>
    <row r="57" spans="1:131" ht="27"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5"/>
      <c r="X57" s="136"/>
      <c r="Y57" s="100"/>
      <c r="Z57" s="101"/>
      <c r="AA57" s="131"/>
      <c r="AB57" s="131"/>
      <c r="AC57" s="131"/>
      <c r="AD57" s="102"/>
      <c r="AE57" s="103"/>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04"/>
      <c r="BB57" s="17"/>
      <c r="BC57" s="15"/>
      <c r="BD57" s="15"/>
      <c r="BE57" s="15"/>
      <c r="BF57" s="801" t="s">
        <v>107</v>
      </c>
      <c r="BG57" s="802">
        <v>100</v>
      </c>
      <c r="BH57" s="805"/>
      <c r="BI57" s="807" t="s">
        <v>121</v>
      </c>
      <c r="BJ57" s="806">
        <f>SUM(BJ50:BJ54,BJ56)</f>
        <v>0</v>
      </c>
      <c r="BK57" s="809">
        <f>BK55</f>
        <v>0</v>
      </c>
      <c r="BL57" s="813"/>
      <c r="BM57" s="84"/>
      <c r="BN57" s="84"/>
      <c r="BO57" s="84"/>
      <c r="BP57" s="84"/>
      <c r="BQ57" s="84"/>
      <c r="BR57" s="84"/>
      <c r="BS57" s="84"/>
      <c r="BT57" s="84"/>
      <c r="BU57" s="83"/>
      <c r="BV57" s="83"/>
      <c r="CY57" s="84"/>
      <c r="CZ57" s="84"/>
      <c r="DA57" s="84"/>
      <c r="DB57" s="23" t="s">
        <v>107</v>
      </c>
      <c r="DC57" s="19">
        <v>100</v>
      </c>
      <c r="DD57" s="84"/>
      <c r="DE57" s="84"/>
      <c r="DF57" s="84"/>
      <c r="DG57" s="84"/>
      <c r="DH57" s="83"/>
      <c r="DI57" s="83"/>
      <c r="DJ57" s="83"/>
      <c r="DK57" s="83"/>
      <c r="DL57" s="83"/>
      <c r="DM57" s="83"/>
      <c r="DN57" s="83"/>
      <c r="DO57" s="83"/>
      <c r="DP57" s="83"/>
      <c r="DQ57" s="83"/>
      <c r="DR57" s="83"/>
      <c r="DS57" s="83"/>
      <c r="DT57" s="83"/>
      <c r="DU57" s="83"/>
      <c r="DV57" s="83"/>
      <c r="DW57" s="83"/>
      <c r="DX57" s="83"/>
      <c r="DY57" s="83"/>
      <c r="DZ57" s="83"/>
      <c r="EA57" s="83"/>
    </row>
    <row r="58" spans="1:131" ht="27" customHeight="1">
      <c r="A58" s="105"/>
      <c r="B58" s="106"/>
      <c r="C58" s="106"/>
      <c r="D58" s="106"/>
      <c r="E58" s="106"/>
      <c r="F58" s="106"/>
      <c r="G58" s="91"/>
      <c r="H58" s="91"/>
      <c r="I58" s="91"/>
      <c r="J58" s="91"/>
      <c r="K58" s="91"/>
      <c r="L58" s="91"/>
      <c r="M58" s="91"/>
      <c r="N58" s="91"/>
      <c r="O58" s="91"/>
      <c r="P58" s="91"/>
      <c r="Q58" s="91"/>
      <c r="R58" s="107"/>
      <c r="S58" s="139"/>
      <c r="T58" s="139"/>
      <c r="U58" s="86"/>
      <c r="V58" s="87"/>
      <c r="W58" s="135"/>
      <c r="X58" s="136"/>
      <c r="Y58" s="100"/>
      <c r="Z58" s="101"/>
      <c r="AA58" s="131"/>
      <c r="AB58" s="131"/>
      <c r="AC58" s="131"/>
      <c r="AD58" s="102"/>
      <c r="AE58" s="103"/>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04"/>
      <c r="BB58" s="17"/>
      <c r="BC58" s="15"/>
      <c r="BD58" s="15"/>
      <c r="BE58" s="15"/>
      <c r="BF58" s="801" t="s">
        <v>248</v>
      </c>
      <c r="BG58" s="802">
        <v>50</v>
      </c>
      <c r="BH58" s="805"/>
      <c r="BI58" s="808"/>
      <c r="BJ58" s="802"/>
      <c r="BK58" s="813"/>
      <c r="BL58" s="813"/>
      <c r="BM58" s="84"/>
      <c r="BN58" s="84"/>
      <c r="BO58" s="84"/>
      <c r="BP58" s="84"/>
      <c r="BQ58" s="84"/>
      <c r="BR58" s="84"/>
      <c r="BS58" s="84"/>
      <c r="BT58" s="84"/>
      <c r="BU58" s="83"/>
      <c r="BV58" s="83"/>
      <c r="CY58" s="84"/>
      <c r="CZ58" s="84"/>
      <c r="DA58" s="84"/>
      <c r="DB58" s="23" t="s">
        <v>248</v>
      </c>
      <c r="DC58" s="19">
        <v>50</v>
      </c>
      <c r="DD58" s="84"/>
      <c r="DE58" s="84"/>
      <c r="DF58" s="84"/>
      <c r="DG58" s="84"/>
      <c r="DH58" s="83"/>
      <c r="DI58" s="83"/>
      <c r="DJ58" s="83"/>
      <c r="DK58" s="83"/>
      <c r="DL58" s="83"/>
      <c r="DM58" s="83"/>
      <c r="DN58" s="83"/>
      <c r="DO58" s="83"/>
      <c r="DP58" s="83"/>
      <c r="DQ58" s="83"/>
      <c r="DR58" s="83"/>
      <c r="DS58" s="83"/>
      <c r="DT58" s="83"/>
      <c r="DU58" s="83"/>
      <c r="DV58" s="83"/>
      <c r="DW58" s="83"/>
      <c r="DX58" s="83"/>
      <c r="DY58" s="83"/>
      <c r="DZ58" s="83"/>
      <c r="EA58" s="83"/>
    </row>
    <row r="59" spans="1:131" ht="27" customHeight="1">
      <c r="A59" s="140"/>
      <c r="B59" s="140"/>
      <c r="C59" s="141"/>
      <c r="D59" s="141"/>
      <c r="E59" s="141"/>
      <c r="F59" s="141"/>
      <c r="G59" s="142"/>
      <c r="H59" s="142"/>
      <c r="I59" s="142"/>
      <c r="J59" s="142"/>
      <c r="K59" s="142"/>
      <c r="L59" s="142"/>
      <c r="M59" s="142"/>
      <c r="N59" s="142"/>
      <c r="O59" s="142"/>
      <c r="P59" s="142"/>
      <c r="Q59" s="142"/>
      <c r="R59" s="108"/>
      <c r="S59" s="108"/>
      <c r="T59" s="109"/>
      <c r="U59" s="86"/>
      <c r="V59" s="87"/>
      <c r="W59" s="135"/>
      <c r="X59" s="136"/>
      <c r="Y59" s="100"/>
      <c r="Z59" s="101"/>
      <c r="AA59" s="131"/>
      <c r="AB59" s="131"/>
      <c r="AC59" s="131"/>
      <c r="AD59" s="102"/>
      <c r="AE59" s="103"/>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04"/>
      <c r="BB59" s="17"/>
      <c r="BC59" s="15"/>
      <c r="BD59" s="15"/>
      <c r="BE59" s="15"/>
      <c r="BF59" s="801" t="s">
        <v>249</v>
      </c>
      <c r="BG59" s="802">
        <v>70</v>
      </c>
      <c r="BH59" s="805"/>
      <c r="BI59" s="808"/>
      <c r="BJ59" s="802"/>
      <c r="BK59" s="813"/>
      <c r="BL59" s="813"/>
      <c r="BM59" s="84"/>
      <c r="BN59" s="84"/>
      <c r="BO59" s="84"/>
      <c r="BP59" s="84"/>
      <c r="BQ59" s="84"/>
      <c r="BR59" s="84"/>
      <c r="BS59" s="84"/>
      <c r="BT59" s="84"/>
      <c r="BU59" s="83"/>
      <c r="BV59" s="83"/>
      <c r="CY59" s="84"/>
      <c r="CZ59" s="84"/>
      <c r="DA59" s="84"/>
      <c r="DB59" s="23" t="s">
        <v>249</v>
      </c>
      <c r="DC59" s="19">
        <v>70</v>
      </c>
      <c r="DD59" s="84"/>
      <c r="DE59" s="84"/>
      <c r="DF59" s="84"/>
      <c r="DG59" s="84"/>
      <c r="DH59" s="83"/>
      <c r="DI59" s="83"/>
      <c r="DJ59" s="83"/>
      <c r="DK59" s="83"/>
      <c r="DL59" s="83"/>
      <c r="DM59" s="83"/>
      <c r="DN59" s="83"/>
      <c r="DO59" s="83"/>
      <c r="DP59" s="83"/>
      <c r="DQ59" s="83"/>
      <c r="DR59" s="83"/>
      <c r="DS59" s="83"/>
      <c r="DT59" s="83"/>
      <c r="DU59" s="83"/>
      <c r="DV59" s="83"/>
      <c r="DW59" s="83"/>
      <c r="DX59" s="83"/>
      <c r="DY59" s="83"/>
      <c r="DZ59" s="83"/>
      <c r="EA59" s="83"/>
    </row>
    <row r="60" spans="1:131" ht="27" customHeight="1">
      <c r="A60" s="140"/>
      <c r="B60" s="140"/>
      <c r="C60" s="141"/>
      <c r="D60" s="141"/>
      <c r="E60" s="141"/>
      <c r="F60" s="141"/>
      <c r="G60" s="142"/>
      <c r="H60" s="142"/>
      <c r="I60" s="142"/>
      <c r="J60" s="142"/>
      <c r="K60" s="142"/>
      <c r="L60" s="142"/>
      <c r="M60" s="142"/>
      <c r="N60" s="142"/>
      <c r="O60" s="142"/>
      <c r="P60" s="142"/>
      <c r="Q60" s="142"/>
      <c r="R60" s="108"/>
      <c r="S60" s="108"/>
      <c r="T60" s="109"/>
      <c r="U60" s="86"/>
      <c r="V60" s="87"/>
      <c r="W60" s="135"/>
      <c r="X60" s="136"/>
      <c r="Y60" s="100"/>
      <c r="Z60" s="101"/>
      <c r="AA60" s="131"/>
      <c r="AB60" s="131"/>
      <c r="AC60" s="131"/>
      <c r="AD60" s="102"/>
      <c r="AE60" s="103"/>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04"/>
      <c r="BB60" s="17"/>
      <c r="BC60" s="15"/>
      <c r="BD60" s="15"/>
      <c r="BE60" s="15"/>
      <c r="BF60" s="801" t="s">
        <v>251</v>
      </c>
      <c r="BG60" s="802">
        <v>110</v>
      </c>
      <c r="BH60" s="805"/>
      <c r="BI60" s="808"/>
      <c r="BJ60" s="802"/>
      <c r="BK60" s="813"/>
      <c r="BL60" s="813"/>
      <c r="BM60" s="84"/>
      <c r="BN60" s="84"/>
      <c r="BO60" s="84"/>
      <c r="BP60" s="84"/>
      <c r="BQ60" s="84"/>
      <c r="BR60" s="84"/>
      <c r="BS60" s="84"/>
      <c r="BT60" s="84"/>
      <c r="BU60" s="83"/>
      <c r="BV60" s="83"/>
      <c r="CY60" s="84"/>
      <c r="CZ60" s="84"/>
      <c r="DA60" s="84"/>
      <c r="DB60" s="23" t="s">
        <v>251</v>
      </c>
      <c r="DC60" s="19">
        <v>110</v>
      </c>
      <c r="DD60" s="84"/>
      <c r="DE60" s="84"/>
      <c r="DF60" s="84"/>
      <c r="DG60" s="84"/>
      <c r="DH60" s="83"/>
      <c r="DI60" s="83"/>
      <c r="DJ60" s="83"/>
      <c r="DK60" s="83"/>
      <c r="DL60" s="83"/>
      <c r="DM60" s="83"/>
      <c r="DN60" s="83"/>
      <c r="DO60" s="83"/>
      <c r="DP60" s="83"/>
      <c r="DQ60" s="83"/>
      <c r="DR60" s="83"/>
      <c r="DS60" s="83"/>
      <c r="DT60" s="83"/>
      <c r="DU60" s="83"/>
      <c r="DV60" s="83"/>
      <c r="DW60" s="83"/>
      <c r="DX60" s="83"/>
      <c r="DY60" s="83"/>
      <c r="DZ60" s="83"/>
      <c r="EA60" s="83"/>
    </row>
    <row r="61" spans="1:131" ht="27" customHeight="1">
      <c r="A61" s="140"/>
      <c r="B61" s="140"/>
      <c r="C61" s="141"/>
      <c r="D61" s="141"/>
      <c r="E61" s="141"/>
      <c r="F61" s="141"/>
      <c r="G61" s="142"/>
      <c r="H61" s="142"/>
      <c r="I61" s="142"/>
      <c r="J61" s="142"/>
      <c r="K61" s="142"/>
      <c r="L61" s="142"/>
      <c r="M61" s="142"/>
      <c r="N61" s="142"/>
      <c r="O61" s="142"/>
      <c r="P61" s="142"/>
      <c r="Q61" s="142"/>
      <c r="R61" s="108"/>
      <c r="S61" s="108"/>
      <c r="T61" s="109"/>
      <c r="U61" s="86"/>
      <c r="V61" s="87"/>
      <c r="W61" s="135"/>
      <c r="X61" s="136"/>
      <c r="Y61" s="100"/>
      <c r="Z61" s="101"/>
      <c r="AA61" s="131"/>
      <c r="AB61" s="131"/>
      <c r="AC61" s="131"/>
      <c r="AD61" s="102"/>
      <c r="AE61" s="103"/>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04"/>
      <c r="BB61" s="17"/>
      <c r="BC61" s="15"/>
      <c r="BD61" s="15"/>
      <c r="BE61" s="15"/>
      <c r="BF61" s="23"/>
      <c r="BG61" s="19"/>
      <c r="BH61" s="15"/>
      <c r="BI61" s="16"/>
      <c r="BJ61" s="15"/>
      <c r="BK61" s="83"/>
      <c r="BL61" s="83"/>
      <c r="BM61" s="83"/>
      <c r="BN61" s="83"/>
      <c r="BO61" s="83"/>
      <c r="BP61" s="83"/>
      <c r="BQ61" s="83"/>
      <c r="BR61" s="83"/>
      <c r="BS61" s="83"/>
      <c r="BT61" s="83"/>
      <c r="BU61" s="83"/>
      <c r="BV61" s="83"/>
      <c r="CY61" s="83"/>
      <c r="CZ61" s="83"/>
      <c r="DA61" s="83"/>
      <c r="DB61" s="23" t="s">
        <v>245</v>
      </c>
      <c r="DC61" s="19">
        <v>600</v>
      </c>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row>
    <row r="62" spans="1:131" ht="27" customHeight="1">
      <c r="A62" s="140"/>
      <c r="B62" s="140"/>
      <c r="C62" s="141"/>
      <c r="D62" s="141"/>
      <c r="E62" s="141"/>
      <c r="F62" s="141"/>
      <c r="G62" s="142"/>
      <c r="H62" s="142"/>
      <c r="I62" s="142"/>
      <c r="J62" s="142"/>
      <c r="K62" s="142"/>
      <c r="L62" s="142"/>
      <c r="M62" s="142"/>
      <c r="N62" s="142"/>
      <c r="O62" s="142"/>
      <c r="P62" s="142"/>
      <c r="Q62" s="142"/>
      <c r="R62" s="108"/>
      <c r="S62" s="108"/>
      <c r="T62" s="109"/>
      <c r="U62" s="86"/>
      <c r="V62" s="87"/>
      <c r="W62" s="135"/>
      <c r="X62" s="136"/>
      <c r="Y62" s="100"/>
      <c r="Z62" s="101"/>
      <c r="AA62" s="131"/>
      <c r="AB62" s="131"/>
      <c r="AC62" s="131"/>
      <c r="AD62" s="102"/>
      <c r="AE62" s="103"/>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04"/>
      <c r="BB62" s="17"/>
      <c r="BC62" s="15"/>
      <c r="BD62" s="15"/>
      <c r="BE62" s="15"/>
      <c r="BF62" s="18"/>
      <c r="BG62" s="19"/>
      <c r="BH62" s="15"/>
      <c r="BI62" s="16"/>
      <c r="BJ62" s="15"/>
      <c r="BK62" s="83"/>
      <c r="BL62" s="83"/>
      <c r="BM62" s="83"/>
      <c r="BN62" s="83"/>
      <c r="BO62" s="83"/>
      <c r="BP62" s="83"/>
      <c r="BQ62" s="83"/>
      <c r="BR62" s="83"/>
      <c r="BS62" s="83"/>
      <c r="BT62" s="83"/>
      <c r="BU62" s="83"/>
      <c r="BV62" s="83"/>
      <c r="CY62" s="83"/>
      <c r="CZ62" s="83"/>
      <c r="DA62" s="83"/>
      <c r="DB62" s="23" t="s">
        <v>106</v>
      </c>
      <c r="DC62" s="19">
        <v>500</v>
      </c>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row>
    <row r="63" spans="1:131" ht="27" customHeight="1">
      <c r="A63" s="140"/>
      <c r="B63" s="140"/>
      <c r="C63" s="141"/>
      <c r="D63" s="141"/>
      <c r="E63" s="141"/>
      <c r="F63" s="141"/>
      <c r="G63" s="142"/>
      <c r="H63" s="142"/>
      <c r="I63" s="142"/>
      <c r="J63" s="142"/>
      <c r="K63" s="142"/>
      <c r="L63" s="142"/>
      <c r="M63" s="142"/>
      <c r="N63" s="142"/>
      <c r="O63" s="142"/>
      <c r="P63" s="142"/>
      <c r="Q63" s="142"/>
      <c r="R63" s="108"/>
      <c r="S63" s="108"/>
      <c r="T63" s="109"/>
      <c r="U63" s="88"/>
      <c r="V63" s="87"/>
      <c r="W63" s="135"/>
      <c r="X63" s="136"/>
      <c r="Y63" s="100"/>
      <c r="Z63" s="101"/>
      <c r="AA63" s="131"/>
      <c r="AB63" s="131"/>
      <c r="AC63" s="131"/>
      <c r="AD63" s="102"/>
      <c r="AE63" s="103"/>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04"/>
      <c r="BB63" s="17"/>
      <c r="BC63" s="15"/>
      <c r="BD63" s="15"/>
      <c r="BE63" s="15"/>
      <c r="BF63" s="23"/>
      <c r="BG63" s="19"/>
      <c r="BH63" s="15"/>
      <c r="BI63" s="16"/>
      <c r="BJ63" s="15"/>
      <c r="BK63" s="83"/>
      <c r="BL63" s="83"/>
      <c r="BM63" s="83"/>
      <c r="BN63" s="83"/>
      <c r="BO63" s="83"/>
      <c r="BP63" s="83"/>
      <c r="BQ63" s="83"/>
      <c r="BR63" s="83"/>
      <c r="BS63" s="83"/>
      <c r="BT63" s="83"/>
      <c r="BU63" s="83"/>
      <c r="BV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row>
    <row r="64" spans="1:131" ht="27" customHeight="1">
      <c r="A64" s="143"/>
      <c r="B64" s="143"/>
      <c r="C64" s="143"/>
      <c r="D64" s="143"/>
      <c r="E64" s="143"/>
      <c r="F64" s="143"/>
      <c r="G64" s="143"/>
      <c r="H64" s="143"/>
      <c r="I64" s="143"/>
      <c r="J64" s="143"/>
      <c r="K64" s="143"/>
      <c r="L64" s="143"/>
      <c r="M64" s="143"/>
      <c r="N64" s="143"/>
      <c r="O64" s="143"/>
      <c r="P64" s="143"/>
      <c r="Q64" s="143"/>
      <c r="R64" s="143"/>
      <c r="S64" s="143"/>
      <c r="T64" s="143"/>
      <c r="U64" s="143"/>
      <c r="V64" s="87"/>
      <c r="W64" s="135"/>
      <c r="X64" s="136"/>
      <c r="Y64" s="100"/>
      <c r="Z64" s="101"/>
      <c r="AA64" s="131"/>
      <c r="AB64" s="131"/>
      <c r="AC64" s="131"/>
      <c r="AD64" s="102"/>
      <c r="AE64" s="103"/>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04"/>
      <c r="BB64" s="17"/>
      <c r="BC64" s="15"/>
      <c r="BD64" s="15"/>
      <c r="BE64" s="15"/>
      <c r="BF64" s="23"/>
      <c r="BG64" s="19"/>
      <c r="BH64" s="15"/>
      <c r="BI64" s="16"/>
      <c r="BJ64" s="15"/>
      <c r="BK64" s="83"/>
      <c r="BL64" s="83"/>
      <c r="BM64" s="83"/>
      <c r="BN64" s="83"/>
      <c r="BO64" s="83"/>
      <c r="BP64" s="83"/>
      <c r="BQ64" s="83"/>
      <c r="BR64" s="83"/>
      <c r="BS64" s="83"/>
      <c r="BT64" s="83"/>
      <c r="BU64" s="83"/>
      <c r="BV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row>
    <row r="65" spans="1:131" ht="27" customHeight="1">
      <c r="A65" s="143"/>
      <c r="B65" s="143"/>
      <c r="C65" s="143"/>
      <c r="D65" s="143"/>
      <c r="E65" s="143"/>
      <c r="F65" s="143"/>
      <c r="G65" s="143"/>
      <c r="H65" s="143"/>
      <c r="I65" s="143"/>
      <c r="J65" s="143"/>
      <c r="K65" s="143"/>
      <c r="L65" s="143"/>
      <c r="M65" s="143"/>
      <c r="N65" s="143"/>
      <c r="O65" s="143"/>
      <c r="P65" s="143"/>
      <c r="Q65" s="143"/>
      <c r="R65" s="143"/>
      <c r="S65" s="143"/>
      <c r="T65" s="143"/>
      <c r="U65" s="143"/>
      <c r="V65" s="87"/>
      <c r="W65" s="135"/>
      <c r="X65" s="136"/>
      <c r="Y65" s="100"/>
      <c r="Z65" s="101"/>
      <c r="AA65" s="131"/>
      <c r="AB65" s="131"/>
      <c r="AC65" s="131"/>
      <c r="AD65" s="102"/>
      <c r="AE65" s="103"/>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04"/>
      <c r="BB65" s="17"/>
      <c r="BC65" s="15"/>
      <c r="BD65" s="15"/>
      <c r="BE65" s="15"/>
      <c r="BF65" s="23"/>
      <c r="BG65" s="19"/>
      <c r="BH65" s="15"/>
      <c r="BI65" s="16"/>
      <c r="BJ65" s="15"/>
      <c r="BK65" s="83"/>
      <c r="BL65" s="83"/>
      <c r="BM65" s="83"/>
      <c r="BN65" s="83"/>
      <c r="BO65" s="83"/>
      <c r="BP65" s="83"/>
      <c r="BQ65" s="83"/>
      <c r="BR65" s="83"/>
      <c r="BS65" s="83"/>
      <c r="BT65" s="83"/>
      <c r="BU65" s="83"/>
      <c r="BV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row>
    <row r="66" spans="1:131" ht="27" customHeight="1">
      <c r="A66" s="143"/>
      <c r="B66" s="143"/>
      <c r="C66" s="143"/>
      <c r="D66" s="143"/>
      <c r="E66" s="143"/>
      <c r="F66" s="143"/>
      <c r="G66" s="143"/>
      <c r="H66" s="143"/>
      <c r="I66" s="143"/>
      <c r="J66" s="143"/>
      <c r="K66" s="143"/>
      <c r="L66" s="143"/>
      <c r="M66" s="143"/>
      <c r="N66" s="143"/>
      <c r="O66" s="143"/>
      <c r="P66" s="143"/>
      <c r="Q66" s="143"/>
      <c r="R66" s="143"/>
      <c r="S66" s="143"/>
      <c r="T66" s="143"/>
      <c r="U66" s="143"/>
      <c r="V66" s="87"/>
      <c r="W66" s="135"/>
      <c r="X66" s="136"/>
      <c r="Y66" s="100"/>
      <c r="Z66" s="101"/>
      <c r="AA66" s="131"/>
      <c r="AB66" s="131"/>
      <c r="AC66" s="131"/>
      <c r="AD66" s="102"/>
      <c r="AE66" s="103"/>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04"/>
      <c r="BB66" s="17"/>
      <c r="BC66" s="15"/>
      <c r="BD66" s="15"/>
      <c r="BE66" s="15"/>
      <c r="BF66" s="23"/>
      <c r="BG66" s="19"/>
      <c r="BH66" s="15"/>
      <c r="BI66" s="16"/>
      <c r="BJ66" s="15"/>
      <c r="BK66" s="83"/>
      <c r="BL66" s="83"/>
      <c r="BM66" s="83"/>
      <c r="BN66" s="83"/>
      <c r="BO66" s="83"/>
      <c r="BP66" s="83"/>
      <c r="BQ66" s="83"/>
      <c r="BR66" s="83"/>
      <c r="BS66" s="83"/>
      <c r="BT66" s="83"/>
      <c r="BU66" s="83"/>
      <c r="BV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row>
    <row r="67" spans="1:131" ht="27" customHeight="1">
      <c r="A67" s="143"/>
      <c r="B67" s="143"/>
      <c r="C67" s="143"/>
      <c r="D67" s="143"/>
      <c r="E67" s="143"/>
      <c r="F67" s="143"/>
      <c r="G67" s="143"/>
      <c r="H67" s="143"/>
      <c r="I67" s="143"/>
      <c r="J67" s="143"/>
      <c r="K67" s="143"/>
      <c r="L67" s="143"/>
      <c r="M67" s="143"/>
      <c r="N67" s="143"/>
      <c r="O67" s="143"/>
      <c r="P67" s="143"/>
      <c r="Q67" s="143"/>
      <c r="R67" s="143"/>
      <c r="S67" s="143"/>
      <c r="T67" s="143"/>
      <c r="U67" s="143"/>
      <c r="V67" s="87"/>
      <c r="W67" s="135"/>
      <c r="X67" s="136"/>
      <c r="Y67" s="100"/>
      <c r="Z67" s="101"/>
      <c r="AA67" s="131"/>
      <c r="AB67" s="131"/>
      <c r="AC67" s="131"/>
      <c r="AD67" s="102"/>
      <c r="AE67" s="103"/>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04"/>
      <c r="BB67" s="17"/>
      <c r="BC67" s="15"/>
      <c r="BD67" s="15"/>
      <c r="BE67" s="15"/>
      <c r="BF67" s="23"/>
      <c r="BG67" s="19"/>
      <c r="BH67" s="15"/>
      <c r="BI67" s="16"/>
      <c r="BJ67" s="15"/>
      <c r="BK67" s="83"/>
      <c r="BL67" s="83"/>
      <c r="BM67" s="83"/>
      <c r="BN67" s="83"/>
      <c r="BO67" s="83"/>
      <c r="BP67" s="83"/>
      <c r="BQ67" s="83"/>
      <c r="BR67" s="83"/>
      <c r="BS67" s="83"/>
      <c r="BT67" s="83"/>
      <c r="BU67" s="83"/>
      <c r="BV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row>
    <row r="68" spans="1:131" ht="27" customHeight="1">
      <c r="A68" s="144"/>
      <c r="B68" s="135"/>
      <c r="C68" s="135"/>
      <c r="D68" s="135"/>
      <c r="E68" s="135"/>
      <c r="F68" s="135"/>
      <c r="G68" s="135"/>
      <c r="H68" s="110"/>
      <c r="I68" s="132"/>
      <c r="J68" s="145"/>
      <c r="K68" s="146"/>
      <c r="L68" s="145"/>
      <c r="M68" s="145"/>
      <c r="N68" s="147"/>
      <c r="O68" s="135"/>
      <c r="P68" s="147"/>
      <c r="Q68" s="135"/>
      <c r="R68" s="147"/>
      <c r="S68" s="135"/>
      <c r="T68" s="148"/>
      <c r="U68" s="148"/>
      <c r="V68" s="87"/>
      <c r="W68" s="135"/>
      <c r="X68" s="136"/>
      <c r="Y68" s="100"/>
      <c r="Z68" s="101"/>
      <c r="AA68" s="131"/>
      <c r="AB68" s="131"/>
      <c r="AC68" s="131"/>
      <c r="AD68" s="102"/>
      <c r="AE68" s="103"/>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04"/>
      <c r="BB68" s="17"/>
      <c r="BC68" s="15"/>
      <c r="BD68" s="15"/>
      <c r="BE68" s="15"/>
      <c r="BF68" s="23"/>
      <c r="BG68" s="19"/>
      <c r="BH68" s="15"/>
      <c r="BI68" s="16"/>
      <c r="BJ68" s="15"/>
      <c r="BK68" s="83"/>
      <c r="BL68" s="83"/>
      <c r="BM68" s="83"/>
      <c r="BN68" s="83"/>
      <c r="BO68" s="83"/>
      <c r="BP68" s="83"/>
      <c r="BQ68" s="83"/>
      <c r="BR68" s="83"/>
      <c r="BS68" s="83"/>
      <c r="BT68" s="83"/>
      <c r="BU68" s="83"/>
      <c r="BV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row>
    <row r="69" spans="1:131" ht="27" customHeight="1">
      <c r="A69" s="144"/>
      <c r="B69" s="135"/>
      <c r="C69" s="135"/>
      <c r="D69" s="135"/>
      <c r="E69" s="135"/>
      <c r="F69" s="135"/>
      <c r="G69" s="135"/>
      <c r="H69" s="110"/>
      <c r="I69" s="132"/>
      <c r="J69" s="135"/>
      <c r="K69" s="135"/>
      <c r="L69" s="135"/>
      <c r="M69" s="135"/>
      <c r="N69" s="135"/>
      <c r="O69" s="135"/>
      <c r="P69" s="135"/>
      <c r="Q69" s="135"/>
      <c r="R69" s="135"/>
      <c r="S69" s="135"/>
      <c r="T69" s="149"/>
      <c r="U69" s="149"/>
      <c r="V69" s="87"/>
      <c r="W69" s="135"/>
      <c r="X69" s="136"/>
      <c r="Y69" s="100"/>
      <c r="Z69" s="101"/>
      <c r="AA69" s="131"/>
      <c r="AB69" s="131"/>
      <c r="AC69" s="131"/>
      <c r="AD69" s="102"/>
      <c r="AE69" s="103"/>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04"/>
      <c r="BB69" s="17"/>
      <c r="BC69" s="15"/>
      <c r="BD69" s="15"/>
      <c r="BE69" s="15"/>
      <c r="BF69" s="23"/>
      <c r="BG69" s="19"/>
      <c r="BH69" s="15"/>
      <c r="BI69" s="16"/>
      <c r="BJ69" s="15"/>
      <c r="BK69" s="83"/>
      <c r="BL69" s="83"/>
      <c r="BM69" s="83"/>
      <c r="BN69" s="83"/>
      <c r="BO69" s="83"/>
      <c r="BP69" s="83"/>
      <c r="BQ69" s="83"/>
      <c r="BR69" s="83"/>
      <c r="BS69" s="83"/>
      <c r="BT69" s="83"/>
      <c r="BU69" s="83"/>
      <c r="BV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row>
    <row r="70" spans="1:131" ht="27" customHeight="1">
      <c r="A70" s="144"/>
      <c r="B70" s="150"/>
      <c r="C70" s="145"/>
      <c r="D70" s="146"/>
      <c r="E70" s="146"/>
      <c r="F70" s="146"/>
      <c r="G70" s="146"/>
      <c r="H70" s="111"/>
      <c r="I70" s="112"/>
      <c r="J70" s="151"/>
      <c r="K70" s="151"/>
      <c r="L70" s="151"/>
      <c r="M70" s="151"/>
      <c r="N70" s="151"/>
      <c r="O70" s="151"/>
      <c r="P70" s="151"/>
      <c r="Q70" s="151"/>
      <c r="R70" s="151"/>
      <c r="S70" s="151"/>
      <c r="T70" s="115"/>
      <c r="U70" s="115"/>
      <c r="V70" s="87"/>
      <c r="W70" s="135"/>
      <c r="X70" s="136"/>
      <c r="Y70" s="100"/>
      <c r="Z70" s="100"/>
      <c r="AA70" s="100"/>
      <c r="AB70" s="100"/>
      <c r="AC70" s="100"/>
      <c r="AD70" s="100"/>
      <c r="AE70" s="100"/>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04"/>
      <c r="BB70" s="17"/>
      <c r="BC70" s="15"/>
      <c r="BD70" s="15"/>
      <c r="BE70" s="15"/>
      <c r="BF70" s="23"/>
      <c r="BG70" s="19"/>
      <c r="BH70" s="15"/>
      <c r="BI70" s="16"/>
      <c r="BJ70" s="15"/>
      <c r="BK70" s="83"/>
      <c r="BL70" s="83"/>
      <c r="BM70" s="83"/>
      <c r="BN70" s="83"/>
      <c r="BO70" s="83"/>
      <c r="BP70" s="83"/>
      <c r="BQ70" s="83"/>
      <c r="BR70" s="83"/>
      <c r="BS70" s="83"/>
      <c r="BT70" s="83"/>
      <c r="BU70" s="83"/>
      <c r="BV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row>
    <row r="71" spans="1:131" ht="27" customHeight="1">
      <c r="A71" s="144"/>
      <c r="B71" s="150"/>
      <c r="C71" s="152"/>
      <c r="D71" s="152"/>
      <c r="E71" s="152"/>
      <c r="F71" s="152"/>
      <c r="G71" s="152"/>
      <c r="H71" s="111"/>
      <c r="I71" s="113"/>
      <c r="J71" s="153"/>
      <c r="K71" s="153"/>
      <c r="L71" s="153"/>
      <c r="M71" s="153"/>
      <c r="N71" s="153"/>
      <c r="O71" s="153"/>
      <c r="P71" s="153"/>
      <c r="Q71" s="153"/>
      <c r="R71" s="153"/>
      <c r="S71" s="153"/>
      <c r="T71" s="115"/>
      <c r="U71" s="115"/>
      <c r="V71" s="87"/>
      <c r="W71" s="135"/>
      <c r="X71" s="136"/>
      <c r="Y71" s="133"/>
      <c r="Z71" s="133"/>
      <c r="AA71" s="133"/>
      <c r="AB71" s="133"/>
      <c r="AC71" s="133"/>
      <c r="AD71" s="114"/>
      <c r="AE71" s="103"/>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15"/>
      <c r="BB71" s="17"/>
      <c r="BC71" s="15"/>
      <c r="BD71" s="15"/>
      <c r="BE71" s="15"/>
      <c r="BF71" s="18"/>
      <c r="BG71" s="19"/>
      <c r="BH71" s="15"/>
      <c r="BI71" s="16"/>
      <c r="BJ71" s="15"/>
      <c r="BK71" s="83"/>
      <c r="BL71" s="83"/>
      <c r="BM71" s="83"/>
      <c r="BN71" s="83"/>
      <c r="BO71" s="83"/>
      <c r="BP71" s="83"/>
      <c r="BQ71" s="83"/>
      <c r="BR71" s="83"/>
      <c r="BS71" s="83"/>
      <c r="BT71" s="83"/>
      <c r="BU71" s="83"/>
      <c r="BV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row>
    <row r="72" spans="1:131" ht="27" customHeight="1">
      <c r="A72" s="144"/>
      <c r="B72" s="150"/>
      <c r="C72" s="152"/>
      <c r="D72" s="152"/>
      <c r="E72" s="152"/>
      <c r="F72" s="152"/>
      <c r="G72" s="152"/>
      <c r="H72" s="111"/>
      <c r="I72" s="113"/>
      <c r="J72" s="153"/>
      <c r="K72" s="153"/>
      <c r="L72" s="153"/>
      <c r="M72" s="153"/>
      <c r="N72" s="153"/>
      <c r="O72" s="153"/>
      <c r="P72" s="153"/>
      <c r="Q72" s="153"/>
      <c r="R72" s="153"/>
      <c r="S72" s="153"/>
      <c r="T72" s="115"/>
      <c r="U72" s="115"/>
      <c r="V72" s="87"/>
      <c r="W72" s="135"/>
      <c r="X72" s="136"/>
      <c r="Y72" s="154"/>
      <c r="Z72" s="154"/>
      <c r="AA72" s="154"/>
      <c r="AB72" s="154"/>
      <c r="AC72" s="154"/>
      <c r="AD72" s="94"/>
      <c r="AE72" s="103"/>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15"/>
      <c r="BB72" s="17"/>
      <c r="BC72" s="15"/>
      <c r="BD72" s="15"/>
      <c r="BE72" s="15"/>
      <c r="BF72" s="23"/>
      <c r="BG72" s="19"/>
      <c r="BH72" s="15"/>
      <c r="BI72" s="16"/>
      <c r="BJ72" s="15"/>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row>
    <row r="73" spans="1:131" ht="27" customHeight="1">
      <c r="A73" s="144"/>
      <c r="B73" s="150"/>
      <c r="C73" s="155"/>
      <c r="D73" s="155"/>
      <c r="E73" s="155"/>
      <c r="F73" s="155"/>
      <c r="G73" s="155"/>
      <c r="H73" s="111"/>
      <c r="I73" s="113"/>
      <c r="J73" s="153"/>
      <c r="K73" s="153"/>
      <c r="L73" s="153"/>
      <c r="M73" s="153"/>
      <c r="N73" s="153"/>
      <c r="O73" s="153"/>
      <c r="P73" s="153"/>
      <c r="Q73" s="153"/>
      <c r="R73" s="153"/>
      <c r="S73" s="153"/>
      <c r="T73" s="115"/>
      <c r="U73" s="115"/>
      <c r="V73" s="87"/>
      <c r="W73" s="135"/>
      <c r="X73" s="136"/>
      <c r="Y73" s="154"/>
      <c r="Z73" s="154"/>
      <c r="AA73" s="154"/>
      <c r="AB73" s="154"/>
      <c r="AC73" s="154"/>
      <c r="AD73" s="94"/>
      <c r="AE73" s="103"/>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15"/>
      <c r="BB73" s="17"/>
      <c r="BC73" s="15"/>
      <c r="BD73" s="15"/>
      <c r="BE73" s="15"/>
      <c r="BF73" s="23"/>
      <c r="BG73" s="19"/>
      <c r="BH73" s="15"/>
      <c r="BI73" s="16"/>
      <c r="BJ73" s="15"/>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row>
    <row r="74" spans="1:131" ht="27" customHeight="1">
      <c r="A74" s="144"/>
      <c r="B74" s="150"/>
      <c r="C74" s="155"/>
      <c r="D74" s="155"/>
      <c r="E74" s="155"/>
      <c r="F74" s="155"/>
      <c r="G74" s="155"/>
      <c r="H74" s="111"/>
      <c r="I74" s="113"/>
      <c r="J74" s="153"/>
      <c r="K74" s="153"/>
      <c r="L74" s="153"/>
      <c r="M74" s="153"/>
      <c r="N74" s="153"/>
      <c r="O74" s="153"/>
      <c r="P74" s="153"/>
      <c r="Q74" s="153"/>
      <c r="R74" s="153"/>
      <c r="S74" s="153"/>
      <c r="T74" s="115"/>
      <c r="U74" s="115"/>
      <c r="V74" s="87"/>
      <c r="W74" s="135"/>
      <c r="X74" s="136"/>
      <c r="Y74" s="133"/>
      <c r="Z74" s="133"/>
      <c r="AA74" s="133"/>
      <c r="AB74" s="133"/>
      <c r="AC74" s="133"/>
      <c r="AD74" s="118"/>
      <c r="AE74" s="119"/>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15"/>
      <c r="BB74" s="17"/>
      <c r="BC74" s="15"/>
      <c r="BD74" s="15"/>
      <c r="BE74" s="15"/>
      <c r="BF74" s="23"/>
      <c r="BG74" s="19"/>
      <c r="BH74" s="15"/>
      <c r="BI74" s="16"/>
      <c r="BJ74" s="15"/>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row>
    <row r="75" spans="1:131" ht="27" customHeight="1">
      <c r="A75" s="144"/>
      <c r="B75" s="150"/>
      <c r="C75" s="145"/>
      <c r="D75" s="146"/>
      <c r="E75" s="146"/>
      <c r="F75" s="146"/>
      <c r="G75" s="146"/>
      <c r="H75" s="111"/>
      <c r="I75" s="113"/>
      <c r="J75" s="153"/>
      <c r="K75" s="153"/>
      <c r="L75" s="153"/>
      <c r="M75" s="153"/>
      <c r="N75" s="153"/>
      <c r="O75" s="153"/>
      <c r="P75" s="153"/>
      <c r="Q75" s="153"/>
      <c r="R75" s="153"/>
      <c r="S75" s="153"/>
      <c r="T75" s="115"/>
      <c r="U75" s="115"/>
      <c r="V75" s="87"/>
      <c r="W75" s="135"/>
      <c r="X75" s="136"/>
      <c r="Y75" s="133"/>
      <c r="Z75" s="133"/>
      <c r="AA75" s="133"/>
      <c r="AB75" s="133"/>
      <c r="AC75" s="133"/>
      <c r="AD75" s="118"/>
      <c r="AE75" s="119"/>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15"/>
      <c r="BB75" s="17"/>
      <c r="BC75" s="15"/>
      <c r="BD75" s="15"/>
      <c r="BE75" s="15"/>
      <c r="BF75" s="23"/>
      <c r="BG75" s="19"/>
      <c r="BH75" s="15"/>
      <c r="BI75" s="16"/>
      <c r="BJ75" s="15"/>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row>
    <row r="76" spans="1:131" ht="27" customHeight="1">
      <c r="A76" s="144"/>
      <c r="B76" s="150"/>
      <c r="C76" s="156"/>
      <c r="D76" s="156"/>
      <c r="E76" s="156"/>
      <c r="F76" s="156"/>
      <c r="G76" s="156"/>
      <c r="H76" s="156"/>
      <c r="I76" s="156"/>
      <c r="J76" s="157"/>
      <c r="K76" s="157"/>
      <c r="L76" s="157"/>
      <c r="M76" s="157"/>
      <c r="N76" s="157"/>
      <c r="O76" s="157"/>
      <c r="P76" s="157"/>
      <c r="Q76" s="157"/>
      <c r="R76" s="157"/>
      <c r="S76" s="157"/>
      <c r="T76" s="157"/>
      <c r="U76" s="157"/>
      <c r="V76" s="87"/>
      <c r="W76" s="135"/>
      <c r="X76" s="136"/>
      <c r="Y76" s="133"/>
      <c r="Z76" s="133"/>
      <c r="AA76" s="133"/>
      <c r="AB76" s="133"/>
      <c r="AC76" s="133"/>
      <c r="AD76" s="118"/>
      <c r="AE76" s="119"/>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15"/>
      <c r="BB76" s="17"/>
      <c r="BC76" s="15"/>
      <c r="BD76" s="15"/>
      <c r="BE76" s="15"/>
      <c r="BF76" s="23"/>
      <c r="BG76" s="19"/>
      <c r="BH76" s="15"/>
      <c r="BI76" s="16"/>
      <c r="BJ76" s="15"/>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row>
    <row r="77" spans="1:131" ht="27" customHeight="1">
      <c r="A77" s="144"/>
      <c r="B77" s="158"/>
      <c r="C77" s="159"/>
      <c r="D77" s="139"/>
      <c r="E77" s="139"/>
      <c r="F77" s="139"/>
      <c r="G77" s="139"/>
      <c r="H77" s="116"/>
      <c r="I77" s="113"/>
      <c r="J77" s="153"/>
      <c r="K77" s="153"/>
      <c r="L77" s="153"/>
      <c r="M77" s="153"/>
      <c r="N77" s="153"/>
      <c r="O77" s="153"/>
      <c r="P77" s="153"/>
      <c r="Q77" s="153"/>
      <c r="R77" s="153"/>
      <c r="S77" s="153"/>
      <c r="T77" s="115"/>
      <c r="U77" s="115"/>
      <c r="V77" s="87"/>
      <c r="W77" s="135"/>
      <c r="X77" s="136"/>
      <c r="Y77" s="133"/>
      <c r="Z77" s="133"/>
      <c r="AA77" s="133"/>
      <c r="AB77" s="133"/>
      <c r="AC77" s="133"/>
      <c r="AD77" s="118"/>
      <c r="AE77" s="119"/>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15"/>
      <c r="BB77" s="17"/>
      <c r="BC77" s="15"/>
      <c r="BD77" s="15"/>
      <c r="BE77" s="15"/>
      <c r="BF77" s="18"/>
      <c r="BG77" s="19"/>
      <c r="BH77" s="15"/>
      <c r="BI77" s="16"/>
      <c r="BJ77" s="15"/>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row>
    <row r="78" spans="1:131" ht="27" customHeight="1">
      <c r="A78" s="144"/>
      <c r="B78" s="158"/>
      <c r="C78" s="159"/>
      <c r="D78" s="139"/>
      <c r="E78" s="139"/>
      <c r="F78" s="139"/>
      <c r="G78" s="139"/>
      <c r="H78" s="117"/>
      <c r="I78" s="113"/>
      <c r="J78" s="153"/>
      <c r="K78" s="153"/>
      <c r="L78" s="153"/>
      <c r="M78" s="153"/>
      <c r="N78" s="153"/>
      <c r="O78" s="153"/>
      <c r="P78" s="153"/>
      <c r="Q78" s="153"/>
      <c r="R78" s="153"/>
      <c r="S78" s="153"/>
      <c r="T78" s="115"/>
      <c r="U78" s="115"/>
      <c r="V78" s="87"/>
      <c r="W78" s="135"/>
      <c r="X78" s="136"/>
      <c r="Y78" s="133"/>
      <c r="Z78" s="133"/>
      <c r="AA78" s="133"/>
      <c r="AB78" s="133"/>
      <c r="AC78" s="133"/>
      <c r="AD78" s="118"/>
      <c r="AE78" s="119"/>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15"/>
      <c r="BB78" s="17"/>
      <c r="BC78" s="15"/>
      <c r="BD78" s="15"/>
      <c r="BE78" s="15"/>
      <c r="BF78" s="23"/>
      <c r="BG78" s="19"/>
      <c r="BH78" s="15"/>
      <c r="BI78" s="16"/>
      <c r="BJ78" s="15"/>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row>
    <row r="79" spans="1:131" ht="27" customHeight="1">
      <c r="A79" s="144"/>
      <c r="B79" s="158"/>
      <c r="C79" s="159"/>
      <c r="D79" s="139"/>
      <c r="E79" s="139"/>
      <c r="F79" s="139"/>
      <c r="G79" s="139"/>
      <c r="H79" s="117"/>
      <c r="I79" s="113"/>
      <c r="J79" s="153"/>
      <c r="K79" s="153"/>
      <c r="L79" s="153"/>
      <c r="M79" s="153"/>
      <c r="N79" s="153"/>
      <c r="O79" s="153"/>
      <c r="P79" s="153"/>
      <c r="Q79" s="153"/>
      <c r="R79" s="153"/>
      <c r="S79" s="153"/>
      <c r="T79" s="115"/>
      <c r="U79" s="115"/>
      <c r="V79" s="87"/>
      <c r="W79" s="135"/>
      <c r="X79" s="136"/>
      <c r="Y79" s="133"/>
      <c r="Z79" s="133"/>
      <c r="AA79" s="133"/>
      <c r="AB79" s="133"/>
      <c r="AC79" s="133"/>
      <c r="AD79" s="118"/>
      <c r="AE79" s="119"/>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15"/>
      <c r="BB79" s="17"/>
      <c r="BC79" s="15"/>
      <c r="BD79" s="15"/>
      <c r="BE79" s="15"/>
      <c r="BF79" s="23"/>
      <c r="BG79" s="19"/>
      <c r="BH79" s="15"/>
      <c r="BI79" s="16"/>
      <c r="BJ79" s="15"/>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row>
    <row r="80" spans="1:131" ht="27" customHeight="1">
      <c r="A80" s="144"/>
      <c r="B80" s="158"/>
      <c r="C80" s="159"/>
      <c r="D80" s="139"/>
      <c r="E80" s="139"/>
      <c r="F80" s="139"/>
      <c r="G80" s="139"/>
      <c r="H80" s="117"/>
      <c r="I80" s="113"/>
      <c r="J80" s="153"/>
      <c r="K80" s="153"/>
      <c r="L80" s="153"/>
      <c r="M80" s="153"/>
      <c r="N80" s="153"/>
      <c r="O80" s="153"/>
      <c r="P80" s="153"/>
      <c r="Q80" s="153"/>
      <c r="R80" s="153"/>
      <c r="S80" s="153"/>
      <c r="T80" s="115"/>
      <c r="U80" s="115"/>
      <c r="V80" s="87"/>
      <c r="W80" s="135"/>
      <c r="X80" s="136"/>
      <c r="Y80" s="133"/>
      <c r="Z80" s="133"/>
      <c r="AA80" s="133"/>
      <c r="AB80" s="133"/>
      <c r="AC80" s="133"/>
      <c r="AD80" s="118"/>
      <c r="AE80" s="119"/>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15"/>
      <c r="BB80" s="17"/>
      <c r="BC80" s="15"/>
      <c r="BD80" s="15"/>
      <c r="BE80" s="15"/>
      <c r="BF80" s="23"/>
      <c r="BG80" s="19"/>
      <c r="BH80" s="15"/>
      <c r="BI80" s="16"/>
      <c r="BJ80" s="15"/>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row>
    <row r="81" spans="1:131" ht="27" customHeight="1">
      <c r="A81" s="144"/>
      <c r="B81" s="158"/>
      <c r="C81" s="159"/>
      <c r="D81" s="147"/>
      <c r="E81" s="147"/>
      <c r="F81" s="135"/>
      <c r="G81" s="135"/>
      <c r="H81" s="117"/>
      <c r="I81" s="113"/>
      <c r="J81" s="153"/>
      <c r="K81" s="153"/>
      <c r="L81" s="153"/>
      <c r="M81" s="153"/>
      <c r="N81" s="153"/>
      <c r="O81" s="153"/>
      <c r="P81" s="153"/>
      <c r="Q81" s="153"/>
      <c r="R81" s="153"/>
      <c r="S81" s="153"/>
      <c r="T81" s="115"/>
      <c r="U81" s="115"/>
      <c r="V81" s="87"/>
      <c r="W81" s="135"/>
      <c r="X81" s="136"/>
      <c r="Y81" s="133"/>
      <c r="Z81" s="133"/>
      <c r="AA81" s="133"/>
      <c r="AB81" s="133"/>
      <c r="AC81" s="133"/>
      <c r="AD81" s="118"/>
      <c r="AE81" s="119"/>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15"/>
      <c r="BB81" s="17"/>
      <c r="BC81" s="15"/>
      <c r="BD81" s="15"/>
      <c r="BE81" s="15"/>
      <c r="BF81" s="23"/>
      <c r="BG81" s="19"/>
      <c r="BH81" s="15"/>
      <c r="BI81" s="16"/>
      <c r="BJ81" s="15"/>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row>
    <row r="82" spans="1:131" ht="27" customHeight="1">
      <c r="A82" s="144"/>
      <c r="B82" s="158"/>
      <c r="C82" s="159"/>
      <c r="D82" s="147"/>
      <c r="E82" s="147"/>
      <c r="F82" s="135"/>
      <c r="G82" s="135"/>
      <c r="H82" s="117"/>
      <c r="I82" s="113"/>
      <c r="J82" s="153"/>
      <c r="K82" s="153"/>
      <c r="L82" s="153"/>
      <c r="M82" s="153"/>
      <c r="N82" s="153"/>
      <c r="O82" s="153"/>
      <c r="P82" s="153"/>
      <c r="Q82" s="153"/>
      <c r="R82" s="153"/>
      <c r="S82" s="153"/>
      <c r="T82" s="115"/>
      <c r="U82" s="115"/>
      <c r="V82" s="87"/>
      <c r="W82" s="135"/>
      <c r="X82" s="136"/>
      <c r="Y82" s="133"/>
      <c r="Z82" s="133"/>
      <c r="AA82" s="133"/>
      <c r="AB82" s="133"/>
      <c r="AC82" s="133"/>
      <c r="AD82" s="118"/>
      <c r="AE82" s="119"/>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20"/>
      <c r="BB82" s="17"/>
      <c r="BC82" s="15"/>
      <c r="BD82" s="15"/>
      <c r="BE82" s="15"/>
      <c r="BF82" s="23"/>
      <c r="BG82" s="19"/>
      <c r="BH82" s="15"/>
      <c r="BI82" s="16"/>
      <c r="BJ82" s="15"/>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row>
    <row r="83" spans="1:131" ht="27" customHeight="1">
      <c r="A83" s="144"/>
      <c r="B83" s="158"/>
      <c r="C83" s="159"/>
      <c r="D83" s="135"/>
      <c r="E83" s="135"/>
      <c r="F83" s="135"/>
      <c r="G83" s="135"/>
      <c r="H83" s="116"/>
      <c r="I83" s="113"/>
      <c r="J83" s="153"/>
      <c r="K83" s="153"/>
      <c r="L83" s="153"/>
      <c r="M83" s="153"/>
      <c r="N83" s="153"/>
      <c r="O83" s="153"/>
      <c r="P83" s="153"/>
      <c r="Q83" s="153"/>
      <c r="R83" s="153"/>
      <c r="S83" s="153"/>
      <c r="T83" s="115"/>
      <c r="U83" s="115"/>
      <c r="V83" s="87"/>
      <c r="W83" s="135"/>
      <c r="X83" s="136"/>
      <c r="Y83" s="133"/>
      <c r="Z83" s="133"/>
      <c r="AA83" s="133"/>
      <c r="AB83" s="133"/>
      <c r="AC83" s="133"/>
      <c r="AD83" s="118"/>
      <c r="AE83" s="103"/>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15"/>
      <c r="BB83" s="17"/>
      <c r="BC83" s="15"/>
      <c r="BD83" s="15"/>
      <c r="BE83" s="15"/>
      <c r="BF83" s="23"/>
      <c r="BG83" s="19"/>
      <c r="BH83" s="15"/>
      <c r="BI83" s="16"/>
      <c r="BJ83" s="15"/>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row>
    <row r="84" spans="1:131" ht="27" customHeight="1">
      <c r="A84" s="144"/>
      <c r="B84" s="158"/>
      <c r="C84" s="159"/>
      <c r="D84" s="135"/>
      <c r="E84" s="135"/>
      <c r="F84" s="135"/>
      <c r="G84" s="135"/>
      <c r="H84" s="117"/>
      <c r="I84" s="113"/>
      <c r="J84" s="153"/>
      <c r="K84" s="153"/>
      <c r="L84" s="153"/>
      <c r="M84" s="153"/>
      <c r="N84" s="153"/>
      <c r="O84" s="153"/>
      <c r="P84" s="153"/>
      <c r="Q84" s="153"/>
      <c r="R84" s="153"/>
      <c r="S84" s="153"/>
      <c r="T84" s="115"/>
      <c r="U84" s="115"/>
      <c r="V84" s="87"/>
      <c r="W84" s="135"/>
      <c r="X84" s="136"/>
      <c r="Y84" s="133"/>
      <c r="Z84" s="133"/>
      <c r="AA84" s="133"/>
      <c r="AB84" s="133"/>
      <c r="AC84" s="133"/>
      <c r="AD84" s="121"/>
      <c r="AE84" s="103"/>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15"/>
      <c r="BB84" s="17"/>
      <c r="BC84" s="15"/>
      <c r="BD84" s="19"/>
      <c r="BE84" s="19"/>
      <c r="BF84" s="23"/>
      <c r="BG84" s="19"/>
      <c r="BH84" s="19"/>
      <c r="BI84" s="18"/>
      <c r="BJ84" s="19"/>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row>
    <row r="85" spans="1:131" ht="27" customHeight="1">
      <c r="A85" s="144"/>
      <c r="B85" s="158"/>
      <c r="C85" s="159"/>
      <c r="D85" s="135"/>
      <c r="E85" s="135"/>
      <c r="F85" s="135"/>
      <c r="G85" s="135"/>
      <c r="H85" s="116"/>
      <c r="I85" s="113"/>
      <c r="J85" s="153"/>
      <c r="K85" s="153"/>
      <c r="L85" s="153"/>
      <c r="M85" s="153"/>
      <c r="N85" s="153"/>
      <c r="O85" s="153"/>
      <c r="P85" s="153"/>
      <c r="Q85" s="153"/>
      <c r="R85" s="153"/>
      <c r="S85" s="153"/>
      <c r="T85" s="115"/>
      <c r="U85" s="115"/>
      <c r="V85" s="87"/>
      <c r="W85" s="135"/>
      <c r="X85" s="136"/>
      <c r="Y85" s="100"/>
      <c r="Z85" s="100"/>
      <c r="AA85" s="100"/>
      <c r="AB85" s="100"/>
      <c r="AC85" s="100"/>
      <c r="AD85" s="100"/>
      <c r="AE85" s="100"/>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7"/>
      <c r="BC85" s="15"/>
      <c r="BD85" s="15"/>
      <c r="BE85" s="15"/>
      <c r="BF85" s="16"/>
      <c r="BG85" s="15"/>
      <c r="BH85" s="15"/>
      <c r="BI85" s="16"/>
      <c r="BJ85" s="15"/>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row>
    <row r="86" spans="1:131" ht="27" customHeight="1">
      <c r="A86" s="144"/>
      <c r="B86" s="158"/>
      <c r="C86" s="159"/>
      <c r="D86" s="135"/>
      <c r="E86" s="135"/>
      <c r="F86" s="135"/>
      <c r="G86" s="135"/>
      <c r="H86" s="117"/>
      <c r="I86" s="113"/>
      <c r="J86" s="153"/>
      <c r="K86" s="153"/>
      <c r="L86" s="153"/>
      <c r="M86" s="153"/>
      <c r="N86" s="153"/>
      <c r="O86" s="153"/>
      <c r="P86" s="153"/>
      <c r="Q86" s="153"/>
      <c r="R86" s="153"/>
      <c r="S86" s="153"/>
      <c r="T86" s="115"/>
      <c r="U86" s="115"/>
      <c r="V86" s="87"/>
      <c r="W86" s="134"/>
      <c r="X86" s="134"/>
      <c r="Y86" s="134"/>
      <c r="Z86" s="134"/>
      <c r="AA86" s="134"/>
      <c r="AB86" s="134"/>
      <c r="AC86" s="134"/>
      <c r="AD86" s="134"/>
      <c r="AE86" s="134"/>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7"/>
      <c r="BC86" s="15"/>
      <c r="BD86" s="15"/>
      <c r="BE86" s="15"/>
      <c r="BF86" s="16"/>
      <c r="BG86" s="15"/>
      <c r="BH86" s="15"/>
      <c r="BI86" s="16"/>
      <c r="BJ86" s="15"/>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row>
    <row r="87" spans="1:131" ht="27" customHeight="1">
      <c r="A87" s="144"/>
      <c r="B87" s="158"/>
      <c r="C87" s="159"/>
      <c r="D87" s="135"/>
      <c r="E87" s="135"/>
      <c r="F87" s="135"/>
      <c r="G87" s="135"/>
      <c r="H87" s="117"/>
      <c r="I87" s="113"/>
      <c r="J87" s="153"/>
      <c r="K87" s="153"/>
      <c r="L87" s="153"/>
      <c r="M87" s="153"/>
      <c r="N87" s="153"/>
      <c r="O87" s="153"/>
      <c r="P87" s="153"/>
      <c r="Q87" s="153"/>
      <c r="R87" s="153"/>
      <c r="S87" s="153"/>
      <c r="T87" s="115"/>
      <c r="U87" s="115"/>
      <c r="V87" s="87"/>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17"/>
      <c r="BC87" s="15"/>
      <c r="BD87" s="15"/>
      <c r="BE87" s="15"/>
      <c r="BH87" s="15"/>
      <c r="BI87" s="16"/>
      <c r="BJ87" s="15"/>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row>
    <row r="88" spans="1:131" ht="27" customHeight="1">
      <c r="A88" s="144"/>
      <c r="B88" s="158"/>
      <c r="C88" s="159"/>
      <c r="D88" s="135"/>
      <c r="E88" s="135"/>
      <c r="F88" s="135"/>
      <c r="G88" s="135"/>
      <c r="H88" s="117"/>
      <c r="I88" s="113"/>
      <c r="J88" s="153"/>
      <c r="K88" s="153"/>
      <c r="L88" s="153"/>
      <c r="M88" s="153"/>
      <c r="N88" s="153"/>
      <c r="O88" s="153"/>
      <c r="P88" s="153"/>
      <c r="Q88" s="153"/>
      <c r="R88" s="153"/>
      <c r="S88" s="153"/>
      <c r="T88" s="115"/>
      <c r="U88" s="115"/>
      <c r="V88" s="87"/>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17"/>
      <c r="BC88" s="15"/>
      <c r="BD88" s="15"/>
      <c r="BE88" s="15"/>
      <c r="BH88" s="15"/>
      <c r="BI88" s="16"/>
      <c r="BJ88" s="15"/>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row>
    <row r="89" spans="1:131" ht="27" customHeight="1">
      <c r="A89" s="144"/>
      <c r="B89" s="158"/>
      <c r="C89" s="159"/>
      <c r="D89" s="147"/>
      <c r="E89" s="147"/>
      <c r="F89" s="135"/>
      <c r="G89" s="135"/>
      <c r="H89" s="117"/>
      <c r="I89" s="113"/>
      <c r="J89" s="153"/>
      <c r="K89" s="153"/>
      <c r="L89" s="153"/>
      <c r="M89" s="153"/>
      <c r="N89" s="153"/>
      <c r="O89" s="153"/>
      <c r="P89" s="153"/>
      <c r="Q89" s="153"/>
      <c r="R89" s="153"/>
      <c r="S89" s="153"/>
      <c r="T89" s="115"/>
      <c r="U89" s="115"/>
      <c r="V89" s="87"/>
      <c r="W89" s="160"/>
      <c r="X89" s="135"/>
      <c r="Y89" s="161"/>
      <c r="Z89" s="135"/>
      <c r="AA89" s="135"/>
      <c r="AB89" s="135"/>
      <c r="AC89" s="162"/>
      <c r="AD89" s="135"/>
      <c r="AE89" s="135"/>
      <c r="AF89" s="161"/>
      <c r="AG89" s="135"/>
      <c r="AH89" s="135"/>
      <c r="AI89" s="135"/>
      <c r="AJ89" s="135"/>
      <c r="AK89" s="161"/>
      <c r="AL89" s="135"/>
      <c r="AM89" s="135"/>
      <c r="AN89" s="161"/>
      <c r="AO89" s="135"/>
      <c r="AP89" s="135"/>
      <c r="AQ89" s="161"/>
      <c r="AR89" s="161"/>
      <c r="AS89" s="161"/>
      <c r="AT89" s="161"/>
      <c r="AU89" s="161"/>
      <c r="AV89" s="161"/>
      <c r="AW89" s="161"/>
      <c r="AX89" s="161"/>
      <c r="AY89" s="161"/>
      <c r="AZ89" s="161"/>
      <c r="BA89" s="89"/>
      <c r="BB89" s="17"/>
      <c r="BC89" s="15"/>
      <c r="BD89" s="15"/>
      <c r="BE89" s="15"/>
      <c r="BH89" s="15"/>
      <c r="BI89" s="16"/>
      <c r="BJ89" s="15"/>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row>
    <row r="90" spans="1:131" ht="27" customHeight="1">
      <c r="A90" s="144"/>
      <c r="B90" s="158"/>
      <c r="C90" s="159"/>
      <c r="D90" s="147"/>
      <c r="E90" s="147"/>
      <c r="F90" s="135"/>
      <c r="G90" s="135"/>
      <c r="H90" s="117"/>
      <c r="I90" s="113"/>
      <c r="J90" s="153"/>
      <c r="K90" s="153"/>
      <c r="L90" s="153"/>
      <c r="M90" s="153"/>
      <c r="N90" s="153"/>
      <c r="O90" s="153"/>
      <c r="P90" s="153"/>
      <c r="Q90" s="153"/>
      <c r="R90" s="153"/>
      <c r="S90" s="153"/>
      <c r="T90" s="115"/>
      <c r="U90" s="115"/>
      <c r="V90" s="87"/>
      <c r="W90" s="135"/>
      <c r="X90" s="135"/>
      <c r="Y90" s="133"/>
      <c r="Z90" s="135"/>
      <c r="AA90" s="135"/>
      <c r="AB90" s="135"/>
      <c r="AC90" s="123"/>
      <c r="AD90" s="95"/>
      <c r="AE90" s="123"/>
      <c r="AF90" s="123"/>
      <c r="AG90" s="95"/>
      <c r="AH90" s="123"/>
      <c r="AI90" s="123"/>
      <c r="AJ90" s="123"/>
      <c r="AK90" s="123"/>
      <c r="AL90" s="95"/>
      <c r="AM90" s="123"/>
      <c r="AN90" s="123"/>
      <c r="AO90" s="95"/>
      <c r="AP90" s="112"/>
      <c r="AQ90" s="163"/>
      <c r="AR90" s="163"/>
      <c r="AS90" s="95"/>
      <c r="AT90" s="163"/>
      <c r="AU90" s="163"/>
      <c r="AV90" s="163"/>
      <c r="AW90" s="163"/>
      <c r="AX90" s="95"/>
      <c r="AY90" s="95"/>
      <c r="AZ90" s="95"/>
      <c r="BA90" s="87"/>
      <c r="BB90" s="17"/>
      <c r="BC90" s="15"/>
      <c r="BD90" s="15"/>
      <c r="BE90" s="15"/>
      <c r="BH90" s="15"/>
      <c r="BI90" s="16"/>
      <c r="BJ90" s="15"/>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row>
    <row r="91" spans="1:131" ht="27" customHeight="1">
      <c r="A91" s="144"/>
      <c r="B91" s="158"/>
      <c r="C91" s="159"/>
      <c r="D91" s="135"/>
      <c r="E91" s="135"/>
      <c r="F91" s="135"/>
      <c r="G91" s="135"/>
      <c r="H91" s="116"/>
      <c r="I91" s="113"/>
      <c r="J91" s="153"/>
      <c r="K91" s="153"/>
      <c r="L91" s="153"/>
      <c r="M91" s="153"/>
      <c r="N91" s="153"/>
      <c r="O91" s="153"/>
      <c r="P91" s="153"/>
      <c r="Q91" s="153"/>
      <c r="R91" s="153"/>
      <c r="S91" s="153"/>
      <c r="T91" s="115"/>
      <c r="U91" s="115"/>
      <c r="V91" s="87"/>
      <c r="W91" s="135"/>
      <c r="X91" s="135"/>
      <c r="Y91" s="133"/>
      <c r="Z91" s="135"/>
      <c r="AA91" s="135"/>
      <c r="AB91" s="135"/>
      <c r="AC91" s="123"/>
      <c r="AD91" s="95"/>
      <c r="AE91" s="123"/>
      <c r="AF91" s="123"/>
      <c r="AG91" s="95"/>
      <c r="AH91" s="123"/>
      <c r="AI91" s="123"/>
      <c r="AJ91" s="123"/>
      <c r="AK91" s="123"/>
      <c r="AL91" s="95"/>
      <c r="AM91" s="123"/>
      <c r="AN91" s="123"/>
      <c r="AO91" s="95"/>
      <c r="AP91" s="112"/>
      <c r="AQ91" s="163"/>
      <c r="AR91" s="163"/>
      <c r="AS91" s="95"/>
      <c r="AT91" s="163"/>
      <c r="AU91" s="163"/>
      <c r="AV91" s="163"/>
      <c r="AW91" s="163"/>
      <c r="AX91" s="95"/>
      <c r="AY91" s="95"/>
      <c r="AZ91" s="95"/>
      <c r="BA91" s="87"/>
      <c r="BB91" s="17"/>
      <c r="BC91" s="15"/>
      <c r="BD91" s="15"/>
      <c r="BE91" s="15"/>
      <c r="BH91" s="15"/>
      <c r="BI91" s="16"/>
      <c r="BJ91" s="15"/>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row>
    <row r="92" spans="1:131" ht="27" customHeight="1">
      <c r="A92" s="144"/>
      <c r="B92" s="158"/>
      <c r="C92" s="159"/>
      <c r="D92" s="135"/>
      <c r="E92" s="135"/>
      <c r="F92" s="135"/>
      <c r="G92" s="135"/>
      <c r="H92" s="117"/>
      <c r="I92" s="113"/>
      <c r="J92" s="153"/>
      <c r="K92" s="153"/>
      <c r="L92" s="153"/>
      <c r="M92" s="153"/>
      <c r="N92" s="153"/>
      <c r="O92" s="153"/>
      <c r="P92" s="153"/>
      <c r="Q92" s="153"/>
      <c r="R92" s="153"/>
      <c r="S92" s="153"/>
      <c r="T92" s="115"/>
      <c r="U92" s="115"/>
      <c r="V92" s="87"/>
      <c r="W92" s="135"/>
      <c r="X92" s="135"/>
      <c r="Y92" s="133"/>
      <c r="Z92" s="135"/>
      <c r="AA92" s="135"/>
      <c r="AB92" s="135"/>
      <c r="AC92" s="123"/>
      <c r="AD92" s="95"/>
      <c r="AE92" s="123"/>
      <c r="AF92" s="123"/>
      <c r="AG92" s="95"/>
      <c r="AH92" s="123"/>
      <c r="AI92" s="123"/>
      <c r="AJ92" s="123"/>
      <c r="AK92" s="123"/>
      <c r="AL92" s="95"/>
      <c r="AM92" s="123"/>
      <c r="AN92" s="123"/>
      <c r="AO92" s="95"/>
      <c r="AP92" s="112"/>
      <c r="AQ92" s="163"/>
      <c r="AR92" s="163"/>
      <c r="AS92" s="95"/>
      <c r="AT92" s="163"/>
      <c r="AU92" s="163"/>
      <c r="AV92" s="163"/>
      <c r="AW92" s="163"/>
      <c r="AX92" s="95"/>
      <c r="AY92" s="95"/>
      <c r="AZ92" s="95"/>
      <c r="BA92" s="87"/>
      <c r="BB92" s="17"/>
      <c r="BC92" s="15"/>
      <c r="BD92" s="15"/>
      <c r="BE92" s="15"/>
      <c r="BH92" s="15"/>
      <c r="BI92" s="16"/>
      <c r="BJ92" s="15"/>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row>
    <row r="93" spans="1:131" ht="27" customHeight="1">
      <c r="A93" s="144"/>
      <c r="B93" s="158"/>
      <c r="C93" s="156"/>
      <c r="D93" s="156"/>
      <c r="E93" s="156"/>
      <c r="F93" s="156"/>
      <c r="G93" s="156"/>
      <c r="H93" s="156"/>
      <c r="I93" s="156"/>
      <c r="J93" s="115"/>
      <c r="K93" s="115"/>
      <c r="L93" s="115"/>
      <c r="M93" s="115"/>
      <c r="N93" s="115"/>
      <c r="O93" s="115"/>
      <c r="P93" s="115"/>
      <c r="Q93" s="115"/>
      <c r="R93" s="115"/>
      <c r="S93" s="115"/>
      <c r="T93" s="115"/>
      <c r="U93" s="115"/>
      <c r="V93" s="90"/>
      <c r="W93" s="135"/>
      <c r="X93" s="135"/>
      <c r="Y93" s="133"/>
      <c r="Z93" s="135"/>
      <c r="AA93" s="135"/>
      <c r="AB93" s="135"/>
      <c r="AC93" s="123"/>
      <c r="AD93" s="95"/>
      <c r="AE93" s="123"/>
      <c r="AF93" s="123"/>
      <c r="AG93" s="95"/>
      <c r="AH93" s="123"/>
      <c r="AI93" s="123"/>
      <c r="AJ93" s="123"/>
      <c r="AK93" s="123"/>
      <c r="AL93" s="95"/>
      <c r="AM93" s="123"/>
      <c r="AN93" s="123"/>
      <c r="AO93" s="95"/>
      <c r="AP93" s="112"/>
      <c r="AQ93" s="163"/>
      <c r="AR93" s="163"/>
      <c r="AS93" s="95"/>
      <c r="AT93" s="163"/>
      <c r="AU93" s="163"/>
      <c r="AV93" s="163"/>
      <c r="AW93" s="163"/>
      <c r="AX93" s="95"/>
      <c r="AY93" s="95"/>
      <c r="AZ93" s="95"/>
      <c r="BA93" s="87"/>
      <c r="BB93" s="17"/>
      <c r="BC93" s="15"/>
      <c r="BD93" s="15"/>
      <c r="BE93" s="15"/>
      <c r="BH93" s="15"/>
      <c r="BI93" s="16"/>
      <c r="BJ93" s="15"/>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row>
    <row r="94" spans="1:131" ht="27" customHeight="1">
      <c r="A94" s="91"/>
      <c r="B94" s="91"/>
      <c r="C94" s="91"/>
      <c r="D94" s="91"/>
      <c r="E94" s="91"/>
      <c r="F94" s="91"/>
      <c r="G94" s="91"/>
      <c r="H94" s="91"/>
      <c r="I94" s="91"/>
      <c r="J94" s="91"/>
      <c r="K94" s="91"/>
      <c r="L94" s="91"/>
      <c r="M94" s="91"/>
      <c r="N94" s="91"/>
      <c r="O94" s="91"/>
      <c r="P94" s="91"/>
      <c r="Q94" s="91"/>
      <c r="R94" s="91"/>
      <c r="S94" s="91"/>
      <c r="T94" s="91"/>
      <c r="U94" s="91"/>
      <c r="V94" s="91"/>
      <c r="W94" s="135"/>
      <c r="X94" s="135"/>
      <c r="Y94" s="133"/>
      <c r="Z94" s="135"/>
      <c r="AA94" s="135"/>
      <c r="AB94" s="135"/>
      <c r="AC94" s="123"/>
      <c r="AD94" s="95"/>
      <c r="AE94" s="123"/>
      <c r="AF94" s="123"/>
      <c r="AG94" s="95"/>
      <c r="AH94" s="123"/>
      <c r="AI94" s="123"/>
      <c r="AJ94" s="123"/>
      <c r="AK94" s="123"/>
      <c r="AL94" s="95"/>
      <c r="AM94" s="123"/>
      <c r="AN94" s="123"/>
      <c r="AO94" s="95"/>
      <c r="AP94" s="112"/>
      <c r="AQ94" s="163"/>
      <c r="AR94" s="163"/>
      <c r="AS94" s="95"/>
      <c r="AT94" s="163"/>
      <c r="AU94" s="163"/>
      <c r="AV94" s="163"/>
      <c r="AW94" s="163"/>
      <c r="AX94" s="95"/>
      <c r="AY94" s="95"/>
      <c r="AZ94" s="95"/>
      <c r="BA94" s="87"/>
      <c r="BB94" s="17"/>
      <c r="BC94" s="15"/>
      <c r="BD94" s="15"/>
      <c r="BE94" s="15"/>
      <c r="BH94" s="15"/>
      <c r="BI94" s="16"/>
      <c r="BJ94" s="15"/>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row>
  </sheetData>
  <sheetProtection algorithmName="SHA-512" hashValue="ciGPhwbiIDDGj9gsIzGl7bg5ZZaVFcAeUkszGvCrlgPy6UPOkdERpVPdERjSBoGscV5rqOXSHlVSg9Q3+GBs6Q==" saltValue="z85pHcaUXXaEIZPFZT09VQ==" spinCount="100000" sheet="1" selectLockedCells="1"/>
  <mergeCells count="873">
    <mergeCell ref="Y44:AB44"/>
    <mergeCell ref="AU35:AW35"/>
    <mergeCell ref="AX35:AZ35"/>
    <mergeCell ref="AU36:AW36"/>
    <mergeCell ref="AX36:AZ36"/>
    <mergeCell ref="AU37:AW37"/>
    <mergeCell ref="AX37:AZ37"/>
    <mergeCell ref="AU38:AW38"/>
    <mergeCell ref="AX38:AZ38"/>
    <mergeCell ref="AU39:AW39"/>
    <mergeCell ref="AX39:AZ39"/>
    <mergeCell ref="AO39:AQ39"/>
    <mergeCell ref="AL36:AN36"/>
    <mergeCell ref="AI35:AK35"/>
    <mergeCell ref="AU29:AW29"/>
    <mergeCell ref="AU30:AW30"/>
    <mergeCell ref="AU31:AW32"/>
    <mergeCell ref="AU33:AW33"/>
    <mergeCell ref="AU34:AW34"/>
    <mergeCell ref="AX22:AZ22"/>
    <mergeCell ref="AX23:AZ23"/>
    <mergeCell ref="AX24:AZ24"/>
    <mergeCell ref="AX25:AZ25"/>
    <mergeCell ref="AX26:AZ26"/>
    <mergeCell ref="AX27:AZ27"/>
    <mergeCell ref="AX28:AZ28"/>
    <mergeCell ref="AX29:AZ29"/>
    <mergeCell ref="AX30:AZ30"/>
    <mergeCell ref="AX31:AZ32"/>
    <mergeCell ref="AX33:AZ33"/>
    <mergeCell ref="AX34:AZ34"/>
    <mergeCell ref="AX21:AZ21"/>
    <mergeCell ref="AU21:AW21"/>
    <mergeCell ref="AU22:AW22"/>
    <mergeCell ref="AU23:AW23"/>
    <mergeCell ref="AU24:AW24"/>
    <mergeCell ref="AU25:AW25"/>
    <mergeCell ref="AU26:AW26"/>
    <mergeCell ref="AU27:AW27"/>
    <mergeCell ref="AU28:AW28"/>
    <mergeCell ref="AX12:AZ12"/>
    <mergeCell ref="AX13:AZ13"/>
    <mergeCell ref="AX14:AZ14"/>
    <mergeCell ref="AX15:AZ15"/>
    <mergeCell ref="AX16:AZ16"/>
    <mergeCell ref="AX17:AZ17"/>
    <mergeCell ref="AX18:AZ18"/>
    <mergeCell ref="AX19:AZ19"/>
    <mergeCell ref="AX20:AZ20"/>
    <mergeCell ref="AX3:AZ3"/>
    <mergeCell ref="AX4:AZ4"/>
    <mergeCell ref="AX5:AZ5"/>
    <mergeCell ref="AX6:AZ6"/>
    <mergeCell ref="AX7:AZ7"/>
    <mergeCell ref="AX8:AZ8"/>
    <mergeCell ref="AX9:AZ9"/>
    <mergeCell ref="AX10:AZ10"/>
    <mergeCell ref="AX11:AZ11"/>
    <mergeCell ref="AU13:AW13"/>
    <mergeCell ref="AU14:AW14"/>
    <mergeCell ref="AU15:AW15"/>
    <mergeCell ref="AU16:AW16"/>
    <mergeCell ref="AU17:AW17"/>
    <mergeCell ref="AU18:AW18"/>
    <mergeCell ref="AU19:AW19"/>
    <mergeCell ref="AU20:AW20"/>
    <mergeCell ref="AU4:AW4"/>
    <mergeCell ref="AU5:AW5"/>
    <mergeCell ref="AU6:AW6"/>
    <mergeCell ref="AU3:AW3"/>
    <mergeCell ref="AU7:AW7"/>
    <mergeCell ref="AU8:AW8"/>
    <mergeCell ref="AU9:AW9"/>
    <mergeCell ref="AU10:AW10"/>
    <mergeCell ref="AU11:AW11"/>
    <mergeCell ref="AU12:AW12"/>
    <mergeCell ref="Y42:AB42"/>
    <mergeCell ref="Y43:AB43"/>
    <mergeCell ref="AR42:AU42"/>
    <mergeCell ref="AO42:AQ42"/>
    <mergeCell ref="AL42:AN42"/>
    <mergeCell ref="AI42:AK42"/>
    <mergeCell ref="AF42:AH42"/>
    <mergeCell ref="AC42:AE42"/>
    <mergeCell ref="AR23:AT23"/>
    <mergeCell ref="AR24:AT24"/>
    <mergeCell ref="AR12:AT12"/>
    <mergeCell ref="AR13:AT13"/>
    <mergeCell ref="AR21:AT21"/>
    <mergeCell ref="AR22:AT22"/>
    <mergeCell ref="AR17:AT17"/>
    <mergeCell ref="AR18:AT18"/>
    <mergeCell ref="AR19:AT19"/>
    <mergeCell ref="BD38:BD45"/>
    <mergeCell ref="BE38:BH38"/>
    <mergeCell ref="BK38:BL38"/>
    <mergeCell ref="BQ33:BR33"/>
    <mergeCell ref="BS33:BT33"/>
    <mergeCell ref="BC30:BC46"/>
    <mergeCell ref="BD30:BD37"/>
    <mergeCell ref="BE30:BH30"/>
    <mergeCell ref="BE39:BH39"/>
    <mergeCell ref="BS35:BT35"/>
    <mergeCell ref="BE45:BI45"/>
    <mergeCell ref="BD46:BI46"/>
    <mergeCell ref="BK45:BL45"/>
    <mergeCell ref="BQ45:BR45"/>
    <mergeCell ref="BS45:BT45"/>
    <mergeCell ref="BE44:BH44"/>
    <mergeCell ref="BE40:BH40"/>
    <mergeCell ref="BK37:BL37"/>
    <mergeCell ref="BE37:BI37"/>
    <mergeCell ref="BE36:BH36"/>
    <mergeCell ref="BK36:BL36"/>
    <mergeCell ref="BE35:BH35"/>
    <mergeCell ref="BE33:BH33"/>
    <mergeCell ref="BE32:BH32"/>
    <mergeCell ref="BI55:BJ55"/>
    <mergeCell ref="AR36:AT36"/>
    <mergeCell ref="AR39:AT39"/>
    <mergeCell ref="BB47:BV47"/>
    <mergeCell ref="BU42:BV42"/>
    <mergeCell ref="BE42:BH42"/>
    <mergeCell ref="BK42:BL42"/>
    <mergeCell ref="BQ42:BR42"/>
    <mergeCell ref="BS42:BT42"/>
    <mergeCell ref="BE41:BH41"/>
    <mergeCell ref="BK41:BL41"/>
    <mergeCell ref="BB30:BB46"/>
    <mergeCell ref="BQ41:BR41"/>
    <mergeCell ref="BS41:BT41"/>
    <mergeCell ref="BK46:BL46"/>
    <mergeCell ref="BQ46:BR46"/>
    <mergeCell ref="BS46:BT46"/>
    <mergeCell ref="BU46:BV46"/>
    <mergeCell ref="BE43:BH43"/>
    <mergeCell ref="BK43:BL43"/>
    <mergeCell ref="BQ36:BR36"/>
    <mergeCell ref="BS32:BT32"/>
    <mergeCell ref="BU32:BV32"/>
    <mergeCell ref="BE34:BH34"/>
    <mergeCell ref="AR20:AT20"/>
    <mergeCell ref="AR14:AT14"/>
    <mergeCell ref="AR15:AT15"/>
    <mergeCell ref="DB42:DC42"/>
    <mergeCell ref="DB35:DC35"/>
    <mergeCell ref="BQ40:BR40"/>
    <mergeCell ref="BS40:BT40"/>
    <mergeCell ref="BU40:BV40"/>
    <mergeCell ref="BX40:CV40"/>
    <mergeCell ref="BS39:BT39"/>
    <mergeCell ref="BU39:BV39"/>
    <mergeCell ref="CG39:CI39"/>
    <mergeCell ref="CJ39:CL39"/>
    <mergeCell ref="CM39:CO39"/>
    <mergeCell ref="BQ39:BR39"/>
    <mergeCell ref="CP39:CR39"/>
    <mergeCell ref="CS37:CU37"/>
    <mergeCell ref="BY38:CF38"/>
    <mergeCell ref="BY39:CF39"/>
    <mergeCell ref="BQ38:BR38"/>
    <mergeCell ref="BS38:BT38"/>
    <mergeCell ref="BU38:BV38"/>
    <mergeCell ref="CS36:CU36"/>
    <mergeCell ref="BU37:BV37"/>
    <mergeCell ref="CJ38:CL38"/>
    <mergeCell ref="BX36:BX37"/>
    <mergeCell ref="BU45:BV45"/>
    <mergeCell ref="BQ44:BR44"/>
    <mergeCell ref="BS44:BT44"/>
    <mergeCell ref="BU43:BV43"/>
    <mergeCell ref="BK40:BL40"/>
    <mergeCell ref="BK39:BL39"/>
    <mergeCell ref="BU41:BV41"/>
    <mergeCell ref="BQ43:BR43"/>
    <mergeCell ref="BS43:BT43"/>
    <mergeCell ref="CP30:CR30"/>
    <mergeCell ref="CS30:CU30"/>
    <mergeCell ref="CM38:CO38"/>
    <mergeCell ref="CP38:CR38"/>
    <mergeCell ref="BK44:BL44"/>
    <mergeCell ref="BU44:BV44"/>
    <mergeCell ref="CS39:CU39"/>
    <mergeCell ref="CS38:CU38"/>
    <mergeCell ref="CJ36:CL36"/>
    <mergeCell ref="CM36:CO36"/>
    <mergeCell ref="CP36:CR36"/>
    <mergeCell ref="BX38:BX39"/>
    <mergeCell ref="CG37:CI37"/>
    <mergeCell ref="CJ37:CL37"/>
    <mergeCell ref="CM37:CO37"/>
    <mergeCell ref="CP37:CR37"/>
    <mergeCell ref="CG38:CI38"/>
    <mergeCell ref="BQ34:BR34"/>
    <mergeCell ref="BS34:BT34"/>
    <mergeCell ref="BU34:BV34"/>
    <mergeCell ref="BZ34:CD34"/>
    <mergeCell ref="BZ33:CD33"/>
    <mergeCell ref="CF31:CF32"/>
    <mergeCell ref="CG31:CI32"/>
    <mergeCell ref="CG36:CI36"/>
    <mergeCell ref="BY36:CF36"/>
    <mergeCell ref="BY37:CF37"/>
    <mergeCell ref="BQ37:BR37"/>
    <mergeCell ref="BS37:BT37"/>
    <mergeCell ref="BQ35:BR35"/>
    <mergeCell ref="CM30:CO30"/>
    <mergeCell ref="BS36:BT36"/>
    <mergeCell ref="BU36:BV36"/>
    <mergeCell ref="CE31:CE32"/>
    <mergeCell ref="CM35:CO35"/>
    <mergeCell ref="CJ31:CL32"/>
    <mergeCell ref="CM31:CO32"/>
    <mergeCell ref="BU31:BV31"/>
    <mergeCell ref="BQ30:BR30"/>
    <mergeCell ref="BS30:BT30"/>
    <mergeCell ref="BU30:BV30"/>
    <mergeCell ref="BZ30:CD30"/>
    <mergeCell ref="BQ32:BR32"/>
    <mergeCell ref="BS31:BT31"/>
    <mergeCell ref="BZ29:CD29"/>
    <mergeCell ref="BZ31:CD31"/>
    <mergeCell ref="BZ32:CD32"/>
    <mergeCell ref="BK34:BL34"/>
    <mergeCell ref="BQ29:BR29"/>
    <mergeCell ref="BS29:BT29"/>
    <mergeCell ref="BU29:BV29"/>
    <mergeCell ref="BU35:BV35"/>
    <mergeCell ref="BK35:BL35"/>
    <mergeCell ref="BK33:BL33"/>
    <mergeCell ref="BK32:BL32"/>
    <mergeCell ref="BU33:BV33"/>
    <mergeCell ref="BD29:BI29"/>
    <mergeCell ref="BC21:BH22"/>
    <mergeCell ref="BJ21:BJ22"/>
    <mergeCell ref="BQ21:BR21"/>
    <mergeCell ref="BS21:BT21"/>
    <mergeCell ref="BU21:BV21"/>
    <mergeCell ref="BK21:BL21"/>
    <mergeCell ref="BK27:BL27"/>
    <mergeCell ref="BQ27:BR27"/>
    <mergeCell ref="BS27:BT27"/>
    <mergeCell ref="BU27:BV27"/>
    <mergeCell ref="BD26:BH26"/>
    <mergeCell ref="BK29:BL29"/>
    <mergeCell ref="BU24:BV24"/>
    <mergeCell ref="CG21:CI21"/>
    <mergeCell ref="CJ21:CL21"/>
    <mergeCell ref="CG22:CI22"/>
    <mergeCell ref="CJ22:CL22"/>
    <mergeCell ref="BK26:BL26"/>
    <mergeCell ref="BQ26:BR26"/>
    <mergeCell ref="BS26:BT26"/>
    <mergeCell ref="BU26:BV26"/>
    <mergeCell ref="BZ26:CD26"/>
    <mergeCell ref="BK22:BL22"/>
    <mergeCell ref="CJ24:CL24"/>
    <mergeCell ref="BZ24:CD24"/>
    <mergeCell ref="CP16:CR16"/>
    <mergeCell ref="CS16:CU16"/>
    <mergeCell ref="CB17:CD17"/>
    <mergeCell ref="CG17:CI17"/>
    <mergeCell ref="CJ17:CL17"/>
    <mergeCell ref="CM17:CO17"/>
    <mergeCell ref="CS22:CU22"/>
    <mergeCell ref="BC23:BC29"/>
    <mergeCell ref="BD23:BH23"/>
    <mergeCell ref="BK23:BL23"/>
    <mergeCell ref="CM23:CO23"/>
    <mergeCell ref="CP23:CR23"/>
    <mergeCell ref="CS23:CU23"/>
    <mergeCell ref="BD24:BH24"/>
    <mergeCell ref="BK24:BL24"/>
    <mergeCell ref="BQ24:BR24"/>
    <mergeCell ref="BS24:BT24"/>
    <mergeCell ref="BQ23:BR23"/>
    <mergeCell ref="BS23:BT23"/>
    <mergeCell ref="BU23:BV23"/>
    <mergeCell ref="CG23:CI23"/>
    <mergeCell ref="CJ23:CL23"/>
    <mergeCell ref="CS24:CU24"/>
    <mergeCell ref="BD27:BH27"/>
    <mergeCell ref="CS14:CU14"/>
    <mergeCell ref="BD15:BG15"/>
    <mergeCell ref="BH15:BR15"/>
    <mergeCell ref="CB15:CD15"/>
    <mergeCell ref="CG15:CI15"/>
    <mergeCell ref="CJ15:CL15"/>
    <mergeCell ref="CM15:CO15"/>
    <mergeCell ref="CP15:CR15"/>
    <mergeCell ref="CS15:CU15"/>
    <mergeCell ref="BD14:BG14"/>
    <mergeCell ref="BH14:BR14"/>
    <mergeCell ref="CB14:CD14"/>
    <mergeCell ref="CG14:CI14"/>
    <mergeCell ref="CJ14:CL14"/>
    <mergeCell ref="CM14:CO14"/>
    <mergeCell ref="BH13:BR13"/>
    <mergeCell ref="CB13:CD13"/>
    <mergeCell ref="CG13:CI13"/>
    <mergeCell ref="CJ13:CL13"/>
    <mergeCell ref="CM13:CO13"/>
    <mergeCell ref="CP13:CR13"/>
    <mergeCell ref="CS13:CU13"/>
    <mergeCell ref="CG12:CI12"/>
    <mergeCell ref="CJ12:CL12"/>
    <mergeCell ref="CM12:CO12"/>
    <mergeCell ref="CP12:CR12"/>
    <mergeCell ref="BX3:BX35"/>
    <mergeCell ref="BY4:BY21"/>
    <mergeCell ref="BZ21:CF21"/>
    <mergeCell ref="CM4:CO4"/>
    <mergeCell ref="CP4:CR4"/>
    <mergeCell ref="CS4:CU4"/>
    <mergeCell ref="CB8:CD8"/>
    <mergeCell ref="CP11:CR11"/>
    <mergeCell ref="CS11:CU11"/>
    <mergeCell ref="BB9:BR9"/>
    <mergeCell ref="CP35:CR35"/>
    <mergeCell ref="CS35:CU35"/>
    <mergeCell ref="CP14:CR14"/>
    <mergeCell ref="BD16:BG16"/>
    <mergeCell ref="BH16:BR16"/>
    <mergeCell ref="BB21:BB29"/>
    <mergeCell ref="BH11:BR11"/>
    <mergeCell ref="CB11:CD11"/>
    <mergeCell ref="BD28:BH28"/>
    <mergeCell ref="BK28:BL28"/>
    <mergeCell ref="BQ28:BR28"/>
    <mergeCell ref="BS28:BT28"/>
    <mergeCell ref="BU28:BV28"/>
    <mergeCell ref="BZ27:CD27"/>
    <mergeCell ref="BZ28:CD28"/>
    <mergeCell ref="BD13:BG13"/>
    <mergeCell ref="BY22:BY35"/>
    <mergeCell ref="BZ22:CD22"/>
    <mergeCell ref="BZ23:CD23"/>
    <mergeCell ref="CB18:CD18"/>
    <mergeCell ref="CB16:CD16"/>
    <mergeCell ref="CB20:CD20"/>
    <mergeCell ref="CB19:CD19"/>
    <mergeCell ref="BK30:BL30"/>
    <mergeCell ref="BQ22:BR22"/>
    <mergeCell ref="BS22:BT22"/>
    <mergeCell ref="BU22:BV22"/>
    <mergeCell ref="BA31:BA32"/>
    <mergeCell ref="BB4:BE4"/>
    <mergeCell ref="BF4:BG4"/>
    <mergeCell ref="CB4:CD4"/>
    <mergeCell ref="CG4:CI4"/>
    <mergeCell ref="BD25:BH25"/>
    <mergeCell ref="BK25:BL25"/>
    <mergeCell ref="BQ25:BR25"/>
    <mergeCell ref="BS25:BT25"/>
    <mergeCell ref="BU25:BV25"/>
    <mergeCell ref="BZ25:CD25"/>
    <mergeCell ref="CG24:CI24"/>
    <mergeCell ref="BE31:BH31"/>
    <mergeCell ref="BK31:BL31"/>
    <mergeCell ref="BQ31:BR31"/>
    <mergeCell ref="CB9:CD9"/>
    <mergeCell ref="CG9:CI9"/>
    <mergeCell ref="CB10:CD10"/>
    <mergeCell ref="CG10:CI10"/>
    <mergeCell ref="BD12:BG12"/>
    <mergeCell ref="BH12:BR12"/>
    <mergeCell ref="BH10:BR10"/>
    <mergeCell ref="BD11:BG11"/>
    <mergeCell ref="BB17:BV20"/>
    <mergeCell ref="AO13:AQ13"/>
    <mergeCell ref="AO14:AQ14"/>
    <mergeCell ref="AO15:AQ15"/>
    <mergeCell ref="AL8:AN8"/>
    <mergeCell ref="AO8:AQ8"/>
    <mergeCell ref="AO5:AQ5"/>
    <mergeCell ref="AO9:AQ9"/>
    <mergeCell ref="AO10:AQ10"/>
    <mergeCell ref="AO11:AQ11"/>
    <mergeCell ref="AO6:AQ6"/>
    <mergeCell ref="AO7:AQ7"/>
    <mergeCell ref="AL6:AN6"/>
    <mergeCell ref="AL7:AN7"/>
    <mergeCell ref="AO21:AQ21"/>
    <mergeCell ref="AL16:AN16"/>
    <mergeCell ref="AL17:AN17"/>
    <mergeCell ref="AR38:AT38"/>
    <mergeCell ref="AR37:AT37"/>
    <mergeCell ref="AL38:AN38"/>
    <mergeCell ref="AO38:AQ38"/>
    <mergeCell ref="AO37:AQ37"/>
    <mergeCell ref="AO19:AQ19"/>
    <mergeCell ref="AO20:AQ20"/>
    <mergeCell ref="AO31:AQ32"/>
    <mergeCell ref="AR31:AT32"/>
    <mergeCell ref="AR16:AT16"/>
    <mergeCell ref="AO36:AQ36"/>
    <mergeCell ref="AO33:AQ33"/>
    <mergeCell ref="AO34:AQ34"/>
    <mergeCell ref="AO35:AQ35"/>
    <mergeCell ref="AR33:AT33"/>
    <mergeCell ref="AR34:AT34"/>
    <mergeCell ref="AR35:AT35"/>
    <mergeCell ref="AO16:AQ16"/>
    <mergeCell ref="AO17:AQ17"/>
    <mergeCell ref="AL35:AN35"/>
    <mergeCell ref="AO22:AQ22"/>
    <mergeCell ref="D36:G36"/>
    <mergeCell ref="J36:K36"/>
    <mergeCell ref="P36:Q36"/>
    <mergeCell ref="AL34:AN34"/>
    <mergeCell ref="W36:W37"/>
    <mergeCell ref="X36:AE36"/>
    <mergeCell ref="X37:AE37"/>
    <mergeCell ref="AO24:AQ24"/>
    <mergeCell ref="P29:Q29"/>
    <mergeCell ref="R29:S29"/>
    <mergeCell ref="AD31:AD32"/>
    <mergeCell ref="AF35:AH35"/>
    <mergeCell ref="Y32:AC32"/>
    <mergeCell ref="AE31:AE32"/>
    <mergeCell ref="AF33:AH33"/>
    <mergeCell ref="AI33:AK33"/>
    <mergeCell ref="AF31:AH32"/>
    <mergeCell ref="AI31:AK32"/>
    <mergeCell ref="D37:H37"/>
    <mergeCell ref="Y30:AC30"/>
    <mergeCell ref="AF30:AH30"/>
    <mergeCell ref="AI30:AK30"/>
    <mergeCell ref="AL29:AN29"/>
    <mergeCell ref="AL30:AN30"/>
    <mergeCell ref="J46:K46"/>
    <mergeCell ref="P46:Q46"/>
    <mergeCell ref="AL33:AN33"/>
    <mergeCell ref="AL31:AN32"/>
    <mergeCell ref="R46:S46"/>
    <mergeCell ref="AL39:AN39"/>
    <mergeCell ref="AL37:AN37"/>
    <mergeCell ref="AF38:AH38"/>
    <mergeCell ref="P37:Q37"/>
    <mergeCell ref="R37:S37"/>
    <mergeCell ref="T37:U37"/>
    <mergeCell ref="P45:Q45"/>
    <mergeCell ref="T46:U46"/>
    <mergeCell ref="AF34:AH34"/>
    <mergeCell ref="J45:K45"/>
    <mergeCell ref="T44:U44"/>
    <mergeCell ref="R45:S45"/>
    <mergeCell ref="T45:U45"/>
    <mergeCell ref="T33:U33"/>
    <mergeCell ref="P34:Q34"/>
    <mergeCell ref="J33:K33"/>
    <mergeCell ref="Y31:AC31"/>
    <mergeCell ref="P33:Q33"/>
    <mergeCell ref="X38:AE38"/>
    <mergeCell ref="D44:G44"/>
    <mergeCell ref="J44:K44"/>
    <mergeCell ref="P44:Q44"/>
    <mergeCell ref="P32:Q32"/>
    <mergeCell ref="R32:S32"/>
    <mergeCell ref="T32:U32"/>
    <mergeCell ref="R44:S44"/>
    <mergeCell ref="R40:S40"/>
    <mergeCell ref="T40:U40"/>
    <mergeCell ref="R42:S42"/>
    <mergeCell ref="T42:U42"/>
    <mergeCell ref="J43:K43"/>
    <mergeCell ref="P43:Q43"/>
    <mergeCell ref="J41:K41"/>
    <mergeCell ref="R38:S38"/>
    <mergeCell ref="T38:U38"/>
    <mergeCell ref="J37:K37"/>
    <mergeCell ref="T34:U34"/>
    <mergeCell ref="R36:S36"/>
    <mergeCell ref="D35:G35"/>
    <mergeCell ref="J35:K35"/>
    <mergeCell ref="P35:Q35"/>
    <mergeCell ref="T36:U36"/>
    <mergeCell ref="D33:G33"/>
    <mergeCell ref="Y34:AC34"/>
    <mergeCell ref="AI34:AK34"/>
    <mergeCell ref="AI37:AK37"/>
    <mergeCell ref="R43:S43"/>
    <mergeCell ref="T43:U43"/>
    <mergeCell ref="AF39:AH39"/>
    <mergeCell ref="AI39:AK39"/>
    <mergeCell ref="W38:W39"/>
    <mergeCell ref="X39:AE39"/>
    <mergeCell ref="AI38:AK38"/>
    <mergeCell ref="AF36:AH36"/>
    <mergeCell ref="AI36:AK36"/>
    <mergeCell ref="AF37:AH37"/>
    <mergeCell ref="T35:U35"/>
    <mergeCell ref="R34:S34"/>
    <mergeCell ref="R35:S35"/>
    <mergeCell ref="Y35:AE35"/>
    <mergeCell ref="W42:X42"/>
    <mergeCell ref="W41:AA41"/>
    <mergeCell ref="A47:U47"/>
    <mergeCell ref="A30:A46"/>
    <mergeCell ref="T30:U30"/>
    <mergeCell ref="D43:G43"/>
    <mergeCell ref="D41:G41"/>
    <mergeCell ref="P41:Q41"/>
    <mergeCell ref="R41:S41"/>
    <mergeCell ref="T41:U41"/>
    <mergeCell ref="J38:K38"/>
    <mergeCell ref="P38:Q38"/>
    <mergeCell ref="B30:B46"/>
    <mergeCell ref="C30:C37"/>
    <mergeCell ref="D30:G30"/>
    <mergeCell ref="D32:G32"/>
    <mergeCell ref="J32:K32"/>
    <mergeCell ref="D34:G34"/>
    <mergeCell ref="J34:K34"/>
    <mergeCell ref="D39:G39"/>
    <mergeCell ref="J39:K39"/>
    <mergeCell ref="P39:Q39"/>
    <mergeCell ref="R39:S39"/>
    <mergeCell ref="T39:U39"/>
    <mergeCell ref="J42:K42"/>
    <mergeCell ref="P42:Q42"/>
    <mergeCell ref="D45:H45"/>
    <mergeCell ref="C46:H46"/>
    <mergeCell ref="D31:G31"/>
    <mergeCell ref="J31:K31"/>
    <mergeCell ref="P31:Q31"/>
    <mergeCell ref="R31:S31"/>
    <mergeCell ref="C26:G26"/>
    <mergeCell ref="J26:K26"/>
    <mergeCell ref="P26:Q26"/>
    <mergeCell ref="R26:S26"/>
    <mergeCell ref="C27:G27"/>
    <mergeCell ref="J27:K27"/>
    <mergeCell ref="P27:Q27"/>
    <mergeCell ref="R27:S27"/>
    <mergeCell ref="C29:H29"/>
    <mergeCell ref="C38:C45"/>
    <mergeCell ref="D38:G38"/>
    <mergeCell ref="D40:G40"/>
    <mergeCell ref="J40:K40"/>
    <mergeCell ref="P30:Q30"/>
    <mergeCell ref="R30:S30"/>
    <mergeCell ref="P40:Q40"/>
    <mergeCell ref="D42:G42"/>
    <mergeCell ref="R33:S33"/>
    <mergeCell ref="Y24:AC24"/>
    <mergeCell ref="J30:K30"/>
    <mergeCell ref="T29:U29"/>
    <mergeCell ref="T31:U31"/>
    <mergeCell ref="Y29:AC29"/>
    <mergeCell ref="Y27:AC27"/>
    <mergeCell ref="AO23:AQ23"/>
    <mergeCell ref="C25:G25"/>
    <mergeCell ref="J25:K25"/>
    <mergeCell ref="P25:Q25"/>
    <mergeCell ref="R25:S25"/>
    <mergeCell ref="T25:U25"/>
    <mergeCell ref="Y23:AC23"/>
    <mergeCell ref="AI24:AK24"/>
    <mergeCell ref="AL23:AN23"/>
    <mergeCell ref="AL24:AN24"/>
    <mergeCell ref="AI23:AK23"/>
    <mergeCell ref="C24:G24"/>
    <mergeCell ref="J24:K24"/>
    <mergeCell ref="P24:Q24"/>
    <mergeCell ref="R24:S24"/>
    <mergeCell ref="P23:Q23"/>
    <mergeCell ref="AF24:AH24"/>
    <mergeCell ref="T24:U24"/>
    <mergeCell ref="AF22:AH22"/>
    <mergeCell ref="C23:G23"/>
    <mergeCell ref="J23:K23"/>
    <mergeCell ref="B21:G22"/>
    <mergeCell ref="T26:U26"/>
    <mergeCell ref="C28:G28"/>
    <mergeCell ref="AL21:AN21"/>
    <mergeCell ref="R23:S23"/>
    <mergeCell ref="T23:U23"/>
    <mergeCell ref="Y21:AE21"/>
    <mergeCell ref="AF21:AH21"/>
    <mergeCell ref="AI22:AK22"/>
    <mergeCell ref="J22:K22"/>
    <mergeCell ref="P22:Q22"/>
    <mergeCell ref="R22:S22"/>
    <mergeCell ref="T22:U22"/>
    <mergeCell ref="AF23:AH23"/>
    <mergeCell ref="Y22:AC22"/>
    <mergeCell ref="X4:X21"/>
    <mergeCell ref="X22:X35"/>
    <mergeCell ref="J28:K28"/>
    <mergeCell ref="P28:Q28"/>
    <mergeCell ref="Y25:AC25"/>
    <mergeCell ref="T27:U27"/>
    <mergeCell ref="P21:Q21"/>
    <mergeCell ref="R21:S21"/>
    <mergeCell ref="T21:U21"/>
    <mergeCell ref="AA18:AC18"/>
    <mergeCell ref="AA19:AC19"/>
    <mergeCell ref="AF19:AH19"/>
    <mergeCell ref="A17:U20"/>
    <mergeCell ref="AF18:AH18"/>
    <mergeCell ref="AA17:AC17"/>
    <mergeCell ref="AF17:AH17"/>
    <mergeCell ref="A9:Q9"/>
    <mergeCell ref="Y33:AC33"/>
    <mergeCell ref="Y28:AC28"/>
    <mergeCell ref="AI18:AK18"/>
    <mergeCell ref="AI19:AK19"/>
    <mergeCell ref="AI17:AK17"/>
    <mergeCell ref="J29:K29"/>
    <mergeCell ref="C13:F13"/>
    <mergeCell ref="G13:Q13"/>
    <mergeCell ref="AA20:AC20"/>
    <mergeCell ref="I21:I22"/>
    <mergeCell ref="J21:K21"/>
    <mergeCell ref="T28:U28"/>
    <mergeCell ref="C16:F16"/>
    <mergeCell ref="G16:Q16"/>
    <mergeCell ref="AF29:AH29"/>
    <mergeCell ref="AI29:AK29"/>
    <mergeCell ref="AI14:AK14"/>
    <mergeCell ref="AA15:AC15"/>
    <mergeCell ref="AF15:AH15"/>
    <mergeCell ref="AA14:AC14"/>
    <mergeCell ref="AF14:AH14"/>
    <mergeCell ref="AI13:AK13"/>
    <mergeCell ref="B23:B29"/>
    <mergeCell ref="AR4:AT4"/>
    <mergeCell ref="AR5:AT5"/>
    <mergeCell ref="AR6:AT6"/>
    <mergeCell ref="AR7:AT7"/>
    <mergeCell ref="C11:F11"/>
    <mergeCell ref="G11:Q11"/>
    <mergeCell ref="CB6:CD6"/>
    <mergeCell ref="CG6:CI6"/>
    <mergeCell ref="CJ6:CL6"/>
    <mergeCell ref="BB5:BV8"/>
    <mergeCell ref="BT9:BU9"/>
    <mergeCell ref="BB10:BC16"/>
    <mergeCell ref="BD10:BG10"/>
    <mergeCell ref="AA7:AC7"/>
    <mergeCell ref="AF7:AH7"/>
    <mergeCell ref="AA16:AC16"/>
    <mergeCell ref="AF16:AH16"/>
    <mergeCell ref="AI15:AK15"/>
    <mergeCell ref="AI16:AK16"/>
    <mergeCell ref="AL14:AN14"/>
    <mergeCell ref="C14:F14"/>
    <mergeCell ref="G14:Q14"/>
    <mergeCell ref="AA13:AC13"/>
    <mergeCell ref="W3:W35"/>
    <mergeCell ref="CS12:CU12"/>
    <mergeCell ref="AR9:AT9"/>
    <mergeCell ref="AR10:AT10"/>
    <mergeCell ref="AR11:AT11"/>
    <mergeCell ref="AL4:AN4"/>
    <mergeCell ref="AL5:AN5"/>
    <mergeCell ref="CG8:CI8"/>
    <mergeCell ref="CJ8:CL8"/>
    <mergeCell ref="CM8:CO8"/>
    <mergeCell ref="CP8:CR8"/>
    <mergeCell ref="CS8:CU8"/>
    <mergeCell ref="CB7:CD7"/>
    <mergeCell ref="CG7:CI7"/>
    <mergeCell ref="CJ7:CL7"/>
    <mergeCell ref="CM7:CO7"/>
    <mergeCell ref="CP7:CR7"/>
    <mergeCell ref="CS7:CU7"/>
    <mergeCell ref="CJ4:CL4"/>
    <mergeCell ref="CP5:CR5"/>
    <mergeCell ref="CS5:CU5"/>
    <mergeCell ref="CB5:CD5"/>
    <mergeCell ref="CP6:CR6"/>
    <mergeCell ref="CS6:CU6"/>
    <mergeCell ref="AR8:AT8"/>
    <mergeCell ref="CY10:CZ10"/>
    <mergeCell ref="S9:T9"/>
    <mergeCell ref="AA11:AC11"/>
    <mergeCell ref="AF11:AH11"/>
    <mergeCell ref="AA10:AC10"/>
    <mergeCell ref="AF10:AH10"/>
    <mergeCell ref="AI11:AK11"/>
    <mergeCell ref="AL9:AN9"/>
    <mergeCell ref="AL10:AN10"/>
    <mergeCell ref="CM10:CO10"/>
    <mergeCell ref="CP10:CR10"/>
    <mergeCell ref="CS10:CU10"/>
    <mergeCell ref="CJ9:CL9"/>
    <mergeCell ref="CM9:CO9"/>
    <mergeCell ref="CP9:CR9"/>
    <mergeCell ref="CS9:CU9"/>
    <mergeCell ref="CJ10:CL10"/>
    <mergeCell ref="AA9:AC9"/>
    <mergeCell ref="AF9:AH9"/>
    <mergeCell ref="AI9:AK9"/>
    <mergeCell ref="AI10:AK10"/>
    <mergeCell ref="W1:BA2"/>
    <mergeCell ref="CY1:DC1"/>
    <mergeCell ref="CY2:CZ2"/>
    <mergeCell ref="A3:D3"/>
    <mergeCell ref="E3:M3"/>
    <mergeCell ref="AI3:AK3"/>
    <mergeCell ref="AL3:AN3"/>
    <mergeCell ref="A1:M2"/>
    <mergeCell ref="N1:O2"/>
    <mergeCell ref="BB1:BV2"/>
    <mergeCell ref="BX1:CV2"/>
    <mergeCell ref="BB3:BE3"/>
    <mergeCell ref="BF3:BN3"/>
    <mergeCell ref="BO3:BQ3"/>
    <mergeCell ref="BR3:BV3"/>
    <mergeCell ref="AR3:AT3"/>
    <mergeCell ref="AO3:AQ3"/>
    <mergeCell ref="P1:U2"/>
    <mergeCell ref="BY3:CD3"/>
    <mergeCell ref="CF3:CF4"/>
    <mergeCell ref="CG3:CI3"/>
    <mergeCell ref="X3:AC3"/>
    <mergeCell ref="AE3:AE4"/>
    <mergeCell ref="AF3:AH3"/>
    <mergeCell ref="CG5:CI5"/>
    <mergeCell ref="CJ5:CL5"/>
    <mergeCell ref="CM5:CO5"/>
    <mergeCell ref="CJ18:CL18"/>
    <mergeCell ref="CJ11:CL11"/>
    <mergeCell ref="CM11:CO11"/>
    <mergeCell ref="CM6:CO6"/>
    <mergeCell ref="CM21:CO21"/>
    <mergeCell ref="BZ35:CF35"/>
    <mergeCell ref="CG27:CI27"/>
    <mergeCell ref="CJ27:CL27"/>
    <mergeCell ref="CM27:CO27"/>
    <mergeCell ref="CG11:CI11"/>
    <mergeCell ref="CG16:CI16"/>
    <mergeCell ref="CJ16:CL16"/>
    <mergeCell ref="CM16:CO16"/>
    <mergeCell ref="CJ19:CL19"/>
    <mergeCell ref="CM19:CO19"/>
    <mergeCell ref="CG35:CI35"/>
    <mergeCell ref="CJ35:CL35"/>
    <mergeCell ref="CG29:CI29"/>
    <mergeCell ref="CJ29:CL29"/>
    <mergeCell ref="CG30:CI30"/>
    <mergeCell ref="CJ30:CL30"/>
    <mergeCell ref="AO4:AQ4"/>
    <mergeCell ref="A4:D4"/>
    <mergeCell ref="AA4:AC4"/>
    <mergeCell ref="AF20:AH20"/>
    <mergeCell ref="AI21:AK21"/>
    <mergeCell ref="AI20:AK20"/>
    <mergeCell ref="AI4:AK4"/>
    <mergeCell ref="AI5:AK5"/>
    <mergeCell ref="AA5:AC5"/>
    <mergeCell ref="AF5:AH5"/>
    <mergeCell ref="AA8:AC8"/>
    <mergeCell ref="AF8:AH8"/>
    <mergeCell ref="AI8:AK8"/>
    <mergeCell ref="AI7:AK7"/>
    <mergeCell ref="E4:F4"/>
    <mergeCell ref="A5:U8"/>
    <mergeCell ref="C15:F15"/>
    <mergeCell ref="G12:Q12"/>
    <mergeCell ref="AA12:AC12"/>
    <mergeCell ref="AA6:AC6"/>
    <mergeCell ref="AF6:AH6"/>
    <mergeCell ref="AI6:AK6"/>
    <mergeCell ref="AF13:AH13"/>
    <mergeCell ref="AI12:AK12"/>
    <mergeCell ref="CG20:CI20"/>
    <mergeCell ref="A10:B16"/>
    <mergeCell ref="C10:F10"/>
    <mergeCell ref="G10:Q10"/>
    <mergeCell ref="C12:F12"/>
    <mergeCell ref="CG28:CI28"/>
    <mergeCell ref="CJ28:CL28"/>
    <mergeCell ref="CM28:CO28"/>
    <mergeCell ref="CP28:CR28"/>
    <mergeCell ref="CG19:CI19"/>
    <mergeCell ref="CJ20:CL20"/>
    <mergeCell ref="AF25:AH25"/>
    <mergeCell ref="AF26:AH26"/>
    <mergeCell ref="AI25:AK25"/>
    <mergeCell ref="AI26:AK26"/>
    <mergeCell ref="AL25:AN25"/>
    <mergeCell ref="AL26:AN26"/>
    <mergeCell ref="AO25:AQ25"/>
    <mergeCell ref="AO26:AQ26"/>
    <mergeCell ref="AR25:AT25"/>
    <mergeCell ref="AR26:AT26"/>
    <mergeCell ref="CB12:CD12"/>
    <mergeCell ref="AF12:AH12"/>
    <mergeCell ref="A21:A29"/>
    <mergeCell ref="CS28:CU28"/>
    <mergeCell ref="CS21:CU21"/>
    <mergeCell ref="CM29:CO29"/>
    <mergeCell ref="CP29:CR29"/>
    <mergeCell ref="CS29:CU29"/>
    <mergeCell ref="CS26:CU26"/>
    <mergeCell ref="CM18:CO18"/>
    <mergeCell ref="CP18:CR18"/>
    <mergeCell ref="CS18:CU18"/>
    <mergeCell ref="CP19:CR19"/>
    <mergeCell ref="CM20:CO20"/>
    <mergeCell ref="CP27:CR27"/>
    <mergeCell ref="CS27:CU27"/>
    <mergeCell ref="CP24:CR24"/>
    <mergeCell ref="CP21:CR21"/>
    <mergeCell ref="CM22:CO22"/>
    <mergeCell ref="CP22:CR22"/>
    <mergeCell ref="CM24:CO24"/>
    <mergeCell ref="CX31:CX32"/>
    <mergeCell ref="CG33:CI33"/>
    <mergeCell ref="CJ33:CL33"/>
    <mergeCell ref="CM33:CO33"/>
    <mergeCell ref="CP33:CR33"/>
    <mergeCell ref="CS33:CU33"/>
    <mergeCell ref="CG34:CI34"/>
    <mergeCell ref="CJ34:CL34"/>
    <mergeCell ref="CM34:CO34"/>
    <mergeCell ref="CP34:CR34"/>
    <mergeCell ref="CS34:CU34"/>
    <mergeCell ref="CV31:CV32"/>
    <mergeCell ref="CW31:CW32"/>
    <mergeCell ref="CS31:CU32"/>
    <mergeCell ref="CP31:CR32"/>
    <mergeCell ref="N3:U3"/>
    <mergeCell ref="AF27:AH27"/>
    <mergeCell ref="AI27:AK27"/>
    <mergeCell ref="AL27:AN27"/>
    <mergeCell ref="AO27:AQ27"/>
    <mergeCell ref="AR27:AT27"/>
    <mergeCell ref="AR28:AT28"/>
    <mergeCell ref="AO28:AQ28"/>
    <mergeCell ref="AL28:AN28"/>
    <mergeCell ref="AI28:AK28"/>
    <mergeCell ref="AF28:AH28"/>
    <mergeCell ref="AF4:AH4"/>
    <mergeCell ref="G15:Q15"/>
    <mergeCell ref="AO12:AQ12"/>
    <mergeCell ref="Y26:AC26"/>
    <mergeCell ref="R28:S28"/>
    <mergeCell ref="AL15:AN15"/>
    <mergeCell ref="AL12:AN12"/>
    <mergeCell ref="AL13:AN13"/>
    <mergeCell ref="AL18:AN18"/>
    <mergeCell ref="AL19:AN19"/>
    <mergeCell ref="AL20:AN20"/>
    <mergeCell ref="AO18:AQ18"/>
    <mergeCell ref="AL22:AN22"/>
    <mergeCell ref="AO29:AQ29"/>
    <mergeCell ref="AO30:AQ30"/>
    <mergeCell ref="AR29:AT29"/>
    <mergeCell ref="AR30:AT30"/>
    <mergeCell ref="CJ3:CL3"/>
    <mergeCell ref="CM3:CO3"/>
    <mergeCell ref="CP3:CR3"/>
    <mergeCell ref="CS3:CU3"/>
    <mergeCell ref="AL11:AN11"/>
    <mergeCell ref="CG25:CI25"/>
    <mergeCell ref="CJ25:CL25"/>
    <mergeCell ref="CM25:CO25"/>
    <mergeCell ref="CP25:CR25"/>
    <mergeCell ref="CS25:CU25"/>
    <mergeCell ref="CG26:CI26"/>
    <mergeCell ref="CJ26:CL26"/>
    <mergeCell ref="CM26:CO26"/>
    <mergeCell ref="CP26:CR26"/>
    <mergeCell ref="CP17:CR17"/>
    <mergeCell ref="CS17:CU17"/>
    <mergeCell ref="CS19:CU19"/>
    <mergeCell ref="CP20:CR20"/>
    <mergeCell ref="CS20:CU20"/>
    <mergeCell ref="CG18:CI18"/>
  </mergeCells>
  <phoneticPr fontId="3"/>
  <conditionalFormatting sqref="AQ40:AR40 AM45:AM47">
    <cfRule type="cellIs" dxfId="443" priority="233" stopIfTrue="1" operator="equal">
      <formula>0</formula>
    </cfRule>
  </conditionalFormatting>
  <conditionalFormatting sqref="AF21:AU21 BA21 AX21">
    <cfRule type="cellIs" dxfId="442" priority="232" stopIfTrue="1" operator="equal">
      <formula>0</formula>
    </cfRule>
  </conditionalFormatting>
  <conditionalFormatting sqref="AI45:AJ47 AF45:AG47 AL45:AM47 AP45:AQ47 AA45:AD47 X42:X47 AD42:AD43 AG42:AG43 AM42:AM43 AP42:AP43 AC44:AQ44">
    <cfRule type="cellIs" dxfId="441" priority="225" stopIfTrue="1" operator="between">
      <formula>0</formula>
      <formula>0</formula>
    </cfRule>
  </conditionalFormatting>
  <conditionalFormatting sqref="AQ45:AQ47">
    <cfRule type="cellIs" dxfId="440" priority="223" stopIfTrue="1" operator="equal">
      <formula>0</formula>
    </cfRule>
  </conditionalFormatting>
  <conditionalFormatting sqref="AX41:AZ41 Y42 AC41:AC42 AF41:AF42 AI41:AI42 AL41:AL42 AO41:AO42 AR41:AR42">
    <cfRule type="cellIs" dxfId="439" priority="222" stopIfTrue="1" operator="between">
      <formula>0</formula>
      <formula>0</formula>
    </cfRule>
  </conditionalFormatting>
  <conditionalFormatting sqref="AX41:AZ41 Y42 AC41:AC42 AF41:AF42 AI41:AI42 AL41:AL42 AO41:AO42 AR41:AR42">
    <cfRule type="cellIs" dxfId="438" priority="216" stopIfTrue="1" operator="between">
      <formula>0</formula>
      <formula>0</formula>
    </cfRule>
  </conditionalFormatting>
  <conditionalFormatting sqref="T22">
    <cfRule type="cellIs" dxfId="437" priority="209" stopIfTrue="1" operator="between">
      <formula>0</formula>
      <formula>0</formula>
    </cfRule>
  </conditionalFormatting>
  <conditionalFormatting sqref="BZ40:CG40 CI40:CJ40 CL40:CM40 CO40:CP40 CR40:CU40">
    <cfRule type="cellIs" dxfId="436" priority="180" stopIfTrue="1" operator="between">
      <formula>0</formula>
      <formula>0</formula>
    </cfRule>
  </conditionalFormatting>
  <conditionalFormatting sqref="CP40:CQ40">
    <cfRule type="cellIs" dxfId="435" priority="179" stopIfTrue="1" operator="equal">
      <formula>0</formula>
    </cfRule>
  </conditionalFormatting>
  <conditionalFormatting sqref="CS40:CT40">
    <cfRule type="cellIs" dxfId="434" priority="178" stopIfTrue="1" operator="equal">
      <formula>0</formula>
    </cfRule>
  </conditionalFormatting>
  <conditionalFormatting sqref="J45:S45 J46:P46 R46">
    <cfRule type="cellIs" dxfId="433" priority="136" stopIfTrue="1" operator="equal">
      <formula>0</formula>
    </cfRule>
  </conditionalFormatting>
  <conditionalFormatting sqref="J37:S37">
    <cfRule type="cellIs" dxfId="432" priority="135" stopIfTrue="1" operator="equal">
      <formula>0</formula>
    </cfRule>
  </conditionalFormatting>
  <conditionalFormatting sqref="S10">
    <cfRule type="expression" dxfId="431" priority="133" stopIfTrue="1">
      <formula>OR(U10=TRUE)</formula>
    </cfRule>
  </conditionalFormatting>
  <conditionalFormatting sqref="T10">
    <cfRule type="expression" dxfId="430" priority="132" stopIfTrue="1">
      <formula>OR(V10=TRUE)</formula>
    </cfRule>
  </conditionalFormatting>
  <conditionalFormatting sqref="S11">
    <cfRule type="expression" dxfId="429" priority="131" stopIfTrue="1">
      <formula>OR($U$11=TRUE)</formula>
    </cfRule>
  </conditionalFormatting>
  <conditionalFormatting sqref="T11">
    <cfRule type="expression" dxfId="428" priority="130" stopIfTrue="1">
      <formula>OR($V$11=TRUE)</formula>
    </cfRule>
  </conditionalFormatting>
  <conditionalFormatting sqref="S12">
    <cfRule type="expression" dxfId="427" priority="129" stopIfTrue="1">
      <formula>OR($U$12=TRUE)</formula>
    </cfRule>
  </conditionalFormatting>
  <conditionalFormatting sqref="T12">
    <cfRule type="expression" dxfId="426" priority="128" stopIfTrue="1">
      <formula>OR($V$12=TRUE)</formula>
    </cfRule>
  </conditionalFormatting>
  <conditionalFormatting sqref="S13">
    <cfRule type="expression" dxfId="425" priority="127" stopIfTrue="1">
      <formula>OR($U$13=TRUE)</formula>
    </cfRule>
  </conditionalFormatting>
  <conditionalFormatting sqref="T13">
    <cfRule type="expression" dxfId="424" priority="126" stopIfTrue="1">
      <formula>OR($V$13=TRUE)</formula>
    </cfRule>
  </conditionalFormatting>
  <conditionalFormatting sqref="S14">
    <cfRule type="expression" dxfId="423" priority="125" stopIfTrue="1">
      <formula>OR($U$14=TRUE)</formula>
    </cfRule>
  </conditionalFormatting>
  <conditionalFormatting sqref="T14">
    <cfRule type="expression" dxfId="422" priority="124" stopIfTrue="1">
      <formula>OR($V$14=TRUE)</formula>
    </cfRule>
  </conditionalFormatting>
  <conditionalFormatting sqref="S15">
    <cfRule type="expression" dxfId="421" priority="123" stopIfTrue="1">
      <formula>OR($U$15=TRUE)</formula>
    </cfRule>
  </conditionalFormatting>
  <conditionalFormatting sqref="T15">
    <cfRule type="expression" dxfId="420" priority="122" stopIfTrue="1">
      <formula>OR($V$15=TRUE)</formula>
    </cfRule>
  </conditionalFormatting>
  <conditionalFormatting sqref="S16">
    <cfRule type="expression" dxfId="419" priority="121" stopIfTrue="1">
      <formula>OR($U$16=TRUE)</formula>
    </cfRule>
  </conditionalFormatting>
  <conditionalFormatting sqref="T16">
    <cfRule type="expression" dxfId="418" priority="120" stopIfTrue="1">
      <formula>OR($V$16=TRUE)</formula>
    </cfRule>
  </conditionalFormatting>
  <conditionalFormatting sqref="J29:S29">
    <cfRule type="cellIs" dxfId="417" priority="117" stopIfTrue="1" operator="equal">
      <formula>0</formula>
    </cfRule>
  </conditionalFormatting>
  <conditionalFormatting sqref="AF21:AT21">
    <cfRule type="cellIs" dxfId="416" priority="115" stopIfTrue="1" operator="equal">
      <formula>0</formula>
    </cfRule>
  </conditionalFormatting>
  <conditionalFormatting sqref="BU22">
    <cfRule type="cellIs" dxfId="415" priority="86" stopIfTrue="1" operator="between">
      <formula>0</formula>
      <formula>0</formula>
    </cfRule>
  </conditionalFormatting>
  <conditionalFormatting sqref="BK45:BT45 BK46:BQ46 BS46">
    <cfRule type="cellIs" dxfId="414" priority="84" stopIfTrue="1" operator="equal">
      <formula>0</formula>
    </cfRule>
  </conditionalFormatting>
  <conditionalFormatting sqref="BK37:BT37">
    <cfRule type="cellIs" dxfId="413" priority="83" stopIfTrue="1" operator="equal">
      <formula>0</formula>
    </cfRule>
  </conditionalFormatting>
  <conditionalFormatting sqref="BK29:BT29">
    <cfRule type="cellIs" dxfId="412" priority="82" stopIfTrue="1" operator="equal">
      <formula>0</formula>
    </cfRule>
  </conditionalFormatting>
  <conditionalFormatting sqref="CG21:CX21">
    <cfRule type="cellIs" dxfId="411" priority="77" stopIfTrue="1" operator="equal">
      <formula>0</formula>
    </cfRule>
  </conditionalFormatting>
  <conditionalFormatting sqref="CM35 CJ35">
    <cfRule type="cellIs" dxfId="410" priority="76" stopIfTrue="1" operator="between">
      <formula>0</formula>
      <formula>0</formula>
    </cfRule>
  </conditionalFormatting>
  <conditionalFormatting sqref="CG38:CW38">
    <cfRule type="cellIs" dxfId="409" priority="74" stopIfTrue="1" operator="equal">
      <formula>0</formula>
    </cfRule>
  </conditionalFormatting>
  <conditionalFormatting sqref="CG21:CU21">
    <cfRule type="cellIs" dxfId="408" priority="73" stopIfTrue="1" operator="equal">
      <formula>0</formula>
    </cfRule>
  </conditionalFormatting>
  <conditionalFormatting sqref="CG35 CP35 CS35">
    <cfRule type="cellIs" dxfId="407" priority="72" stopIfTrue="1" operator="between">
      <formula>0</formula>
      <formula>0</formula>
    </cfRule>
  </conditionalFormatting>
  <conditionalFormatting sqref="CG36:CW36">
    <cfRule type="cellIs" dxfId="406" priority="71" stopIfTrue="1" operator="equal">
      <formula>0</formula>
    </cfRule>
  </conditionalFormatting>
  <conditionalFormatting sqref="CG39:CW39">
    <cfRule type="cellIs" dxfId="405" priority="70" stopIfTrue="1" operator="equal">
      <formula>0</formula>
    </cfRule>
  </conditionalFormatting>
  <conditionalFormatting sqref="CG37:CW37">
    <cfRule type="cellIs" dxfId="404" priority="69" operator="equal">
      <formula>0</formula>
    </cfRule>
  </conditionalFormatting>
  <conditionalFormatting sqref="CV35:CW35">
    <cfRule type="cellIs" dxfId="403" priority="68" operator="equal">
      <formula>0</formula>
    </cfRule>
  </conditionalFormatting>
  <conditionalFormatting sqref="CN43:CN47">
    <cfRule type="cellIs" dxfId="402" priority="32" stopIfTrue="1" operator="equal">
      <formula>0</formula>
    </cfRule>
  </conditionalFormatting>
  <conditionalFormatting sqref="CH42 BY42:BY47 CB42:CB47 CC43:CD47 CE42:CE47 CJ43:CK47 CG43:CH47 CN42 CM43:CN47 CR44:CR47 CQ43:CQ47">
    <cfRule type="cellIs" dxfId="401" priority="31" stopIfTrue="1" operator="between">
      <formula>0</formula>
      <formula>0</formula>
    </cfRule>
  </conditionalFormatting>
  <conditionalFormatting sqref="CR43:CR47">
    <cfRule type="cellIs" dxfId="400" priority="30" stopIfTrue="1" operator="equal">
      <formula>0</formula>
    </cfRule>
  </conditionalFormatting>
  <conditionalFormatting sqref="CT41:CW41 CI41:CL41 CN41:CO41 CQ41:CR41 BZ41:CG41">
    <cfRule type="cellIs" dxfId="399" priority="29" stopIfTrue="1" operator="between">
      <formula>0</formula>
      <formula>0</formula>
    </cfRule>
  </conditionalFormatting>
  <conditionalFormatting sqref="CR41:CS41">
    <cfRule type="cellIs" dxfId="398" priority="28" stopIfTrue="1" operator="equal">
      <formula>0</formula>
    </cfRule>
  </conditionalFormatting>
  <conditionalFormatting sqref="CU41:CV41">
    <cfRule type="cellIs" dxfId="397" priority="27" stopIfTrue="1" operator="equal">
      <formula>0</formula>
    </cfRule>
  </conditionalFormatting>
  <conditionalFormatting sqref="BZ41:CG41 CI41:CL41 CN41:CO41 CQ41:CR41 CT41:CW41">
    <cfRule type="cellIs" dxfId="396" priority="26" stopIfTrue="1" operator="between">
      <formula>0</formula>
      <formula>0</formula>
    </cfRule>
  </conditionalFormatting>
  <conditionalFormatting sqref="CR41:CS41">
    <cfRule type="cellIs" dxfId="395" priority="25" stopIfTrue="1" operator="equal">
      <formula>0</formula>
    </cfRule>
  </conditionalFormatting>
  <conditionalFormatting sqref="CU41:CV41">
    <cfRule type="cellIs" dxfId="394" priority="24" stopIfTrue="1" operator="equal">
      <formula>0</formula>
    </cfRule>
  </conditionalFormatting>
  <conditionalFormatting sqref="CK42">
    <cfRule type="cellIs" dxfId="393" priority="23" stopIfTrue="1" operator="between">
      <formula>0</formula>
      <formula>0</formula>
    </cfRule>
  </conditionalFormatting>
  <conditionalFormatting sqref="J23:S26">
    <cfRule type="containsBlanks" dxfId="392" priority="234">
      <formula>LEN(TRIM(J23))=0</formula>
    </cfRule>
  </conditionalFormatting>
  <conditionalFormatting sqref="J30:S33 J38:S41 AF5:AU20 AX5:AX20">
    <cfRule type="containsBlanks" dxfId="391" priority="235">
      <formula>LEN(TRIM(J5))=0</formula>
    </cfRule>
  </conditionalFormatting>
  <conditionalFormatting sqref="G10:Q16">
    <cfRule type="containsBlanks" dxfId="390" priority="236">
      <formula>LEN(TRIM(G10))=0</formula>
    </cfRule>
  </conditionalFormatting>
  <conditionalFormatting sqref="CF23:CF24">
    <cfRule type="cellIs" dxfId="389" priority="14" stopIfTrue="1" operator="between">
      <formula>0</formula>
      <formula>0</formula>
    </cfRule>
  </conditionalFormatting>
  <conditionalFormatting sqref="AF39:AU39 AX39">
    <cfRule type="cellIs" dxfId="388" priority="11" stopIfTrue="1" operator="equal">
      <formula>0</formula>
    </cfRule>
  </conditionalFormatting>
  <conditionalFormatting sqref="AE23:AE24">
    <cfRule type="cellIs" dxfId="387" priority="9" stopIfTrue="1" operator="between">
      <formula>0</formula>
      <formula>0</formula>
    </cfRule>
  </conditionalFormatting>
  <conditionalFormatting sqref="AF38:AU38 AX38">
    <cfRule type="cellIs" dxfId="386" priority="8" stopIfTrue="1" operator="equal">
      <formula>0</formula>
    </cfRule>
  </conditionalFormatting>
  <conditionalFormatting sqref="AF35 AI35 AL35 AO35 AR35">
    <cfRule type="cellIs" dxfId="385" priority="7" stopIfTrue="1" operator="between">
      <formula>0</formula>
      <formula>0</formula>
    </cfRule>
  </conditionalFormatting>
  <conditionalFormatting sqref="AF36:AU36 AX36">
    <cfRule type="cellIs" dxfId="384" priority="6" stopIfTrue="1" operator="equal">
      <formula>0</formula>
    </cfRule>
  </conditionalFormatting>
  <conditionalFormatting sqref="AF37:AU37 AX37">
    <cfRule type="cellIs" dxfId="383" priority="5" operator="equal">
      <formula>0</formula>
    </cfRule>
  </conditionalFormatting>
  <conditionalFormatting sqref="AU35 AX35">
    <cfRule type="cellIs" dxfId="382" priority="4" operator="equal">
      <formula>0</formula>
    </cfRule>
  </conditionalFormatting>
  <conditionalFormatting sqref="AF25:AF30 AI25:AI30 AL25:AL30 AO25:AO30 AR25:AR30 AF22:AU24 AU25:AU30 AF31:AU31 AF32:AT32 AF33:AU34 AX22:AX34">
    <cfRule type="containsBlanks" dxfId="381" priority="10">
      <formula>LEN(TRIM(AF22))=0</formula>
    </cfRule>
  </conditionalFormatting>
  <conditionalFormatting sqref="AJ42:AJ43">
    <cfRule type="cellIs" dxfId="380" priority="1" stopIfTrue="1" operator="between">
      <formula>0</formula>
      <formula>0</formula>
    </cfRule>
  </conditionalFormatting>
  <dataValidations xWindow="543" yWindow="595" count="17">
    <dataValidation type="list" allowBlank="1" showInputMessage="1" showErrorMessage="1" sqref="C73:G74 BD27:BH27 C27:G27" xr:uid="{00000000-0002-0000-0700-000000000000}">
      <formula1>$DE$25:$DE$27</formula1>
    </dataValidation>
    <dataValidation type="list" allowBlank="1" showInputMessage="1" showErrorMessage="1" sqref="AD80" xr:uid="{00000000-0002-0000-0700-000001000000}">
      <formula1>$CZ$12:$CZ$13</formula1>
    </dataValidation>
    <dataValidation type="whole" operator="equal" allowBlank="1" showInputMessage="1" showErrorMessage="1" errorTitle="引率割引適用者の人数が多すぎます！" error="引率割引の適応は生徒数の２０％までとなっております。【利用者名簿】を修正してください。" sqref="V31" xr:uid="{00000000-0002-0000-0700-000002000000}">
      <formula1>0</formula1>
    </dataValidation>
    <dataValidation type="custom" allowBlank="1" showInputMessage="1" showErrorMessage="1" sqref="AA5:AC5 CB5:CD5" xr:uid="{00000000-0002-0000-0700-000003000000}">
      <formula1>I30*0.2&gt;J31+L31+M31+N31+O31+P31+R31</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K31:BL31" xr:uid="{00000000-0002-0000-0700-000004000000}">
      <formula1>BJ30*0.2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L31 BM31" xr:uid="{00000000-0002-0000-0700-000005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M31 BN31" xr:uid="{00000000-0002-0000-0700-000006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N31 BO31" xr:uid="{00000000-0002-0000-0700-000007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O31 BP31" xr:uid="{00000000-0002-0000-0700-000008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P31:Q31 BQ31:BR31" xr:uid="{00000000-0002-0000-0700-000009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R31:S31 BS31:BT31" xr:uid="{00000000-0002-0000-0700-00000A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J39:S39 BK39:BT39" xr:uid="{00000000-0002-0000-0700-00000B000000}">
      <formula1>$I$38*0.2</formula1>
    </dataValidation>
    <dataValidation allowBlank="1" showErrorMessage="1" prompt="団体利用者の中で、小・中学生以上の人数が２０名を超える場合【団体】を選択してください" sqref="C24:G25 BD24:BH25" xr:uid="{00000000-0002-0000-0700-00000C000000}"/>
    <dataValidation type="list" allowBlank="1" showInputMessage="1" showErrorMessage="1" prompt="団体利用者の中で、小・中学生以上の人数が２０名を超える場合【団体】を選択してください" sqref="C71:G72" xr:uid="{00000000-0002-0000-0700-00000D000000}">
      <formula1>#REF!</formula1>
    </dataValidation>
    <dataValidation type="whole" operator="lessThanOrEqual" allowBlank="1" showInputMessage="1" showErrorMessage="1" errorTitle="引率者割引の人数が多すぎます！！" error="引率割引は、全生徒数の20％（小数点以下切り捨て）までとなっております。残りは、一般料金区分となりますので、【利用者名簿】と【本紙】を修正してください。" sqref="J31:K31" xr:uid="{00000000-0002-0000-0700-00000F000000}">
      <formula1>I30*0.2</formula1>
    </dataValidation>
    <dataValidation type="list" allowBlank="1" showInputMessage="1" showErrorMessage="1" sqref="Y72:AC73" xr:uid="{00000000-0002-0000-0700-00000E000000}">
      <formula1>$DE$3:$DE$15</formula1>
    </dataValidation>
    <dataValidation type="list" allowBlank="1" showInputMessage="1" showErrorMessage="1" sqref="Y23:AC24 BZ23:CD24" xr:uid="{96063BCC-E3C6-458E-91FB-5E773AFB4BA7}">
      <formula1>$DE$3:$DE$14</formula1>
    </dataValidation>
  </dataValidations>
  <printOptions horizontalCentered="1" verticalCentered="1"/>
  <pageMargins left="0.39370078740157483" right="0.39370078740157483" top="0.39370078740157483" bottom="0.39370078740157483" header="0" footer="0"/>
  <pageSetup paperSize="9" scale="39" fitToWidth="0" orientation="landscape" r:id="rId1"/>
  <headerFooter>
    <oddFooter>&amp;R&amp;D &amp;T</oddFooter>
  </headerFooter>
  <colBreaks count="1" manualBreakCount="1">
    <brk id="53" max="1048575" man="1"/>
  </colBreaks>
  <ignoredErrors>
    <ignoredError sqref="J45 L45:M45 K37 J37 L37:M37 N37:O37 P37:S37 N45:O45 P45:S45" unlockedFormula="1"/>
    <ignoredError sqref="T40 T32 AI2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defaultSize="0" autoFill="0" autoLine="0" autoPict="0">
                <anchor moveWithCells="1">
                  <from>
                    <xdr:col>18</xdr:col>
                    <xdr:colOff>47625</xdr:colOff>
                    <xdr:row>9</xdr:row>
                    <xdr:rowOff>19050</xdr:rowOff>
                  </from>
                  <to>
                    <xdr:col>18</xdr:col>
                    <xdr:colOff>361950</xdr:colOff>
                    <xdr:row>10</xdr:row>
                    <xdr:rowOff>0</xdr:rowOff>
                  </to>
                </anchor>
              </controlPr>
            </control>
          </mc:Choice>
        </mc:AlternateContent>
        <mc:AlternateContent xmlns:mc="http://schemas.openxmlformats.org/markup-compatibility/2006">
          <mc:Choice Requires="x14">
            <control shapeId="7175" r:id="rId5" name="Check Box 7">
              <controlPr defaultSize="0" autoFill="0" autoLine="0" autoPict="0">
                <anchor moveWithCells="1">
                  <from>
                    <xdr:col>18</xdr:col>
                    <xdr:colOff>47625</xdr:colOff>
                    <xdr:row>10</xdr:row>
                    <xdr:rowOff>19050</xdr:rowOff>
                  </from>
                  <to>
                    <xdr:col>18</xdr:col>
                    <xdr:colOff>361950</xdr:colOff>
                    <xdr:row>11</xdr:row>
                    <xdr:rowOff>0</xdr:rowOff>
                  </to>
                </anchor>
              </controlPr>
            </control>
          </mc:Choice>
        </mc:AlternateContent>
        <mc:AlternateContent xmlns:mc="http://schemas.openxmlformats.org/markup-compatibility/2006">
          <mc:Choice Requires="x14">
            <control shapeId="7176" r:id="rId6" name="Check Box 8">
              <controlPr defaultSize="0" autoFill="0" autoLine="0" autoPict="0">
                <anchor moveWithCells="1">
                  <from>
                    <xdr:col>18</xdr:col>
                    <xdr:colOff>47625</xdr:colOff>
                    <xdr:row>11</xdr:row>
                    <xdr:rowOff>19050</xdr:rowOff>
                  </from>
                  <to>
                    <xdr:col>18</xdr:col>
                    <xdr:colOff>361950</xdr:colOff>
                    <xdr:row>12</xdr:row>
                    <xdr:rowOff>0</xdr:rowOff>
                  </to>
                </anchor>
              </controlPr>
            </control>
          </mc:Choice>
        </mc:AlternateContent>
        <mc:AlternateContent xmlns:mc="http://schemas.openxmlformats.org/markup-compatibility/2006">
          <mc:Choice Requires="x14">
            <control shapeId="7177" r:id="rId7" name="Check Box 9">
              <controlPr defaultSize="0" autoFill="0" autoLine="0" autoPict="0">
                <anchor moveWithCells="1">
                  <from>
                    <xdr:col>18</xdr:col>
                    <xdr:colOff>47625</xdr:colOff>
                    <xdr:row>12</xdr:row>
                    <xdr:rowOff>19050</xdr:rowOff>
                  </from>
                  <to>
                    <xdr:col>18</xdr:col>
                    <xdr:colOff>361950</xdr:colOff>
                    <xdr:row>13</xdr:row>
                    <xdr:rowOff>0</xdr:rowOff>
                  </to>
                </anchor>
              </controlPr>
            </control>
          </mc:Choice>
        </mc:AlternateContent>
        <mc:AlternateContent xmlns:mc="http://schemas.openxmlformats.org/markup-compatibility/2006">
          <mc:Choice Requires="x14">
            <control shapeId="7178" r:id="rId8" name="Check Box 10">
              <controlPr defaultSize="0" autoFill="0" autoLine="0" autoPict="0">
                <anchor moveWithCells="1">
                  <from>
                    <xdr:col>18</xdr:col>
                    <xdr:colOff>47625</xdr:colOff>
                    <xdr:row>13</xdr:row>
                    <xdr:rowOff>19050</xdr:rowOff>
                  </from>
                  <to>
                    <xdr:col>18</xdr:col>
                    <xdr:colOff>361950</xdr:colOff>
                    <xdr:row>14</xdr:row>
                    <xdr:rowOff>0</xdr:rowOff>
                  </to>
                </anchor>
              </controlPr>
            </control>
          </mc:Choice>
        </mc:AlternateContent>
        <mc:AlternateContent xmlns:mc="http://schemas.openxmlformats.org/markup-compatibility/2006">
          <mc:Choice Requires="x14">
            <control shapeId="7179" r:id="rId9" name="Check Box 11">
              <controlPr locked="0" defaultSize="0" autoFill="0" autoLine="0" autoPict="0">
                <anchor moveWithCells="1">
                  <from>
                    <xdr:col>19</xdr:col>
                    <xdr:colOff>47625</xdr:colOff>
                    <xdr:row>9</xdr:row>
                    <xdr:rowOff>19050</xdr:rowOff>
                  </from>
                  <to>
                    <xdr:col>19</xdr:col>
                    <xdr:colOff>361950</xdr:colOff>
                    <xdr:row>10</xdr:row>
                    <xdr:rowOff>0</xdr:rowOff>
                  </to>
                </anchor>
              </controlPr>
            </control>
          </mc:Choice>
        </mc:AlternateContent>
        <mc:AlternateContent xmlns:mc="http://schemas.openxmlformats.org/markup-compatibility/2006">
          <mc:Choice Requires="x14">
            <control shapeId="7180" r:id="rId10" name="Check Box 12">
              <controlPr defaultSize="0" autoFill="0" autoLine="0" autoPict="0">
                <anchor moveWithCells="1">
                  <from>
                    <xdr:col>19</xdr:col>
                    <xdr:colOff>47625</xdr:colOff>
                    <xdr:row>10</xdr:row>
                    <xdr:rowOff>19050</xdr:rowOff>
                  </from>
                  <to>
                    <xdr:col>19</xdr:col>
                    <xdr:colOff>361950</xdr:colOff>
                    <xdr:row>11</xdr:row>
                    <xdr:rowOff>0</xdr:rowOff>
                  </to>
                </anchor>
              </controlPr>
            </control>
          </mc:Choice>
        </mc:AlternateContent>
        <mc:AlternateContent xmlns:mc="http://schemas.openxmlformats.org/markup-compatibility/2006">
          <mc:Choice Requires="x14">
            <control shapeId="7181" r:id="rId11" name="Check Box 13">
              <controlPr defaultSize="0" autoFill="0" autoLine="0" autoPict="0">
                <anchor moveWithCells="1">
                  <from>
                    <xdr:col>19</xdr:col>
                    <xdr:colOff>47625</xdr:colOff>
                    <xdr:row>11</xdr:row>
                    <xdr:rowOff>19050</xdr:rowOff>
                  </from>
                  <to>
                    <xdr:col>19</xdr:col>
                    <xdr:colOff>361950</xdr:colOff>
                    <xdr:row>12</xdr:row>
                    <xdr:rowOff>0</xdr:rowOff>
                  </to>
                </anchor>
              </controlPr>
            </control>
          </mc:Choice>
        </mc:AlternateContent>
        <mc:AlternateContent xmlns:mc="http://schemas.openxmlformats.org/markup-compatibility/2006">
          <mc:Choice Requires="x14">
            <control shapeId="7182" r:id="rId12" name="Check Box 14">
              <controlPr defaultSize="0" autoFill="0" autoLine="0" autoPict="0">
                <anchor moveWithCells="1">
                  <from>
                    <xdr:col>19</xdr:col>
                    <xdr:colOff>47625</xdr:colOff>
                    <xdr:row>12</xdr:row>
                    <xdr:rowOff>19050</xdr:rowOff>
                  </from>
                  <to>
                    <xdr:col>19</xdr:col>
                    <xdr:colOff>361950</xdr:colOff>
                    <xdr:row>13</xdr:row>
                    <xdr:rowOff>0</xdr:rowOff>
                  </to>
                </anchor>
              </controlPr>
            </control>
          </mc:Choice>
        </mc:AlternateContent>
        <mc:AlternateContent xmlns:mc="http://schemas.openxmlformats.org/markup-compatibility/2006">
          <mc:Choice Requires="x14">
            <control shapeId="7183" r:id="rId13" name="Check Box 15">
              <controlPr defaultSize="0" autoFill="0" autoLine="0" autoPict="0">
                <anchor moveWithCells="1">
                  <from>
                    <xdr:col>19</xdr:col>
                    <xdr:colOff>47625</xdr:colOff>
                    <xdr:row>13</xdr:row>
                    <xdr:rowOff>19050</xdr:rowOff>
                  </from>
                  <to>
                    <xdr:col>19</xdr:col>
                    <xdr:colOff>361950</xdr:colOff>
                    <xdr:row>14</xdr:row>
                    <xdr:rowOff>0</xdr:rowOff>
                  </to>
                </anchor>
              </controlPr>
            </control>
          </mc:Choice>
        </mc:AlternateContent>
        <mc:AlternateContent xmlns:mc="http://schemas.openxmlformats.org/markup-compatibility/2006">
          <mc:Choice Requires="x14">
            <control shapeId="39431" r:id="rId14" name="Check Box 2567">
              <controlPr defaultSize="0" autoFill="0" autoLine="0" autoPict="0">
                <anchor moveWithCells="1">
                  <from>
                    <xdr:col>18</xdr:col>
                    <xdr:colOff>47625</xdr:colOff>
                    <xdr:row>13</xdr:row>
                    <xdr:rowOff>19050</xdr:rowOff>
                  </from>
                  <to>
                    <xdr:col>18</xdr:col>
                    <xdr:colOff>361950</xdr:colOff>
                    <xdr:row>14</xdr:row>
                    <xdr:rowOff>0</xdr:rowOff>
                  </to>
                </anchor>
              </controlPr>
            </control>
          </mc:Choice>
        </mc:AlternateContent>
        <mc:AlternateContent xmlns:mc="http://schemas.openxmlformats.org/markup-compatibility/2006">
          <mc:Choice Requires="x14">
            <control shapeId="39432" r:id="rId15" name="Check Box 2568">
              <controlPr defaultSize="0" autoFill="0" autoLine="0" autoPict="0">
                <anchor moveWithCells="1">
                  <from>
                    <xdr:col>18</xdr:col>
                    <xdr:colOff>47625</xdr:colOff>
                    <xdr:row>14</xdr:row>
                    <xdr:rowOff>19050</xdr:rowOff>
                  </from>
                  <to>
                    <xdr:col>18</xdr:col>
                    <xdr:colOff>361950</xdr:colOff>
                    <xdr:row>15</xdr:row>
                    <xdr:rowOff>0</xdr:rowOff>
                  </to>
                </anchor>
              </controlPr>
            </control>
          </mc:Choice>
        </mc:AlternateContent>
        <mc:AlternateContent xmlns:mc="http://schemas.openxmlformats.org/markup-compatibility/2006">
          <mc:Choice Requires="x14">
            <control shapeId="39433" r:id="rId16" name="Check Box 2569">
              <controlPr defaultSize="0" autoFill="0" autoLine="0" autoPict="0">
                <anchor moveWithCells="1">
                  <from>
                    <xdr:col>18</xdr:col>
                    <xdr:colOff>47625</xdr:colOff>
                    <xdr:row>15</xdr:row>
                    <xdr:rowOff>19050</xdr:rowOff>
                  </from>
                  <to>
                    <xdr:col>18</xdr:col>
                    <xdr:colOff>361950</xdr:colOff>
                    <xdr:row>16</xdr:row>
                    <xdr:rowOff>0</xdr:rowOff>
                  </to>
                </anchor>
              </controlPr>
            </control>
          </mc:Choice>
        </mc:AlternateContent>
        <mc:AlternateContent xmlns:mc="http://schemas.openxmlformats.org/markup-compatibility/2006">
          <mc:Choice Requires="x14">
            <control shapeId="39434" r:id="rId17" name="Check Box 2570">
              <controlPr defaultSize="0" autoFill="0" autoLine="0" autoPict="0">
                <anchor moveWithCells="1">
                  <from>
                    <xdr:col>19</xdr:col>
                    <xdr:colOff>47625</xdr:colOff>
                    <xdr:row>13</xdr:row>
                    <xdr:rowOff>19050</xdr:rowOff>
                  </from>
                  <to>
                    <xdr:col>19</xdr:col>
                    <xdr:colOff>361950</xdr:colOff>
                    <xdr:row>14</xdr:row>
                    <xdr:rowOff>0</xdr:rowOff>
                  </to>
                </anchor>
              </controlPr>
            </control>
          </mc:Choice>
        </mc:AlternateContent>
        <mc:AlternateContent xmlns:mc="http://schemas.openxmlformats.org/markup-compatibility/2006">
          <mc:Choice Requires="x14">
            <control shapeId="39435" r:id="rId18" name="Check Box 2571">
              <controlPr defaultSize="0" autoFill="0" autoLine="0" autoPict="0">
                <anchor moveWithCells="1">
                  <from>
                    <xdr:col>19</xdr:col>
                    <xdr:colOff>47625</xdr:colOff>
                    <xdr:row>14</xdr:row>
                    <xdr:rowOff>19050</xdr:rowOff>
                  </from>
                  <to>
                    <xdr:col>19</xdr:col>
                    <xdr:colOff>361950</xdr:colOff>
                    <xdr:row>15</xdr:row>
                    <xdr:rowOff>0</xdr:rowOff>
                  </to>
                </anchor>
              </controlPr>
            </control>
          </mc:Choice>
        </mc:AlternateContent>
        <mc:AlternateContent xmlns:mc="http://schemas.openxmlformats.org/markup-compatibility/2006">
          <mc:Choice Requires="x14">
            <control shapeId="39436" r:id="rId19" name="Check Box 2572">
              <controlPr defaultSize="0" autoFill="0" autoLine="0" autoPict="0">
                <anchor moveWithCells="1">
                  <from>
                    <xdr:col>19</xdr:col>
                    <xdr:colOff>47625</xdr:colOff>
                    <xdr:row>15</xdr:row>
                    <xdr:rowOff>19050</xdr:rowOff>
                  </from>
                  <to>
                    <xdr:col>19</xdr:col>
                    <xdr:colOff>361950</xdr:colOff>
                    <xdr:row>16</xdr:row>
                    <xdr:rowOff>0</xdr:rowOff>
                  </to>
                </anchor>
              </controlPr>
            </control>
          </mc:Choice>
        </mc:AlternateContent>
        <mc:AlternateContent xmlns:mc="http://schemas.openxmlformats.org/markup-compatibility/2006">
          <mc:Choice Requires="x14">
            <control shapeId="39489" r:id="rId20" name="Check Box 2625">
              <controlPr defaultSize="0" autoFill="0" autoLine="0" autoPict="0">
                <anchor moveWithCells="1">
                  <from>
                    <xdr:col>71</xdr:col>
                    <xdr:colOff>47625</xdr:colOff>
                    <xdr:row>9</xdr:row>
                    <xdr:rowOff>47625</xdr:rowOff>
                  </from>
                  <to>
                    <xdr:col>71</xdr:col>
                    <xdr:colOff>295275</xdr:colOff>
                    <xdr:row>9</xdr:row>
                    <xdr:rowOff>333375</xdr:rowOff>
                  </to>
                </anchor>
              </controlPr>
            </control>
          </mc:Choice>
        </mc:AlternateContent>
        <mc:AlternateContent xmlns:mc="http://schemas.openxmlformats.org/markup-compatibility/2006">
          <mc:Choice Requires="x14">
            <control shapeId="39490" r:id="rId21" name="Check Box 2626">
              <controlPr defaultSize="0" autoFill="0" autoLine="0" autoPict="0">
                <anchor moveWithCells="1">
                  <from>
                    <xdr:col>71</xdr:col>
                    <xdr:colOff>47625</xdr:colOff>
                    <xdr:row>10</xdr:row>
                    <xdr:rowOff>47625</xdr:rowOff>
                  </from>
                  <to>
                    <xdr:col>71</xdr:col>
                    <xdr:colOff>295275</xdr:colOff>
                    <xdr:row>10</xdr:row>
                    <xdr:rowOff>333375</xdr:rowOff>
                  </to>
                </anchor>
              </controlPr>
            </control>
          </mc:Choice>
        </mc:AlternateContent>
        <mc:AlternateContent xmlns:mc="http://schemas.openxmlformats.org/markup-compatibility/2006">
          <mc:Choice Requires="x14">
            <control shapeId="39491" r:id="rId22" name="Check Box 2627">
              <controlPr defaultSize="0" autoFill="0" autoLine="0" autoPict="0">
                <anchor moveWithCells="1">
                  <from>
                    <xdr:col>71</xdr:col>
                    <xdr:colOff>47625</xdr:colOff>
                    <xdr:row>11</xdr:row>
                    <xdr:rowOff>47625</xdr:rowOff>
                  </from>
                  <to>
                    <xdr:col>71</xdr:col>
                    <xdr:colOff>295275</xdr:colOff>
                    <xdr:row>11</xdr:row>
                    <xdr:rowOff>333375</xdr:rowOff>
                  </to>
                </anchor>
              </controlPr>
            </control>
          </mc:Choice>
        </mc:AlternateContent>
        <mc:AlternateContent xmlns:mc="http://schemas.openxmlformats.org/markup-compatibility/2006">
          <mc:Choice Requires="x14">
            <control shapeId="39492" r:id="rId23" name="Check Box 2628">
              <controlPr defaultSize="0" autoFill="0" autoLine="0" autoPict="0">
                <anchor moveWithCells="1">
                  <from>
                    <xdr:col>71</xdr:col>
                    <xdr:colOff>47625</xdr:colOff>
                    <xdr:row>12</xdr:row>
                    <xdr:rowOff>47625</xdr:rowOff>
                  </from>
                  <to>
                    <xdr:col>71</xdr:col>
                    <xdr:colOff>295275</xdr:colOff>
                    <xdr:row>12</xdr:row>
                    <xdr:rowOff>333375</xdr:rowOff>
                  </to>
                </anchor>
              </controlPr>
            </control>
          </mc:Choice>
        </mc:AlternateContent>
        <mc:AlternateContent xmlns:mc="http://schemas.openxmlformats.org/markup-compatibility/2006">
          <mc:Choice Requires="x14">
            <control shapeId="39493" r:id="rId24" name="Check Box 2629">
              <controlPr defaultSize="0" autoFill="0" autoLine="0" autoPict="0">
                <anchor moveWithCells="1">
                  <from>
                    <xdr:col>71</xdr:col>
                    <xdr:colOff>47625</xdr:colOff>
                    <xdr:row>13</xdr:row>
                    <xdr:rowOff>47625</xdr:rowOff>
                  </from>
                  <to>
                    <xdr:col>71</xdr:col>
                    <xdr:colOff>295275</xdr:colOff>
                    <xdr:row>13</xdr:row>
                    <xdr:rowOff>333375</xdr:rowOff>
                  </to>
                </anchor>
              </controlPr>
            </control>
          </mc:Choice>
        </mc:AlternateContent>
        <mc:AlternateContent xmlns:mc="http://schemas.openxmlformats.org/markup-compatibility/2006">
          <mc:Choice Requires="x14">
            <control shapeId="39494" r:id="rId25" name="Check Box 2630">
              <controlPr defaultSize="0" autoFill="0" autoLine="0" autoPict="0">
                <anchor moveWithCells="1">
                  <from>
                    <xdr:col>71</xdr:col>
                    <xdr:colOff>47625</xdr:colOff>
                    <xdr:row>14</xdr:row>
                    <xdr:rowOff>47625</xdr:rowOff>
                  </from>
                  <to>
                    <xdr:col>71</xdr:col>
                    <xdr:colOff>295275</xdr:colOff>
                    <xdr:row>14</xdr:row>
                    <xdr:rowOff>333375</xdr:rowOff>
                  </to>
                </anchor>
              </controlPr>
            </control>
          </mc:Choice>
        </mc:AlternateContent>
        <mc:AlternateContent xmlns:mc="http://schemas.openxmlformats.org/markup-compatibility/2006">
          <mc:Choice Requires="x14">
            <control shapeId="39495" r:id="rId26" name="Check Box 2631">
              <controlPr defaultSize="0" autoFill="0" autoLine="0" autoPict="0">
                <anchor moveWithCells="1">
                  <from>
                    <xdr:col>71</xdr:col>
                    <xdr:colOff>47625</xdr:colOff>
                    <xdr:row>15</xdr:row>
                    <xdr:rowOff>47625</xdr:rowOff>
                  </from>
                  <to>
                    <xdr:col>71</xdr:col>
                    <xdr:colOff>295275</xdr:colOff>
                    <xdr:row>15</xdr:row>
                    <xdr:rowOff>333375</xdr:rowOff>
                  </to>
                </anchor>
              </controlPr>
            </control>
          </mc:Choice>
        </mc:AlternateContent>
        <mc:AlternateContent xmlns:mc="http://schemas.openxmlformats.org/markup-compatibility/2006">
          <mc:Choice Requires="x14">
            <control shapeId="39496" r:id="rId27" name="Check Box 2632">
              <controlPr defaultSize="0" autoFill="0" autoLine="0" autoPict="0">
                <anchor moveWithCells="1">
                  <from>
                    <xdr:col>72</xdr:col>
                    <xdr:colOff>28575</xdr:colOff>
                    <xdr:row>9</xdr:row>
                    <xdr:rowOff>66675</xdr:rowOff>
                  </from>
                  <to>
                    <xdr:col>72</xdr:col>
                    <xdr:colOff>314325</xdr:colOff>
                    <xdr:row>9</xdr:row>
                    <xdr:rowOff>295275</xdr:rowOff>
                  </to>
                </anchor>
              </controlPr>
            </control>
          </mc:Choice>
        </mc:AlternateContent>
        <mc:AlternateContent xmlns:mc="http://schemas.openxmlformats.org/markup-compatibility/2006">
          <mc:Choice Requires="x14">
            <control shapeId="39497" r:id="rId28" name="Check Box 2633">
              <controlPr defaultSize="0" autoFill="0" autoLine="0" autoPict="0">
                <anchor moveWithCells="1">
                  <from>
                    <xdr:col>72</xdr:col>
                    <xdr:colOff>28575</xdr:colOff>
                    <xdr:row>10</xdr:row>
                    <xdr:rowOff>66675</xdr:rowOff>
                  </from>
                  <to>
                    <xdr:col>72</xdr:col>
                    <xdr:colOff>314325</xdr:colOff>
                    <xdr:row>10</xdr:row>
                    <xdr:rowOff>295275</xdr:rowOff>
                  </to>
                </anchor>
              </controlPr>
            </control>
          </mc:Choice>
        </mc:AlternateContent>
        <mc:AlternateContent xmlns:mc="http://schemas.openxmlformats.org/markup-compatibility/2006">
          <mc:Choice Requires="x14">
            <control shapeId="39498" r:id="rId29" name="Check Box 2634">
              <controlPr defaultSize="0" autoFill="0" autoLine="0" autoPict="0">
                <anchor moveWithCells="1">
                  <from>
                    <xdr:col>72</xdr:col>
                    <xdr:colOff>28575</xdr:colOff>
                    <xdr:row>11</xdr:row>
                    <xdr:rowOff>66675</xdr:rowOff>
                  </from>
                  <to>
                    <xdr:col>72</xdr:col>
                    <xdr:colOff>314325</xdr:colOff>
                    <xdr:row>11</xdr:row>
                    <xdr:rowOff>295275</xdr:rowOff>
                  </to>
                </anchor>
              </controlPr>
            </control>
          </mc:Choice>
        </mc:AlternateContent>
        <mc:AlternateContent xmlns:mc="http://schemas.openxmlformats.org/markup-compatibility/2006">
          <mc:Choice Requires="x14">
            <control shapeId="39499" r:id="rId30" name="Check Box 2635">
              <controlPr defaultSize="0" autoFill="0" autoLine="0" autoPict="0">
                <anchor moveWithCells="1">
                  <from>
                    <xdr:col>72</xdr:col>
                    <xdr:colOff>28575</xdr:colOff>
                    <xdr:row>12</xdr:row>
                    <xdr:rowOff>66675</xdr:rowOff>
                  </from>
                  <to>
                    <xdr:col>72</xdr:col>
                    <xdr:colOff>314325</xdr:colOff>
                    <xdr:row>12</xdr:row>
                    <xdr:rowOff>295275</xdr:rowOff>
                  </to>
                </anchor>
              </controlPr>
            </control>
          </mc:Choice>
        </mc:AlternateContent>
        <mc:AlternateContent xmlns:mc="http://schemas.openxmlformats.org/markup-compatibility/2006">
          <mc:Choice Requires="x14">
            <control shapeId="39500" r:id="rId31" name="Check Box 2636">
              <controlPr defaultSize="0" autoFill="0" autoLine="0" autoPict="0">
                <anchor moveWithCells="1">
                  <from>
                    <xdr:col>72</xdr:col>
                    <xdr:colOff>28575</xdr:colOff>
                    <xdr:row>13</xdr:row>
                    <xdr:rowOff>66675</xdr:rowOff>
                  </from>
                  <to>
                    <xdr:col>72</xdr:col>
                    <xdr:colOff>314325</xdr:colOff>
                    <xdr:row>13</xdr:row>
                    <xdr:rowOff>295275</xdr:rowOff>
                  </to>
                </anchor>
              </controlPr>
            </control>
          </mc:Choice>
        </mc:AlternateContent>
        <mc:AlternateContent xmlns:mc="http://schemas.openxmlformats.org/markup-compatibility/2006">
          <mc:Choice Requires="x14">
            <control shapeId="39501" r:id="rId32" name="Check Box 2637">
              <controlPr defaultSize="0" autoFill="0" autoLine="0" autoPict="0">
                <anchor moveWithCells="1">
                  <from>
                    <xdr:col>72</xdr:col>
                    <xdr:colOff>28575</xdr:colOff>
                    <xdr:row>14</xdr:row>
                    <xdr:rowOff>66675</xdr:rowOff>
                  </from>
                  <to>
                    <xdr:col>72</xdr:col>
                    <xdr:colOff>314325</xdr:colOff>
                    <xdr:row>14</xdr:row>
                    <xdr:rowOff>295275</xdr:rowOff>
                  </to>
                </anchor>
              </controlPr>
            </control>
          </mc:Choice>
        </mc:AlternateContent>
        <mc:AlternateContent xmlns:mc="http://schemas.openxmlformats.org/markup-compatibility/2006">
          <mc:Choice Requires="x14">
            <control shapeId="39502" r:id="rId33" name="Check Box 2638">
              <controlPr defaultSize="0" autoFill="0" autoLine="0" autoPict="0">
                <anchor moveWithCells="1">
                  <from>
                    <xdr:col>72</xdr:col>
                    <xdr:colOff>28575</xdr:colOff>
                    <xdr:row>15</xdr:row>
                    <xdr:rowOff>66675</xdr:rowOff>
                  </from>
                  <to>
                    <xdr:col>72</xdr:col>
                    <xdr:colOff>314325</xdr:colOff>
                    <xdr:row>15</xdr:row>
                    <xdr:rowOff>295275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1A9FC-B02E-482B-A251-51B54C45A7C8}">
  <sheetPr>
    <tabColor rgb="FFFFFF00"/>
  </sheetPr>
  <dimension ref="A1:DN94"/>
  <sheetViews>
    <sheetView view="pageBreakPreview" topLeftCell="A16" zoomScale="55" zoomScaleNormal="80" zoomScaleSheetLayoutView="55" workbookViewId="0">
      <selection activeCell="BK41" sqref="BK41:BL41"/>
    </sheetView>
  </sheetViews>
  <sheetFormatPr defaultRowHeight="13.5"/>
  <cols>
    <col min="1" max="1" width="5.75" style="193" customWidth="1"/>
    <col min="2" max="2" width="5.375" style="193" customWidth="1"/>
    <col min="3" max="3" width="5.625" style="193" customWidth="1"/>
    <col min="4" max="4" width="3.625" style="193" customWidth="1"/>
    <col min="5" max="5" width="7.625" style="193" customWidth="1"/>
    <col min="6" max="6" width="6.625" style="193" customWidth="1"/>
    <col min="7" max="7" width="8.625" style="193" customWidth="1"/>
    <col min="8" max="8" width="5" style="193" customWidth="1"/>
    <col min="9" max="11" width="6.625" style="193" customWidth="1"/>
    <col min="12" max="15" width="12.625" style="193" customWidth="1"/>
    <col min="16" max="18" width="6.625" style="193" customWidth="1"/>
    <col min="19" max="20" width="7.625" style="193" customWidth="1"/>
    <col min="21" max="21" width="5.75" style="193" customWidth="1"/>
    <col min="22" max="22" width="4.875" style="193" customWidth="1"/>
    <col min="23" max="24" width="5.75" style="193" customWidth="1"/>
    <col min="25" max="26" width="5.625" style="193" customWidth="1"/>
    <col min="27" max="29" width="7.625" style="193" customWidth="1"/>
    <col min="30" max="30" width="6.625" style="193" customWidth="1"/>
    <col min="31" max="52" width="5.625" style="193" customWidth="1"/>
    <col min="53" max="53" width="15.75" style="193" customWidth="1"/>
    <col min="54" max="56" width="5.625" style="193" customWidth="1"/>
    <col min="57" max="61" width="6.625" style="193" customWidth="1"/>
    <col min="62" max="62" width="8.5" style="193" customWidth="1"/>
    <col min="63" max="64" width="6.625" style="193" customWidth="1"/>
    <col min="65" max="68" width="12.625" style="193" customWidth="1"/>
    <col min="69" max="70" width="6.625" style="193" customWidth="1"/>
    <col min="71" max="71" width="8.625" style="193" customWidth="1"/>
    <col min="72" max="73" width="7.625" style="193" customWidth="1"/>
    <col min="74" max="74" width="5.75" style="193" customWidth="1"/>
    <col min="75" max="77" width="5.625" style="193" customWidth="1"/>
    <col min="78" max="79" width="5.75" style="193" customWidth="1"/>
    <col min="80" max="82" width="5.625" style="193" customWidth="1"/>
    <col min="83" max="83" width="5.875" style="193" customWidth="1"/>
    <col min="84" max="84" width="5.625" style="193" customWidth="1"/>
    <col min="85" max="99" width="5.75" style="193" customWidth="1"/>
    <col min="100" max="102" width="15.625" style="193" customWidth="1"/>
    <col min="103" max="105" width="9" style="193"/>
    <col min="106" max="106" width="31.875" style="193" bestFit="1" customWidth="1"/>
    <col min="107" max="108" width="9" style="193"/>
    <col min="109" max="109" width="29.375" style="193" customWidth="1"/>
    <col min="110" max="117" width="9" style="193"/>
    <col min="118" max="118" width="9" style="83"/>
    <col min="119" max="16384" width="9" style="193"/>
  </cols>
  <sheetData>
    <row r="1" spans="1:117" ht="23.25" customHeight="1">
      <c r="A1" s="2259" t="s">
        <v>3137</v>
      </c>
      <c r="B1" s="2259"/>
      <c r="C1" s="2259"/>
      <c r="D1" s="2259"/>
      <c r="E1" s="2259"/>
      <c r="F1" s="2259"/>
      <c r="G1" s="2259"/>
      <c r="H1" s="2259"/>
      <c r="I1" s="2259"/>
      <c r="J1" s="2259"/>
      <c r="K1" s="2259"/>
      <c r="L1" s="2259"/>
      <c r="M1" s="2259"/>
      <c r="N1" s="2260"/>
      <c r="O1" s="2260"/>
      <c r="P1" s="2270" t="str">
        <f>CONCATENATE('01 使用承認申請書'!D10)</f>
        <v/>
      </c>
      <c r="Q1" s="2270"/>
      <c r="R1" s="2270"/>
      <c r="S1" s="2270"/>
      <c r="T1" s="2270"/>
      <c r="U1" s="2270"/>
      <c r="V1" s="20"/>
      <c r="W1" s="2243" t="s">
        <v>170</v>
      </c>
      <c r="X1" s="2243"/>
      <c r="Y1" s="2243"/>
      <c r="Z1" s="2243"/>
      <c r="AA1" s="2243"/>
      <c r="AB1" s="2243"/>
      <c r="AC1" s="2243"/>
      <c r="AD1" s="2243"/>
      <c r="AE1" s="2243"/>
      <c r="AF1" s="2243"/>
      <c r="AG1" s="2243"/>
      <c r="AH1" s="2243"/>
      <c r="AI1" s="2243"/>
      <c r="AJ1" s="2243"/>
      <c r="AK1" s="2243"/>
      <c r="AL1" s="2243"/>
      <c r="AM1" s="2243"/>
      <c r="AN1" s="2243"/>
      <c r="AO1" s="2243"/>
      <c r="AP1" s="2243"/>
      <c r="AQ1" s="2243"/>
      <c r="AR1" s="2243"/>
      <c r="AS1" s="2243"/>
      <c r="AT1" s="2243"/>
      <c r="AU1" s="2243"/>
      <c r="AV1" s="2243"/>
      <c r="AW1" s="2243"/>
      <c r="AX1" s="2243"/>
      <c r="AY1" s="2243"/>
      <c r="AZ1" s="2243"/>
      <c r="BA1" s="2243"/>
      <c r="BB1" s="2261" t="s">
        <v>3090</v>
      </c>
      <c r="BC1" s="2261"/>
      <c r="BD1" s="2261"/>
      <c r="BE1" s="2261"/>
      <c r="BF1" s="2261"/>
      <c r="BG1" s="2261"/>
      <c r="BH1" s="2261"/>
      <c r="BI1" s="2261"/>
      <c r="BJ1" s="2261"/>
      <c r="BK1" s="2261"/>
      <c r="BL1" s="2261"/>
      <c r="BM1" s="2261"/>
      <c r="BN1" s="2261"/>
      <c r="BO1" s="2261"/>
      <c r="BP1" s="2261"/>
      <c r="BQ1" s="2261"/>
      <c r="BR1" s="2261"/>
      <c r="BS1" s="2261"/>
      <c r="BT1" s="2261"/>
      <c r="BU1" s="2261"/>
      <c r="BV1" s="2261"/>
      <c r="BW1" s="491"/>
      <c r="BX1" s="2243" t="s">
        <v>170</v>
      </c>
      <c r="BY1" s="2243"/>
      <c r="BZ1" s="2243"/>
      <c r="CA1" s="2243"/>
      <c r="CB1" s="2243"/>
      <c r="CC1" s="2243"/>
      <c r="CD1" s="2243"/>
      <c r="CE1" s="2243"/>
      <c r="CF1" s="2243"/>
      <c r="CG1" s="2243"/>
      <c r="CH1" s="2243"/>
      <c r="CI1" s="2243"/>
      <c r="CJ1" s="2243"/>
      <c r="CK1" s="2243"/>
      <c r="CL1" s="2243"/>
      <c r="CM1" s="2243"/>
      <c r="CN1" s="2243"/>
      <c r="CO1" s="2243"/>
      <c r="CP1" s="2243"/>
      <c r="CQ1" s="2243"/>
      <c r="CR1" s="2243"/>
      <c r="CS1" s="2243"/>
      <c r="CT1" s="2243"/>
      <c r="CU1" s="2243"/>
      <c r="CV1" s="2243"/>
      <c r="CW1" s="760"/>
      <c r="CX1" s="491"/>
      <c r="CY1" s="2253" t="s">
        <v>171</v>
      </c>
      <c r="CZ1" s="2253"/>
      <c r="DA1" s="2253"/>
      <c r="DB1" s="2253"/>
      <c r="DC1" s="2253"/>
      <c r="DD1" s="15"/>
      <c r="DE1" s="16"/>
      <c r="DF1" s="15"/>
      <c r="DG1" s="83"/>
      <c r="DH1" s="83"/>
      <c r="DI1" s="83"/>
      <c r="DJ1" s="83"/>
      <c r="DK1" s="83"/>
      <c r="DL1" s="83"/>
      <c r="DM1" s="83"/>
    </row>
    <row r="2" spans="1:117" ht="13.5" customHeight="1" thickBot="1">
      <c r="A2" s="2259"/>
      <c r="B2" s="2259"/>
      <c r="C2" s="2259"/>
      <c r="D2" s="2259"/>
      <c r="E2" s="2259"/>
      <c r="F2" s="2259"/>
      <c r="G2" s="2259"/>
      <c r="H2" s="2259"/>
      <c r="I2" s="2259"/>
      <c r="J2" s="2259"/>
      <c r="K2" s="2259"/>
      <c r="L2" s="2259"/>
      <c r="M2" s="2259"/>
      <c r="N2" s="2260"/>
      <c r="O2" s="2260"/>
      <c r="P2" s="2270"/>
      <c r="Q2" s="2270"/>
      <c r="R2" s="2270"/>
      <c r="S2" s="2270"/>
      <c r="T2" s="2270"/>
      <c r="U2" s="2270"/>
      <c r="V2" s="21"/>
      <c r="W2" s="2252"/>
      <c r="X2" s="2252"/>
      <c r="Y2" s="2252"/>
      <c r="Z2" s="2252"/>
      <c r="AA2" s="2252"/>
      <c r="AB2" s="2252"/>
      <c r="AC2" s="2252"/>
      <c r="AD2" s="2252"/>
      <c r="AE2" s="2252"/>
      <c r="AF2" s="2252"/>
      <c r="AG2" s="2252"/>
      <c r="AH2" s="2252"/>
      <c r="AI2" s="2252"/>
      <c r="AJ2" s="2252"/>
      <c r="AK2" s="2252"/>
      <c r="AL2" s="2252"/>
      <c r="AM2" s="2252"/>
      <c r="AN2" s="2252"/>
      <c r="AO2" s="2252"/>
      <c r="AP2" s="2252"/>
      <c r="AQ2" s="2252"/>
      <c r="AR2" s="2252"/>
      <c r="AS2" s="2252"/>
      <c r="AT2" s="2252"/>
      <c r="AU2" s="2252"/>
      <c r="AV2" s="2252"/>
      <c r="AW2" s="2252"/>
      <c r="AX2" s="2252"/>
      <c r="AY2" s="2252"/>
      <c r="AZ2" s="2252"/>
      <c r="BA2" s="2252"/>
      <c r="BB2" s="2261"/>
      <c r="BC2" s="2261"/>
      <c r="BD2" s="2261"/>
      <c r="BE2" s="2261"/>
      <c r="BF2" s="2261"/>
      <c r="BG2" s="2261"/>
      <c r="BH2" s="2261"/>
      <c r="BI2" s="2261"/>
      <c r="BJ2" s="2261"/>
      <c r="BK2" s="2261"/>
      <c r="BL2" s="2261"/>
      <c r="BM2" s="2261"/>
      <c r="BN2" s="2261"/>
      <c r="BO2" s="2261"/>
      <c r="BP2" s="2261"/>
      <c r="BQ2" s="2261"/>
      <c r="BR2" s="2261"/>
      <c r="BS2" s="2261"/>
      <c r="BT2" s="2261"/>
      <c r="BU2" s="2261"/>
      <c r="BV2" s="2261"/>
      <c r="BW2" s="493"/>
      <c r="BX2" s="2252"/>
      <c r="BY2" s="2252"/>
      <c r="BZ2" s="2252"/>
      <c r="CA2" s="2252"/>
      <c r="CB2" s="2252"/>
      <c r="CC2" s="2252"/>
      <c r="CD2" s="2252"/>
      <c r="CE2" s="2252"/>
      <c r="CF2" s="2252"/>
      <c r="CG2" s="2252"/>
      <c r="CH2" s="2252"/>
      <c r="CI2" s="2252"/>
      <c r="CJ2" s="2252"/>
      <c r="CK2" s="2252"/>
      <c r="CL2" s="2252"/>
      <c r="CM2" s="2252"/>
      <c r="CN2" s="2252"/>
      <c r="CO2" s="2252"/>
      <c r="CP2" s="2252"/>
      <c r="CQ2" s="2252"/>
      <c r="CR2" s="2252"/>
      <c r="CS2" s="2252"/>
      <c r="CT2" s="2252"/>
      <c r="CU2" s="2252"/>
      <c r="CV2" s="2252"/>
      <c r="CW2" s="760"/>
      <c r="CX2" s="493"/>
      <c r="CY2" s="2254" t="s">
        <v>172</v>
      </c>
      <c r="CZ2" s="2254"/>
      <c r="DA2" s="15"/>
      <c r="DB2" s="910" t="s">
        <v>173</v>
      </c>
      <c r="DC2" s="15"/>
      <c r="DD2" s="15"/>
      <c r="DE2" s="911" t="s">
        <v>174</v>
      </c>
      <c r="DF2" s="15"/>
      <c r="DG2" s="83"/>
      <c r="DH2" s="83"/>
      <c r="DI2" s="83"/>
      <c r="DJ2" s="83"/>
      <c r="DK2" s="83"/>
      <c r="DL2" s="83"/>
      <c r="DM2" s="83"/>
    </row>
    <row r="3" spans="1:117" ht="30" customHeight="1" thickTop="1" thickBot="1">
      <c r="A3" s="2255" t="s">
        <v>1366</v>
      </c>
      <c r="B3" s="2255"/>
      <c r="C3" s="2255"/>
      <c r="D3" s="2229"/>
      <c r="E3" s="2256" t="str">
        <f>CONCATENATE('01 使用承認申請書'!D4)</f>
        <v/>
      </c>
      <c r="F3" s="2257"/>
      <c r="G3" s="2257"/>
      <c r="H3" s="2257"/>
      <c r="I3" s="2257"/>
      <c r="J3" s="2257"/>
      <c r="K3" s="2257"/>
      <c r="L3" s="2257"/>
      <c r="M3" s="2258"/>
      <c r="N3" s="2164"/>
      <c r="O3" s="2164"/>
      <c r="P3" s="2164"/>
      <c r="Q3" s="2164"/>
      <c r="R3" s="2164"/>
      <c r="S3" s="2164"/>
      <c r="T3" s="2164"/>
      <c r="U3" s="2164"/>
      <c r="V3" s="21"/>
      <c r="W3" s="2286" t="s">
        <v>1390</v>
      </c>
      <c r="X3" s="2271" t="s">
        <v>176</v>
      </c>
      <c r="Y3" s="2272"/>
      <c r="Z3" s="2272"/>
      <c r="AA3" s="2272"/>
      <c r="AB3" s="2272"/>
      <c r="AC3" s="2273"/>
      <c r="AD3" s="449" t="s">
        <v>177</v>
      </c>
      <c r="AE3" s="2274" t="s">
        <v>178</v>
      </c>
      <c r="AF3" s="2152" t="s">
        <v>1383</v>
      </c>
      <c r="AG3" s="2153"/>
      <c r="AH3" s="2154"/>
      <c r="AI3" s="2152" t="s">
        <v>1384</v>
      </c>
      <c r="AJ3" s="2153"/>
      <c r="AK3" s="2154"/>
      <c r="AL3" s="2152" t="s">
        <v>1385</v>
      </c>
      <c r="AM3" s="2155"/>
      <c r="AN3" s="2156"/>
      <c r="AO3" s="2152" t="s">
        <v>1386</v>
      </c>
      <c r="AP3" s="2155"/>
      <c r="AQ3" s="2156"/>
      <c r="AR3" s="2152" t="s">
        <v>1396</v>
      </c>
      <c r="AS3" s="2155"/>
      <c r="AT3" s="2156"/>
      <c r="AU3" s="2152" t="s">
        <v>1397</v>
      </c>
      <c r="AV3" s="2155"/>
      <c r="AW3" s="2156"/>
      <c r="AX3" s="2614" t="s">
        <v>1398</v>
      </c>
      <c r="AY3" s="2615"/>
      <c r="AZ3" s="2616"/>
      <c r="BA3" s="452" t="s">
        <v>179</v>
      </c>
      <c r="BB3" s="2255" t="s">
        <v>175</v>
      </c>
      <c r="BC3" s="2255"/>
      <c r="BD3" s="2255"/>
      <c r="BE3" s="2229"/>
      <c r="BF3" s="2262" t="s">
        <v>244</v>
      </c>
      <c r="BG3" s="2263"/>
      <c r="BH3" s="2263"/>
      <c r="BI3" s="2263"/>
      <c r="BJ3" s="2263"/>
      <c r="BK3" s="2263"/>
      <c r="BL3" s="2263"/>
      <c r="BM3" s="2263"/>
      <c r="BN3" s="2264"/>
      <c r="BO3" s="2265"/>
      <c r="BP3" s="2266"/>
      <c r="BQ3" s="2267"/>
      <c r="BR3" s="2268"/>
      <c r="BS3" s="2268"/>
      <c r="BT3" s="2268"/>
      <c r="BU3" s="2268"/>
      <c r="BV3" s="2269"/>
      <c r="BW3" s="493"/>
      <c r="BX3" s="2286" t="s">
        <v>1390</v>
      </c>
      <c r="BY3" s="2271" t="s">
        <v>176</v>
      </c>
      <c r="BZ3" s="2272"/>
      <c r="CA3" s="2272"/>
      <c r="CB3" s="2272"/>
      <c r="CC3" s="2272"/>
      <c r="CD3" s="2273"/>
      <c r="CE3" s="449" t="s">
        <v>177</v>
      </c>
      <c r="CF3" s="2274" t="s">
        <v>178</v>
      </c>
      <c r="CG3" s="2152" t="s">
        <v>1383</v>
      </c>
      <c r="CH3" s="2153"/>
      <c r="CI3" s="2154"/>
      <c r="CJ3" s="2152" t="s">
        <v>1384</v>
      </c>
      <c r="CK3" s="2153"/>
      <c r="CL3" s="2154"/>
      <c r="CM3" s="2152" t="s">
        <v>1385</v>
      </c>
      <c r="CN3" s="2155"/>
      <c r="CO3" s="2156"/>
      <c r="CP3" s="2152" t="s">
        <v>1386</v>
      </c>
      <c r="CQ3" s="2155"/>
      <c r="CR3" s="2156"/>
      <c r="CS3" s="2152" t="s">
        <v>1396</v>
      </c>
      <c r="CT3" s="2155"/>
      <c r="CU3" s="2156"/>
      <c r="CV3" s="450" t="s">
        <v>1397</v>
      </c>
      <c r="CW3" s="761" t="s">
        <v>1398</v>
      </c>
      <c r="CX3" s="815" t="s">
        <v>179</v>
      </c>
      <c r="CY3" s="19" t="s">
        <v>180</v>
      </c>
      <c r="CZ3" s="19"/>
      <c r="DA3" s="19"/>
      <c r="DB3" s="18"/>
      <c r="DC3" s="19"/>
      <c r="DD3" s="19"/>
      <c r="DE3" s="18" t="s">
        <v>493</v>
      </c>
      <c r="DF3" s="952"/>
      <c r="DG3" s="84"/>
      <c r="DH3" s="83"/>
      <c r="DI3" s="83"/>
      <c r="DJ3" s="83"/>
      <c r="DK3" s="83"/>
      <c r="DL3" s="83"/>
      <c r="DM3" s="83"/>
    </row>
    <row r="4" spans="1:117" ht="31.5" customHeight="1" thickTop="1" thickBot="1">
      <c r="A4" s="2229" t="s">
        <v>181</v>
      </c>
      <c r="B4" s="2230"/>
      <c r="C4" s="2230"/>
      <c r="D4" s="2230"/>
      <c r="E4" s="2241">
        <f>'01 使用承認申請書'!B12</f>
        <v>0</v>
      </c>
      <c r="F4" s="2242"/>
      <c r="G4" s="367" t="s">
        <v>16</v>
      </c>
      <c r="H4" s="368" t="str">
        <f>CONCATENATE('01 使用承認申請書'!C14)</f>
        <v/>
      </c>
      <c r="I4" s="367" t="s">
        <v>15</v>
      </c>
      <c r="J4" s="368" t="str">
        <f>CONCATENATE('01 使用承認申請書'!F14)</f>
        <v/>
      </c>
      <c r="K4" s="367" t="s">
        <v>14</v>
      </c>
      <c r="L4" s="367" t="s">
        <v>35</v>
      </c>
      <c r="M4" s="368" t="str">
        <f>CONCATENATE('01 使用承認申請書'!C16)</f>
        <v/>
      </c>
      <c r="N4" s="367" t="s">
        <v>15</v>
      </c>
      <c r="O4" s="368" t="str">
        <f>CONCATENATE('01 使用承認申請書'!F16)</f>
        <v/>
      </c>
      <c r="P4" s="367" t="s">
        <v>14</v>
      </c>
      <c r="Q4" s="369"/>
      <c r="R4" s="370" t="str">
        <f>CONCATENATE('01 使用承認申請書'!L13)</f>
        <v/>
      </c>
      <c r="S4" s="367" t="s">
        <v>46</v>
      </c>
      <c r="T4" s="880" t="str">
        <f>CONCATENATE('01 使用承認申請書'!Q13)</f>
        <v/>
      </c>
      <c r="U4" s="372" t="s">
        <v>14</v>
      </c>
      <c r="V4" s="21"/>
      <c r="W4" s="2287"/>
      <c r="X4" s="2344" t="s">
        <v>183</v>
      </c>
      <c r="Y4" s="453" t="s">
        <v>184</v>
      </c>
      <c r="Z4" s="454" t="s">
        <v>185</v>
      </c>
      <c r="AA4" s="2231" t="s">
        <v>186</v>
      </c>
      <c r="AB4" s="2231"/>
      <c r="AC4" s="2231"/>
      <c r="AD4" s="455" t="s">
        <v>187</v>
      </c>
      <c r="AE4" s="2275"/>
      <c r="AF4" s="2170" t="s">
        <v>188</v>
      </c>
      <c r="AG4" s="2171"/>
      <c r="AH4" s="2172"/>
      <c r="AI4" s="2170" t="s">
        <v>188</v>
      </c>
      <c r="AJ4" s="2171"/>
      <c r="AK4" s="2172"/>
      <c r="AL4" s="2170" t="s">
        <v>188</v>
      </c>
      <c r="AM4" s="2171"/>
      <c r="AN4" s="2172"/>
      <c r="AO4" s="2170" t="s">
        <v>188</v>
      </c>
      <c r="AP4" s="2171"/>
      <c r="AQ4" s="2172"/>
      <c r="AR4" s="2170" t="s">
        <v>188</v>
      </c>
      <c r="AS4" s="2171"/>
      <c r="AT4" s="2172"/>
      <c r="AU4" s="2170" t="s">
        <v>1399</v>
      </c>
      <c r="AV4" s="2171"/>
      <c r="AW4" s="2172"/>
      <c r="AX4" s="2279" t="s">
        <v>1399</v>
      </c>
      <c r="AY4" s="2280"/>
      <c r="AZ4" s="2281"/>
      <c r="BA4" s="458" t="s">
        <v>190</v>
      </c>
      <c r="BB4" s="2229" t="s">
        <v>181</v>
      </c>
      <c r="BC4" s="2230"/>
      <c r="BD4" s="2230"/>
      <c r="BE4" s="2230"/>
      <c r="BF4" s="2241" t="s">
        <v>3088</v>
      </c>
      <c r="BG4" s="2242"/>
      <c r="BH4" s="367" t="s">
        <v>16</v>
      </c>
      <c r="BI4" s="368">
        <v>10</v>
      </c>
      <c r="BJ4" s="367" t="s">
        <v>15</v>
      </c>
      <c r="BK4" s="368">
        <v>12</v>
      </c>
      <c r="BL4" s="367" t="s">
        <v>14</v>
      </c>
      <c r="BM4" s="367" t="s">
        <v>35</v>
      </c>
      <c r="BN4" s="368">
        <v>10</v>
      </c>
      <c r="BO4" s="367" t="s">
        <v>15</v>
      </c>
      <c r="BP4" s="368">
        <v>13</v>
      </c>
      <c r="BQ4" s="367" t="s">
        <v>14</v>
      </c>
      <c r="BR4" s="369"/>
      <c r="BS4" s="370">
        <v>1</v>
      </c>
      <c r="BT4" s="367" t="s">
        <v>46</v>
      </c>
      <c r="BU4" s="763">
        <v>2</v>
      </c>
      <c r="BV4" s="372" t="s">
        <v>14</v>
      </c>
      <c r="BW4" s="493"/>
      <c r="BX4" s="2287"/>
      <c r="BY4" s="2344" t="s">
        <v>183</v>
      </c>
      <c r="BZ4" s="453" t="s">
        <v>184</v>
      </c>
      <c r="CA4" s="454" t="s">
        <v>185</v>
      </c>
      <c r="CB4" s="2231" t="s">
        <v>186</v>
      </c>
      <c r="CC4" s="2231"/>
      <c r="CD4" s="2231"/>
      <c r="CE4" s="455" t="s">
        <v>187</v>
      </c>
      <c r="CF4" s="2275"/>
      <c r="CG4" s="2279" t="s">
        <v>188</v>
      </c>
      <c r="CH4" s="2280"/>
      <c r="CI4" s="2281"/>
      <c r="CJ4" s="2279" t="s">
        <v>188</v>
      </c>
      <c r="CK4" s="2280"/>
      <c r="CL4" s="2281"/>
      <c r="CM4" s="2279" t="s">
        <v>188</v>
      </c>
      <c r="CN4" s="2280"/>
      <c r="CO4" s="2281"/>
      <c r="CP4" s="2279" t="s">
        <v>188</v>
      </c>
      <c r="CQ4" s="2280"/>
      <c r="CR4" s="2281"/>
      <c r="CS4" s="2279" t="s">
        <v>188</v>
      </c>
      <c r="CT4" s="2280"/>
      <c r="CU4" s="2281"/>
      <c r="CV4" s="456" t="s">
        <v>1399</v>
      </c>
      <c r="CW4" s="762" t="s">
        <v>1399</v>
      </c>
      <c r="CX4" s="816" t="s">
        <v>190</v>
      </c>
      <c r="CY4" s="19" t="s">
        <v>191</v>
      </c>
      <c r="CZ4" s="19">
        <v>50</v>
      </c>
      <c r="DA4" s="912"/>
      <c r="DB4" s="18" t="s">
        <v>192</v>
      </c>
      <c r="DC4" s="19"/>
      <c r="DD4" s="19"/>
      <c r="DE4" s="18" t="s">
        <v>193</v>
      </c>
      <c r="DF4" s="952">
        <v>100</v>
      </c>
      <c r="DG4" s="84"/>
      <c r="DH4" s="83"/>
      <c r="DI4" s="83"/>
      <c r="DJ4" s="83"/>
      <c r="DK4" s="83"/>
      <c r="DL4" s="83"/>
      <c r="DM4" s="83"/>
    </row>
    <row r="5" spans="1:117" ht="27" customHeight="1" thickTop="1">
      <c r="A5" s="2243" t="s">
        <v>2954</v>
      </c>
      <c r="B5" s="2243"/>
      <c r="C5" s="2243"/>
      <c r="D5" s="2243"/>
      <c r="E5" s="2243"/>
      <c r="F5" s="2243"/>
      <c r="G5" s="2243"/>
      <c r="H5" s="2243"/>
      <c r="I5" s="2243"/>
      <c r="J5" s="2243"/>
      <c r="K5" s="2243"/>
      <c r="L5" s="2243"/>
      <c r="M5" s="2243"/>
      <c r="N5" s="2243"/>
      <c r="O5" s="2243"/>
      <c r="P5" s="2243"/>
      <c r="Q5" s="2243"/>
      <c r="R5" s="2243"/>
      <c r="S5" s="2243"/>
      <c r="T5" s="2243"/>
      <c r="U5" s="2243"/>
      <c r="V5" s="85"/>
      <c r="W5" s="2287"/>
      <c r="X5" s="2345"/>
      <c r="Y5" s="459">
        <f>'03 食事申込書'!BT104</f>
        <v>0</v>
      </c>
      <c r="Z5" s="460">
        <f>'03 食事申込書'!BV104</f>
        <v>0</v>
      </c>
      <c r="AA5" s="2236">
        <f>'03 食事申込書'!BW104</f>
        <v>0</v>
      </c>
      <c r="AB5" s="2237"/>
      <c r="AC5" s="2237"/>
      <c r="AD5" s="918">
        <f>IF(ISERROR(VLOOKUP(AA5,$DB$3:$DC$62,2,FALSE)),0,VLOOKUP(AA5,$DB$3:$DC$62,2,FALSE))</f>
        <v>0</v>
      </c>
      <c r="AE5" s="936">
        <f>'03 食事申込書'!BY104</f>
        <v>0</v>
      </c>
      <c r="AF5" s="2238"/>
      <c r="AG5" s="2185"/>
      <c r="AH5" s="2186"/>
      <c r="AI5" s="2185"/>
      <c r="AJ5" s="2185"/>
      <c r="AK5" s="2186"/>
      <c r="AL5" s="2184"/>
      <c r="AM5" s="2185"/>
      <c r="AN5" s="2186"/>
      <c r="AO5" s="2184"/>
      <c r="AP5" s="2185"/>
      <c r="AQ5" s="2186"/>
      <c r="AR5" s="2184"/>
      <c r="AS5" s="2185"/>
      <c r="AT5" s="2186"/>
      <c r="AU5" s="2184"/>
      <c r="AV5" s="2185"/>
      <c r="AW5" s="2186"/>
      <c r="AX5" s="2185"/>
      <c r="AY5" s="2185"/>
      <c r="AZ5" s="2576"/>
      <c r="BA5" s="465">
        <f>IF('03 食事申込書'!BY104=AF5+AI5+AR5+AL5+AO5+AU5+AX5,AD5*AE5,"人数を再確認！")</f>
        <v>0</v>
      </c>
      <c r="BB5" s="2243" t="s">
        <v>2954</v>
      </c>
      <c r="BC5" s="2243"/>
      <c r="BD5" s="2243"/>
      <c r="BE5" s="2243"/>
      <c r="BF5" s="2243"/>
      <c r="BG5" s="2243"/>
      <c r="BH5" s="2243"/>
      <c r="BI5" s="2243"/>
      <c r="BJ5" s="2243"/>
      <c r="BK5" s="2243"/>
      <c r="BL5" s="2243"/>
      <c r="BM5" s="2243"/>
      <c r="BN5" s="2243"/>
      <c r="BO5" s="2243"/>
      <c r="BP5" s="2243"/>
      <c r="BQ5" s="2243"/>
      <c r="BR5" s="2243"/>
      <c r="BS5" s="2243"/>
      <c r="BT5" s="2243"/>
      <c r="BU5" s="2243"/>
      <c r="BV5" s="2243"/>
      <c r="BW5" s="494"/>
      <c r="BX5" s="2287"/>
      <c r="BY5" s="2345"/>
      <c r="BZ5" s="459">
        <v>8</v>
      </c>
      <c r="CA5" s="460" t="s">
        <v>113</v>
      </c>
      <c r="CB5" s="2282" t="s">
        <v>2965</v>
      </c>
      <c r="CC5" s="2283"/>
      <c r="CD5" s="2283"/>
      <c r="CE5" s="461">
        <v>600</v>
      </c>
      <c r="CF5" s="462">
        <v>111</v>
      </c>
      <c r="CG5" s="2238">
        <v>100</v>
      </c>
      <c r="CH5" s="2185"/>
      <c r="CI5" s="2186"/>
      <c r="CJ5" s="2185">
        <v>10</v>
      </c>
      <c r="CK5" s="2185"/>
      <c r="CL5" s="2186"/>
      <c r="CM5" s="2184"/>
      <c r="CN5" s="2185"/>
      <c r="CO5" s="2186"/>
      <c r="CP5" s="2184"/>
      <c r="CQ5" s="2185"/>
      <c r="CR5" s="2186"/>
      <c r="CS5" s="2184">
        <v>1</v>
      </c>
      <c r="CT5" s="2185"/>
      <c r="CU5" s="2186"/>
      <c r="CV5" s="463"/>
      <c r="CW5" s="464"/>
      <c r="CX5" s="817">
        <v>66600</v>
      </c>
      <c r="CY5" s="19" t="s">
        <v>194</v>
      </c>
      <c r="CZ5" s="19">
        <v>80</v>
      </c>
      <c r="DA5" s="913"/>
      <c r="DB5" s="23" t="s">
        <v>195</v>
      </c>
      <c r="DC5" s="903">
        <v>550</v>
      </c>
      <c r="DD5" s="910"/>
      <c r="DE5" s="18" t="s">
        <v>3101</v>
      </c>
      <c r="DF5" s="952">
        <v>300</v>
      </c>
      <c r="DG5" s="84"/>
      <c r="DH5" s="83"/>
      <c r="DI5" s="83"/>
      <c r="DJ5" s="83"/>
      <c r="DK5" s="83"/>
      <c r="DL5" s="83"/>
      <c r="DM5" s="83"/>
    </row>
    <row r="6" spans="1:117" ht="27" customHeight="1">
      <c r="A6" s="2243"/>
      <c r="B6" s="2243"/>
      <c r="C6" s="2243"/>
      <c r="D6" s="2243"/>
      <c r="E6" s="2243"/>
      <c r="F6" s="2243"/>
      <c r="G6" s="2243"/>
      <c r="H6" s="2243"/>
      <c r="I6" s="2243"/>
      <c r="J6" s="2243"/>
      <c r="K6" s="2243"/>
      <c r="L6" s="2243"/>
      <c r="M6" s="2243"/>
      <c r="N6" s="2243"/>
      <c r="O6" s="2243"/>
      <c r="P6" s="2243"/>
      <c r="Q6" s="2243"/>
      <c r="R6" s="2243"/>
      <c r="S6" s="2243"/>
      <c r="T6" s="2243"/>
      <c r="U6" s="2243"/>
      <c r="V6" s="85"/>
      <c r="W6" s="2287"/>
      <c r="X6" s="2345"/>
      <c r="Y6" s="466">
        <f>'03 食事申込書'!BT105</f>
        <v>0</v>
      </c>
      <c r="Z6" s="467">
        <f>'03 食事申込書'!BV105</f>
        <v>0</v>
      </c>
      <c r="AA6" s="2247">
        <f>'03 食事申込書'!BW105</f>
        <v>0</v>
      </c>
      <c r="AB6" s="2248"/>
      <c r="AC6" s="2248"/>
      <c r="AD6" s="468">
        <f t="shared" ref="AD6:AD20" si="0">IF(ISERROR(VLOOKUP(AA6,$DB$3:$DC$62,2,FALSE)),0,VLOOKUP(AA6,$DB$3:$DC$62,2,FALSE))</f>
        <v>0</v>
      </c>
      <c r="AE6" s="462">
        <f>'03 食事申込書'!BY105</f>
        <v>0</v>
      </c>
      <c r="AF6" s="2160"/>
      <c r="AG6" s="2158"/>
      <c r="AH6" s="2159"/>
      <c r="AI6" s="2158"/>
      <c r="AJ6" s="2158"/>
      <c r="AK6" s="2159"/>
      <c r="AL6" s="2157"/>
      <c r="AM6" s="2158"/>
      <c r="AN6" s="2159"/>
      <c r="AO6" s="2157"/>
      <c r="AP6" s="2158"/>
      <c r="AQ6" s="2159"/>
      <c r="AR6" s="2157"/>
      <c r="AS6" s="2158"/>
      <c r="AT6" s="2159"/>
      <c r="AU6" s="2157"/>
      <c r="AV6" s="2158"/>
      <c r="AW6" s="2159"/>
      <c r="AX6" s="2190"/>
      <c r="AY6" s="2190"/>
      <c r="AZ6" s="2578"/>
      <c r="BA6" s="465">
        <f>IF('03 食事申込書'!BY105=AF6+AI6+AX6+AL6+AO6+AR6+AU6,AD6*AE6,"人数を再確認！")</f>
        <v>0</v>
      </c>
      <c r="BB6" s="2243"/>
      <c r="BC6" s="2243"/>
      <c r="BD6" s="2243"/>
      <c r="BE6" s="2243"/>
      <c r="BF6" s="2243"/>
      <c r="BG6" s="2243"/>
      <c r="BH6" s="2243"/>
      <c r="BI6" s="2243"/>
      <c r="BJ6" s="2243"/>
      <c r="BK6" s="2243"/>
      <c r="BL6" s="2243"/>
      <c r="BM6" s="2243"/>
      <c r="BN6" s="2243"/>
      <c r="BO6" s="2243"/>
      <c r="BP6" s="2243"/>
      <c r="BQ6" s="2243"/>
      <c r="BR6" s="2243"/>
      <c r="BS6" s="2243"/>
      <c r="BT6" s="2243"/>
      <c r="BU6" s="2243"/>
      <c r="BV6" s="2243"/>
      <c r="BW6" s="494"/>
      <c r="BX6" s="2287"/>
      <c r="BY6" s="2345"/>
      <c r="BZ6" s="466">
        <v>8</v>
      </c>
      <c r="CA6" s="467" t="s">
        <v>114</v>
      </c>
      <c r="CB6" s="2224" t="s">
        <v>2856</v>
      </c>
      <c r="CC6" s="2225"/>
      <c r="CD6" s="2225"/>
      <c r="CE6" s="468">
        <v>700</v>
      </c>
      <c r="CF6" s="462">
        <v>100</v>
      </c>
      <c r="CG6" s="2160">
        <v>100</v>
      </c>
      <c r="CH6" s="2158"/>
      <c r="CI6" s="2159"/>
      <c r="CJ6" s="2158"/>
      <c r="CK6" s="2158"/>
      <c r="CL6" s="2159"/>
      <c r="CM6" s="2157"/>
      <c r="CN6" s="2158"/>
      <c r="CO6" s="2159"/>
      <c r="CP6" s="2157"/>
      <c r="CQ6" s="2158"/>
      <c r="CR6" s="2159"/>
      <c r="CS6" s="2157"/>
      <c r="CT6" s="2158"/>
      <c r="CU6" s="2159"/>
      <c r="CV6" s="469"/>
      <c r="CW6" s="470"/>
      <c r="CX6" s="817">
        <v>70000</v>
      </c>
      <c r="CY6" s="19" t="s">
        <v>196</v>
      </c>
      <c r="CZ6" s="19"/>
      <c r="DA6" s="19"/>
      <c r="DB6" s="23" t="s">
        <v>197</v>
      </c>
      <c r="DC6" s="903">
        <v>650</v>
      </c>
      <c r="DD6" s="19"/>
      <c r="DE6" s="18" t="s">
        <v>203</v>
      </c>
      <c r="DF6" s="952">
        <v>250</v>
      </c>
      <c r="DG6" s="84"/>
      <c r="DH6" s="83"/>
      <c r="DI6" s="83"/>
      <c r="DJ6" s="83"/>
      <c r="DK6" s="83"/>
      <c r="DL6" s="83"/>
      <c r="DM6" s="83"/>
    </row>
    <row r="7" spans="1:117" ht="27" customHeight="1">
      <c r="A7" s="2243"/>
      <c r="B7" s="2243"/>
      <c r="C7" s="2243"/>
      <c r="D7" s="2243"/>
      <c r="E7" s="2243"/>
      <c r="F7" s="2243"/>
      <c r="G7" s="2243"/>
      <c r="H7" s="2243"/>
      <c r="I7" s="2243"/>
      <c r="J7" s="2243"/>
      <c r="K7" s="2243"/>
      <c r="L7" s="2243"/>
      <c r="M7" s="2243"/>
      <c r="N7" s="2243"/>
      <c r="O7" s="2243"/>
      <c r="P7" s="2243"/>
      <c r="Q7" s="2243"/>
      <c r="R7" s="2243"/>
      <c r="S7" s="2243"/>
      <c r="T7" s="2243"/>
      <c r="U7" s="2243"/>
      <c r="V7" s="85"/>
      <c r="W7" s="2287"/>
      <c r="X7" s="2345"/>
      <c r="Y7" s="466">
        <f>'03 食事申込書'!BT106</f>
        <v>0</v>
      </c>
      <c r="Z7" s="467">
        <f>'03 食事申込書'!BV106</f>
        <v>0</v>
      </c>
      <c r="AA7" s="2239">
        <f>'03 食事申込書'!BW106</f>
        <v>0</v>
      </c>
      <c r="AB7" s="2240"/>
      <c r="AC7" s="2240"/>
      <c r="AD7" s="468">
        <f t="shared" si="0"/>
        <v>0</v>
      </c>
      <c r="AE7" s="462">
        <f>'03 食事申込書'!BY106</f>
        <v>0</v>
      </c>
      <c r="AF7" s="2160"/>
      <c r="AG7" s="2158"/>
      <c r="AH7" s="2159"/>
      <c r="AI7" s="2158"/>
      <c r="AJ7" s="2158"/>
      <c r="AK7" s="2159"/>
      <c r="AL7" s="2157"/>
      <c r="AM7" s="2158"/>
      <c r="AN7" s="2159"/>
      <c r="AO7" s="2157"/>
      <c r="AP7" s="2158"/>
      <c r="AQ7" s="2159"/>
      <c r="AR7" s="2157"/>
      <c r="AS7" s="2158"/>
      <c r="AT7" s="2159"/>
      <c r="AU7" s="2157"/>
      <c r="AV7" s="2158"/>
      <c r="AW7" s="2159"/>
      <c r="AX7" s="2190"/>
      <c r="AY7" s="2190"/>
      <c r="AZ7" s="2578"/>
      <c r="BA7" s="465">
        <f>IF('03 食事申込書'!BY106=AF7+AI7+AR7+AL7+AO7+AU7+AX7,AD7*AE7,"人数を再確認！")</f>
        <v>0</v>
      </c>
      <c r="BB7" s="2243"/>
      <c r="BC7" s="2243"/>
      <c r="BD7" s="2243"/>
      <c r="BE7" s="2243"/>
      <c r="BF7" s="2243"/>
      <c r="BG7" s="2243"/>
      <c r="BH7" s="2243"/>
      <c r="BI7" s="2243"/>
      <c r="BJ7" s="2243"/>
      <c r="BK7" s="2243"/>
      <c r="BL7" s="2243"/>
      <c r="BM7" s="2243"/>
      <c r="BN7" s="2243"/>
      <c r="BO7" s="2243"/>
      <c r="BP7" s="2243"/>
      <c r="BQ7" s="2243"/>
      <c r="BR7" s="2243"/>
      <c r="BS7" s="2243"/>
      <c r="BT7" s="2243"/>
      <c r="BU7" s="2243"/>
      <c r="BV7" s="2243"/>
      <c r="BW7" s="494"/>
      <c r="BX7" s="2287"/>
      <c r="BY7" s="2345"/>
      <c r="BZ7" s="466">
        <v>8</v>
      </c>
      <c r="CA7" s="467" t="s">
        <v>114</v>
      </c>
      <c r="CB7" s="2224" t="s">
        <v>2857</v>
      </c>
      <c r="CC7" s="2225"/>
      <c r="CD7" s="2225"/>
      <c r="CE7" s="468">
        <v>750</v>
      </c>
      <c r="CF7" s="462">
        <v>10</v>
      </c>
      <c r="CG7" s="2160"/>
      <c r="CH7" s="2158"/>
      <c r="CI7" s="2159"/>
      <c r="CJ7" s="2158">
        <v>10</v>
      </c>
      <c r="CK7" s="2158"/>
      <c r="CL7" s="2159"/>
      <c r="CM7" s="2157"/>
      <c r="CN7" s="2158"/>
      <c r="CO7" s="2159"/>
      <c r="CP7" s="2157"/>
      <c r="CQ7" s="2158"/>
      <c r="CR7" s="2159"/>
      <c r="CS7" s="2157"/>
      <c r="CT7" s="2158"/>
      <c r="CU7" s="2159"/>
      <c r="CV7" s="469"/>
      <c r="CW7" s="470"/>
      <c r="CX7" s="817">
        <v>7500</v>
      </c>
      <c r="CY7" s="19" t="s">
        <v>191</v>
      </c>
      <c r="CZ7" s="19">
        <v>290</v>
      </c>
      <c r="DA7" s="19"/>
      <c r="DB7" s="23" t="s">
        <v>198</v>
      </c>
      <c r="DC7" s="903">
        <v>690</v>
      </c>
      <c r="DD7" s="19"/>
      <c r="DE7" s="18" t="s">
        <v>211</v>
      </c>
      <c r="DF7" s="952">
        <v>400</v>
      </c>
      <c r="DG7" s="84"/>
      <c r="DH7" s="83"/>
      <c r="DI7" s="83"/>
      <c r="DJ7" s="83"/>
      <c r="DK7" s="83"/>
      <c r="DL7" s="83"/>
      <c r="DM7" s="83"/>
    </row>
    <row r="8" spans="1:117" ht="27" customHeight="1">
      <c r="A8" s="2243"/>
      <c r="B8" s="2243"/>
      <c r="C8" s="2243"/>
      <c r="D8" s="2243"/>
      <c r="E8" s="2243"/>
      <c r="F8" s="2243"/>
      <c r="G8" s="2243"/>
      <c r="H8" s="2243"/>
      <c r="I8" s="2243"/>
      <c r="J8" s="2243"/>
      <c r="K8" s="2243"/>
      <c r="L8" s="2243"/>
      <c r="M8" s="2243"/>
      <c r="N8" s="2243"/>
      <c r="O8" s="2243"/>
      <c r="P8" s="2243"/>
      <c r="Q8" s="2243"/>
      <c r="R8" s="2243"/>
      <c r="S8" s="2243"/>
      <c r="T8" s="2243"/>
      <c r="U8" s="2243"/>
      <c r="V8" s="85"/>
      <c r="W8" s="2287"/>
      <c r="X8" s="2345"/>
      <c r="Y8" s="466">
        <f>'03 食事申込書'!BT107</f>
        <v>0</v>
      </c>
      <c r="Z8" s="467">
        <f>'03 食事申込書'!BV107</f>
        <v>0</v>
      </c>
      <c r="AA8" s="2239">
        <f>'03 食事申込書'!BW107</f>
        <v>0</v>
      </c>
      <c r="AB8" s="2240"/>
      <c r="AC8" s="2240"/>
      <c r="AD8" s="468">
        <f t="shared" si="0"/>
        <v>0</v>
      </c>
      <c r="AE8" s="462">
        <f>'03 食事申込書'!BY107</f>
        <v>0</v>
      </c>
      <c r="AF8" s="2160"/>
      <c r="AG8" s="2158"/>
      <c r="AH8" s="2159"/>
      <c r="AI8" s="2158"/>
      <c r="AJ8" s="2158"/>
      <c r="AK8" s="2159"/>
      <c r="AL8" s="2157"/>
      <c r="AM8" s="2158"/>
      <c r="AN8" s="2159"/>
      <c r="AO8" s="2157"/>
      <c r="AP8" s="2158"/>
      <c r="AQ8" s="2159"/>
      <c r="AR8" s="2157"/>
      <c r="AS8" s="2158"/>
      <c r="AT8" s="2159"/>
      <c r="AU8" s="2157"/>
      <c r="AV8" s="2158"/>
      <c r="AW8" s="2159"/>
      <c r="AX8" s="2190"/>
      <c r="AY8" s="2190"/>
      <c r="AZ8" s="2578"/>
      <c r="BA8" s="465">
        <f>IF('03 食事申込書'!BY107=AF8+AI8+AR8+AL8+AO8+AU8+AX8,AD8*AE8,"人数を再確認！")</f>
        <v>0</v>
      </c>
      <c r="BB8" s="2243"/>
      <c r="BC8" s="2243"/>
      <c r="BD8" s="2243"/>
      <c r="BE8" s="2243"/>
      <c r="BF8" s="2243"/>
      <c r="BG8" s="2243"/>
      <c r="BH8" s="2243"/>
      <c r="BI8" s="2243"/>
      <c r="BJ8" s="2243"/>
      <c r="BK8" s="2243"/>
      <c r="BL8" s="2243"/>
      <c r="BM8" s="2243"/>
      <c r="BN8" s="2243"/>
      <c r="BO8" s="2243"/>
      <c r="BP8" s="2243"/>
      <c r="BQ8" s="2243"/>
      <c r="BR8" s="2243"/>
      <c r="BS8" s="2243"/>
      <c r="BT8" s="2243"/>
      <c r="BU8" s="2243"/>
      <c r="BV8" s="2243"/>
      <c r="BW8" s="494"/>
      <c r="BX8" s="2287"/>
      <c r="BY8" s="2345"/>
      <c r="BZ8" s="466">
        <v>9</v>
      </c>
      <c r="CA8" s="467" t="s">
        <v>115</v>
      </c>
      <c r="CB8" s="2224" t="s">
        <v>2860</v>
      </c>
      <c r="CC8" s="2225"/>
      <c r="CD8" s="2225"/>
      <c r="CE8" s="468">
        <v>570</v>
      </c>
      <c r="CF8" s="462">
        <v>100</v>
      </c>
      <c r="CG8" s="2160">
        <v>100</v>
      </c>
      <c r="CH8" s="2158"/>
      <c r="CI8" s="2159"/>
      <c r="CJ8" s="2158"/>
      <c r="CK8" s="2158"/>
      <c r="CL8" s="2159"/>
      <c r="CM8" s="2157"/>
      <c r="CN8" s="2158"/>
      <c r="CO8" s="2159"/>
      <c r="CP8" s="2157"/>
      <c r="CQ8" s="2158"/>
      <c r="CR8" s="2159"/>
      <c r="CS8" s="2157"/>
      <c r="CT8" s="2158"/>
      <c r="CU8" s="2159"/>
      <c r="CV8" s="469"/>
      <c r="CW8" s="470"/>
      <c r="CX8" s="817">
        <v>57000</v>
      </c>
      <c r="CY8" s="19" t="s">
        <v>194</v>
      </c>
      <c r="CZ8" s="19">
        <v>450</v>
      </c>
      <c r="DA8" s="19"/>
      <c r="DB8" s="23" t="s">
        <v>199</v>
      </c>
      <c r="DC8" s="903">
        <v>650</v>
      </c>
      <c r="DD8" s="914"/>
      <c r="DE8" s="18"/>
      <c r="DF8" s="952"/>
      <c r="DG8" s="84"/>
      <c r="DH8" s="83"/>
      <c r="DI8" s="83"/>
      <c r="DJ8" s="83"/>
      <c r="DK8" s="83"/>
      <c r="DL8" s="83"/>
      <c r="DM8" s="83"/>
    </row>
    <row r="9" spans="1:117" ht="27" customHeight="1" thickBot="1">
      <c r="A9" s="2289" t="s">
        <v>3128</v>
      </c>
      <c r="B9" s="2290"/>
      <c r="C9" s="2290"/>
      <c r="D9" s="2290"/>
      <c r="E9" s="2290"/>
      <c r="F9" s="2290"/>
      <c r="G9" s="2290"/>
      <c r="H9" s="2290"/>
      <c r="I9" s="2290"/>
      <c r="J9" s="2290"/>
      <c r="K9" s="2290"/>
      <c r="L9" s="2290"/>
      <c r="M9" s="2290"/>
      <c r="N9" s="2290"/>
      <c r="O9" s="2290"/>
      <c r="P9" s="2290"/>
      <c r="Q9" s="2291"/>
      <c r="R9" s="373" t="s">
        <v>172</v>
      </c>
      <c r="S9" s="2277" t="s">
        <v>204</v>
      </c>
      <c r="T9" s="2278"/>
      <c r="U9" s="374"/>
      <c r="V9" s="85"/>
      <c r="W9" s="2287"/>
      <c r="X9" s="2345"/>
      <c r="Y9" s="466">
        <f>'03 食事申込書'!BT108</f>
        <v>0</v>
      </c>
      <c r="Z9" s="467">
        <f>'03 食事申込書'!BV108</f>
        <v>0</v>
      </c>
      <c r="AA9" s="2239">
        <f>'03 食事申込書'!BW108</f>
        <v>0</v>
      </c>
      <c r="AB9" s="2240"/>
      <c r="AC9" s="2240"/>
      <c r="AD9" s="468">
        <f t="shared" si="0"/>
        <v>0</v>
      </c>
      <c r="AE9" s="462">
        <f>'03 食事申込書'!BY108</f>
        <v>0</v>
      </c>
      <c r="AF9" s="2160"/>
      <c r="AG9" s="2158"/>
      <c r="AH9" s="2159"/>
      <c r="AI9" s="2158"/>
      <c r="AJ9" s="2158"/>
      <c r="AK9" s="2159"/>
      <c r="AL9" s="2157"/>
      <c r="AM9" s="2158"/>
      <c r="AN9" s="2159"/>
      <c r="AO9" s="2157"/>
      <c r="AP9" s="2158"/>
      <c r="AQ9" s="2159"/>
      <c r="AR9" s="2157"/>
      <c r="AS9" s="2158"/>
      <c r="AT9" s="2159"/>
      <c r="AU9" s="2157"/>
      <c r="AV9" s="2158"/>
      <c r="AW9" s="2159"/>
      <c r="AX9" s="2190"/>
      <c r="AY9" s="2190"/>
      <c r="AZ9" s="2578"/>
      <c r="BA9" s="465">
        <f>IF('03 食事申込書'!BY108=AF9+AI9+AR9+AL9+AO9+AU9+AX9,AD9*AE9,"人数を再確認！")</f>
        <v>0</v>
      </c>
      <c r="BB9" s="2289" t="s">
        <v>1387</v>
      </c>
      <c r="BC9" s="2290"/>
      <c r="BD9" s="2290"/>
      <c r="BE9" s="2290"/>
      <c r="BF9" s="2290"/>
      <c r="BG9" s="2290"/>
      <c r="BH9" s="2290"/>
      <c r="BI9" s="2290"/>
      <c r="BJ9" s="2290"/>
      <c r="BK9" s="2290"/>
      <c r="BL9" s="2290"/>
      <c r="BM9" s="2290"/>
      <c r="BN9" s="2290"/>
      <c r="BO9" s="2290"/>
      <c r="BP9" s="2290"/>
      <c r="BQ9" s="2290"/>
      <c r="BR9" s="2291"/>
      <c r="BS9" s="373" t="s">
        <v>172</v>
      </c>
      <c r="BT9" s="2284" t="s">
        <v>204</v>
      </c>
      <c r="BU9" s="2285"/>
      <c r="BV9" s="495"/>
      <c r="BW9" s="494"/>
      <c r="BX9" s="2287"/>
      <c r="BY9" s="2345"/>
      <c r="BZ9" s="466">
        <v>9</v>
      </c>
      <c r="CA9" s="467" t="s">
        <v>115</v>
      </c>
      <c r="CB9" s="2224" t="s">
        <v>2861</v>
      </c>
      <c r="CC9" s="2225"/>
      <c r="CD9" s="2225"/>
      <c r="CE9" s="471">
        <v>620</v>
      </c>
      <c r="CF9" s="462">
        <v>10</v>
      </c>
      <c r="CG9" s="2160"/>
      <c r="CH9" s="2158"/>
      <c r="CI9" s="2159"/>
      <c r="CJ9" s="2158">
        <v>10</v>
      </c>
      <c r="CK9" s="2158"/>
      <c r="CL9" s="2159"/>
      <c r="CM9" s="2157"/>
      <c r="CN9" s="2158"/>
      <c r="CO9" s="2159"/>
      <c r="CP9" s="2157"/>
      <c r="CQ9" s="2158"/>
      <c r="CR9" s="2159"/>
      <c r="CS9" s="2157"/>
      <c r="CT9" s="2158"/>
      <c r="CU9" s="2159"/>
      <c r="CV9" s="469"/>
      <c r="CW9" s="470"/>
      <c r="CX9" s="817">
        <v>6200</v>
      </c>
      <c r="CY9" s="19"/>
      <c r="CZ9" s="19"/>
      <c r="DA9" s="19"/>
      <c r="DB9" s="23" t="s">
        <v>200</v>
      </c>
      <c r="DC9" s="903">
        <v>760</v>
      </c>
      <c r="DD9" s="914"/>
      <c r="DE9" s="18"/>
      <c r="DF9" s="19"/>
      <c r="DG9" s="84"/>
      <c r="DH9" s="83"/>
      <c r="DI9" s="83"/>
      <c r="DJ9" s="83"/>
      <c r="DK9" s="83"/>
      <c r="DL9" s="83"/>
      <c r="DM9" s="83"/>
    </row>
    <row r="10" spans="1:117" ht="27" customHeight="1" thickTop="1">
      <c r="A10" s="2211" t="s">
        <v>206</v>
      </c>
      <c r="B10" s="2212"/>
      <c r="C10" s="2217" t="s">
        <v>207</v>
      </c>
      <c r="D10" s="2218"/>
      <c r="E10" s="2218"/>
      <c r="F10" s="2219"/>
      <c r="G10" s="2220"/>
      <c r="H10" s="2221"/>
      <c r="I10" s="2221"/>
      <c r="J10" s="2221"/>
      <c r="K10" s="2221"/>
      <c r="L10" s="2221"/>
      <c r="M10" s="2221"/>
      <c r="N10" s="2221"/>
      <c r="O10" s="2221"/>
      <c r="P10" s="2221"/>
      <c r="Q10" s="2222"/>
      <c r="R10" s="375" t="s">
        <v>208</v>
      </c>
      <c r="S10" s="376" t="s">
        <v>208</v>
      </c>
      <c r="T10" s="377" t="s">
        <v>3126</v>
      </c>
      <c r="U10" s="378" t="b">
        <v>0</v>
      </c>
      <c r="V10" s="202" t="b">
        <v>0</v>
      </c>
      <c r="W10" s="2287"/>
      <c r="X10" s="2345"/>
      <c r="Y10" s="466">
        <f>'03 食事申込書'!BT109</f>
        <v>0</v>
      </c>
      <c r="Z10" s="467">
        <f>'03 食事申込書'!BV109</f>
        <v>0</v>
      </c>
      <c r="AA10" s="2239">
        <f>'03 食事申込書'!BW109</f>
        <v>0</v>
      </c>
      <c r="AB10" s="2240"/>
      <c r="AC10" s="2240"/>
      <c r="AD10" s="468">
        <f t="shared" si="0"/>
        <v>0</v>
      </c>
      <c r="AE10" s="462">
        <f>'03 食事申込書'!BY109</f>
        <v>0</v>
      </c>
      <c r="AF10" s="2160"/>
      <c r="AG10" s="2158"/>
      <c r="AH10" s="2159"/>
      <c r="AI10" s="2158"/>
      <c r="AJ10" s="2158"/>
      <c r="AK10" s="2159"/>
      <c r="AL10" s="2157"/>
      <c r="AM10" s="2158"/>
      <c r="AN10" s="2159"/>
      <c r="AO10" s="2157"/>
      <c r="AP10" s="2158"/>
      <c r="AQ10" s="2159"/>
      <c r="AR10" s="2157"/>
      <c r="AS10" s="2158"/>
      <c r="AT10" s="2159"/>
      <c r="AU10" s="2157"/>
      <c r="AV10" s="2158"/>
      <c r="AW10" s="2159"/>
      <c r="AX10" s="2190"/>
      <c r="AY10" s="2190"/>
      <c r="AZ10" s="2578"/>
      <c r="BA10" s="465">
        <f>IF('03 食事申込書'!BY109=AF10+AI10+AR10+AL10+AO10+AU10+AX10,AD10*AE10,"人数を再確認！")</f>
        <v>0</v>
      </c>
      <c r="BB10" s="2211" t="s">
        <v>206</v>
      </c>
      <c r="BC10" s="2212"/>
      <c r="BD10" s="2217" t="s">
        <v>207</v>
      </c>
      <c r="BE10" s="2218"/>
      <c r="BF10" s="2218"/>
      <c r="BG10" s="2219"/>
      <c r="BH10" s="2531" t="s">
        <v>2848</v>
      </c>
      <c r="BI10" s="2532"/>
      <c r="BJ10" s="2532"/>
      <c r="BK10" s="2532"/>
      <c r="BL10" s="2532"/>
      <c r="BM10" s="2532"/>
      <c r="BN10" s="2532"/>
      <c r="BO10" s="2532"/>
      <c r="BP10" s="2532"/>
      <c r="BQ10" s="2532"/>
      <c r="BR10" s="2533"/>
      <c r="BS10" s="496" t="s">
        <v>208</v>
      </c>
      <c r="BT10" s="376" t="s">
        <v>208</v>
      </c>
      <c r="BU10" s="497" t="s">
        <v>209</v>
      </c>
      <c r="BV10" s="495"/>
      <c r="BW10" s="494"/>
      <c r="BX10" s="2287"/>
      <c r="BY10" s="2345"/>
      <c r="BZ10" s="466">
        <v>9</v>
      </c>
      <c r="CA10" s="467" t="s">
        <v>113</v>
      </c>
      <c r="CB10" s="2224" t="s">
        <v>2966</v>
      </c>
      <c r="CC10" s="2225"/>
      <c r="CD10" s="2225"/>
      <c r="CE10" s="468">
        <v>440</v>
      </c>
      <c r="CF10" s="462">
        <v>109</v>
      </c>
      <c r="CG10" s="2160">
        <v>99</v>
      </c>
      <c r="CH10" s="2158"/>
      <c r="CI10" s="2159"/>
      <c r="CJ10" s="2158">
        <v>10</v>
      </c>
      <c r="CK10" s="2158"/>
      <c r="CL10" s="2159"/>
      <c r="CM10" s="2157"/>
      <c r="CN10" s="2158"/>
      <c r="CO10" s="2159"/>
      <c r="CP10" s="2157"/>
      <c r="CQ10" s="2158"/>
      <c r="CR10" s="2159"/>
      <c r="CS10" s="2157"/>
      <c r="CT10" s="2158"/>
      <c r="CU10" s="2159"/>
      <c r="CV10" s="469"/>
      <c r="CW10" s="470"/>
      <c r="CX10" s="817">
        <v>47960</v>
      </c>
      <c r="CY10" s="2276" t="s">
        <v>201</v>
      </c>
      <c r="CZ10" s="2276"/>
      <c r="DA10" s="19"/>
      <c r="DB10" s="23" t="s">
        <v>202</v>
      </c>
      <c r="DC10" s="903">
        <v>800</v>
      </c>
      <c r="DD10" s="914"/>
      <c r="DE10" s="18"/>
      <c r="DF10" s="19"/>
      <c r="DG10" s="84"/>
      <c r="DH10" s="83"/>
      <c r="DI10" s="83"/>
      <c r="DJ10" s="83"/>
      <c r="DK10" s="83"/>
      <c r="DL10" s="83"/>
      <c r="DM10" s="83"/>
    </row>
    <row r="11" spans="1:117" ht="27" customHeight="1">
      <c r="A11" s="2213"/>
      <c r="B11" s="2214"/>
      <c r="C11" s="2217" t="s">
        <v>212</v>
      </c>
      <c r="D11" s="2218"/>
      <c r="E11" s="2218"/>
      <c r="F11" s="2219"/>
      <c r="G11" s="2244"/>
      <c r="H11" s="2245"/>
      <c r="I11" s="2245"/>
      <c r="J11" s="2245"/>
      <c r="K11" s="2245"/>
      <c r="L11" s="2245"/>
      <c r="M11" s="2245"/>
      <c r="N11" s="2245"/>
      <c r="O11" s="2245"/>
      <c r="P11" s="2245"/>
      <c r="Q11" s="2246"/>
      <c r="R11" s="379" t="s">
        <v>208</v>
      </c>
      <c r="S11" s="380" t="s">
        <v>208</v>
      </c>
      <c r="T11" s="381" t="s">
        <v>3126</v>
      </c>
      <c r="U11" s="382" t="b">
        <v>0</v>
      </c>
      <c r="V11" s="203" t="b">
        <v>0</v>
      </c>
      <c r="W11" s="2287"/>
      <c r="X11" s="2345"/>
      <c r="Y11" s="466">
        <f>'03 食事申込書'!BT110</f>
        <v>0</v>
      </c>
      <c r="Z11" s="467">
        <f>'03 食事申込書'!BV110</f>
        <v>0</v>
      </c>
      <c r="AA11" s="2239">
        <f>'03 食事申込書'!BW110</f>
        <v>0</v>
      </c>
      <c r="AB11" s="2240"/>
      <c r="AC11" s="2240"/>
      <c r="AD11" s="468">
        <f t="shared" si="0"/>
        <v>0</v>
      </c>
      <c r="AE11" s="462">
        <f>'03 食事申込書'!BY110</f>
        <v>0</v>
      </c>
      <c r="AF11" s="2160"/>
      <c r="AG11" s="2158"/>
      <c r="AH11" s="2159"/>
      <c r="AI11" s="2157"/>
      <c r="AJ11" s="2158"/>
      <c r="AK11" s="2159"/>
      <c r="AL11" s="2157"/>
      <c r="AM11" s="2158"/>
      <c r="AN11" s="2159"/>
      <c r="AO11" s="2157"/>
      <c r="AP11" s="2158"/>
      <c r="AQ11" s="2159"/>
      <c r="AR11" s="2157"/>
      <c r="AS11" s="2158"/>
      <c r="AT11" s="2159"/>
      <c r="AU11" s="2157"/>
      <c r="AV11" s="2158"/>
      <c r="AW11" s="2159"/>
      <c r="AX11" s="2190"/>
      <c r="AY11" s="2190"/>
      <c r="AZ11" s="2578"/>
      <c r="BA11" s="465">
        <f>IF('03 食事申込書'!BY110=AF11+AL11+AI11+AO11+AR11+AU11+AX11,AD11*AE11,"人数を再確認！")</f>
        <v>0</v>
      </c>
      <c r="BB11" s="2213"/>
      <c r="BC11" s="2214"/>
      <c r="BD11" s="2217" t="s">
        <v>212</v>
      </c>
      <c r="BE11" s="2218"/>
      <c r="BF11" s="2218"/>
      <c r="BG11" s="2219"/>
      <c r="BH11" s="2528" t="s">
        <v>2847</v>
      </c>
      <c r="BI11" s="2529"/>
      <c r="BJ11" s="2529"/>
      <c r="BK11" s="2529"/>
      <c r="BL11" s="2529"/>
      <c r="BM11" s="2529"/>
      <c r="BN11" s="2529"/>
      <c r="BO11" s="2529"/>
      <c r="BP11" s="2529"/>
      <c r="BQ11" s="2529"/>
      <c r="BR11" s="2530"/>
      <c r="BS11" s="498" t="s">
        <v>208</v>
      </c>
      <c r="BT11" s="380" t="s">
        <v>208</v>
      </c>
      <c r="BU11" s="499" t="s">
        <v>209</v>
      </c>
      <c r="BV11" s="500"/>
      <c r="BW11" s="501"/>
      <c r="BX11" s="2287"/>
      <c r="BY11" s="2345"/>
      <c r="BZ11" s="466">
        <v>9</v>
      </c>
      <c r="CA11" s="467" t="s">
        <v>113</v>
      </c>
      <c r="CB11" s="2224" t="s">
        <v>2967</v>
      </c>
      <c r="CC11" s="2225"/>
      <c r="CD11" s="2225"/>
      <c r="CE11" s="468">
        <v>440</v>
      </c>
      <c r="CF11" s="462">
        <v>1</v>
      </c>
      <c r="CG11" s="2160">
        <v>1</v>
      </c>
      <c r="CH11" s="2158"/>
      <c r="CI11" s="2159"/>
      <c r="CJ11" s="2157"/>
      <c r="CK11" s="2158"/>
      <c r="CL11" s="2159"/>
      <c r="CM11" s="2157"/>
      <c r="CN11" s="2158"/>
      <c r="CO11" s="2159"/>
      <c r="CP11" s="2157"/>
      <c r="CQ11" s="2158"/>
      <c r="CR11" s="2159"/>
      <c r="CS11" s="2157"/>
      <c r="CT11" s="2158"/>
      <c r="CU11" s="2159"/>
      <c r="CV11" s="469"/>
      <c r="CW11" s="470"/>
      <c r="CX11" s="817">
        <v>440</v>
      </c>
      <c r="CY11" s="19"/>
      <c r="CZ11" s="19"/>
      <c r="DA11" s="19"/>
      <c r="DB11" s="23" t="s">
        <v>205</v>
      </c>
      <c r="DC11" s="903">
        <v>540</v>
      </c>
      <c r="DD11" s="19"/>
      <c r="DE11" s="18"/>
      <c r="DF11" s="19"/>
      <c r="DG11" s="84"/>
      <c r="DH11" s="83"/>
      <c r="DI11" s="83"/>
      <c r="DJ11" s="83"/>
      <c r="DK11" s="83"/>
      <c r="DL11" s="83"/>
      <c r="DM11" s="83"/>
    </row>
    <row r="12" spans="1:117" ht="27" customHeight="1">
      <c r="A12" s="2213"/>
      <c r="B12" s="2214"/>
      <c r="C12" s="2217" t="s">
        <v>214</v>
      </c>
      <c r="D12" s="2218"/>
      <c r="E12" s="2218"/>
      <c r="F12" s="2219"/>
      <c r="G12" s="2244"/>
      <c r="H12" s="2245"/>
      <c r="I12" s="2245"/>
      <c r="J12" s="2245"/>
      <c r="K12" s="2245"/>
      <c r="L12" s="2245"/>
      <c r="M12" s="2245"/>
      <c r="N12" s="2245"/>
      <c r="O12" s="2245"/>
      <c r="P12" s="2245"/>
      <c r="Q12" s="2246"/>
      <c r="R12" s="379" t="s">
        <v>208</v>
      </c>
      <c r="S12" s="380" t="s">
        <v>208</v>
      </c>
      <c r="T12" s="381" t="s">
        <v>3126</v>
      </c>
      <c r="U12" s="382" t="b">
        <v>0</v>
      </c>
      <c r="V12" s="203" t="b">
        <v>0</v>
      </c>
      <c r="W12" s="2287"/>
      <c r="X12" s="2345"/>
      <c r="Y12" s="466">
        <f>'03 食事申込書'!BT111</f>
        <v>0</v>
      </c>
      <c r="Z12" s="467">
        <f>'03 食事申込書'!BV111</f>
        <v>0</v>
      </c>
      <c r="AA12" s="2239">
        <f>'03 食事申込書'!BW111</f>
        <v>0</v>
      </c>
      <c r="AB12" s="2240"/>
      <c r="AC12" s="2240"/>
      <c r="AD12" s="468">
        <f t="shared" si="0"/>
        <v>0</v>
      </c>
      <c r="AE12" s="462">
        <f>'03 食事申込書'!BY111</f>
        <v>0</v>
      </c>
      <c r="AF12" s="2160"/>
      <c r="AG12" s="2158"/>
      <c r="AH12" s="2159"/>
      <c r="AI12" s="2157"/>
      <c r="AJ12" s="2158"/>
      <c r="AK12" s="2159"/>
      <c r="AL12" s="2157"/>
      <c r="AM12" s="2158"/>
      <c r="AN12" s="2159"/>
      <c r="AO12" s="2157"/>
      <c r="AP12" s="2158"/>
      <c r="AQ12" s="2159"/>
      <c r="AR12" s="2157"/>
      <c r="AS12" s="2158"/>
      <c r="AT12" s="2159"/>
      <c r="AU12" s="2157"/>
      <c r="AV12" s="2158"/>
      <c r="AW12" s="2159"/>
      <c r="AX12" s="2190"/>
      <c r="AY12" s="2190"/>
      <c r="AZ12" s="2578"/>
      <c r="BA12" s="465">
        <f>IF('03 食事申込書'!BY111=AF12+AL12+AI12+AO12+AR12+AU12+AX12,AD12*AE12,"人数を再確認！")</f>
        <v>0</v>
      </c>
      <c r="BB12" s="2213"/>
      <c r="BC12" s="2214"/>
      <c r="BD12" s="2217" t="s">
        <v>214</v>
      </c>
      <c r="BE12" s="2218"/>
      <c r="BF12" s="2218"/>
      <c r="BG12" s="2219"/>
      <c r="BH12" s="2528" t="s">
        <v>2849</v>
      </c>
      <c r="BI12" s="2529"/>
      <c r="BJ12" s="2529"/>
      <c r="BK12" s="2529"/>
      <c r="BL12" s="2529"/>
      <c r="BM12" s="2529"/>
      <c r="BN12" s="2529"/>
      <c r="BO12" s="2529"/>
      <c r="BP12" s="2529"/>
      <c r="BQ12" s="2529"/>
      <c r="BR12" s="2530"/>
      <c r="BS12" s="498" t="s">
        <v>208</v>
      </c>
      <c r="BT12" s="380" t="s">
        <v>208</v>
      </c>
      <c r="BU12" s="381" t="s">
        <v>209</v>
      </c>
      <c r="BV12" s="500"/>
      <c r="BW12" s="501"/>
      <c r="BX12" s="2287"/>
      <c r="BY12" s="2345"/>
      <c r="BZ12" s="466">
        <f>'03 食事申込書'!DQ111</f>
        <v>0</v>
      </c>
      <c r="CA12" s="467">
        <f>'03 食事申込書'!DS111</f>
        <v>0</v>
      </c>
      <c r="CB12" s="2224">
        <f>'03 食事申込書'!DT111</f>
        <v>0</v>
      </c>
      <c r="CC12" s="2225"/>
      <c r="CD12" s="2225"/>
      <c r="CE12" s="471">
        <f>IF(ISERROR(VLOOKUP(CB12,EY3:EZ58,2,FALSE)),0,VLOOKUP(CB12,EY3:EZ58,2,FALSE))</f>
        <v>0</v>
      </c>
      <c r="CF12" s="462">
        <f>'03 食事申込書'!DV111</f>
        <v>0</v>
      </c>
      <c r="CG12" s="2160"/>
      <c r="CH12" s="2158"/>
      <c r="CI12" s="2159"/>
      <c r="CJ12" s="2157"/>
      <c r="CK12" s="2158"/>
      <c r="CL12" s="2159"/>
      <c r="CM12" s="2157"/>
      <c r="CN12" s="2158"/>
      <c r="CO12" s="2159"/>
      <c r="CP12" s="2157"/>
      <c r="CQ12" s="2158"/>
      <c r="CR12" s="2159"/>
      <c r="CS12" s="2157"/>
      <c r="CT12" s="2158"/>
      <c r="CU12" s="2159"/>
      <c r="CV12" s="469"/>
      <c r="CW12" s="470"/>
      <c r="CX12" s="817">
        <f>IF('03 食事申込書'!DV111=CG12+CM12+CJ12+CP12+CS12+CV12+CW12,CE12*CF12,"人数を再確認！")</f>
        <v>0</v>
      </c>
      <c r="CY12" s="19" t="s">
        <v>47</v>
      </c>
      <c r="CZ12" s="909">
        <v>2700</v>
      </c>
      <c r="DA12" s="19"/>
      <c r="DB12" s="23" t="s">
        <v>210</v>
      </c>
      <c r="DC12" s="903">
        <v>630</v>
      </c>
      <c r="DD12" s="914"/>
      <c r="DE12" s="18"/>
      <c r="DF12" s="19"/>
      <c r="DG12" s="84"/>
      <c r="DH12" s="83"/>
      <c r="DI12" s="83"/>
      <c r="DJ12" s="83"/>
      <c r="DK12" s="83"/>
      <c r="DL12" s="83"/>
      <c r="DM12" s="83"/>
    </row>
    <row r="13" spans="1:117" ht="27" customHeight="1">
      <c r="A13" s="2213"/>
      <c r="B13" s="2214"/>
      <c r="C13" s="2217" t="s">
        <v>216</v>
      </c>
      <c r="D13" s="2218"/>
      <c r="E13" s="2218"/>
      <c r="F13" s="2219"/>
      <c r="G13" s="2244"/>
      <c r="H13" s="2245"/>
      <c r="I13" s="2245"/>
      <c r="J13" s="2245"/>
      <c r="K13" s="2245"/>
      <c r="L13" s="2245"/>
      <c r="M13" s="2245"/>
      <c r="N13" s="2245"/>
      <c r="O13" s="2245"/>
      <c r="P13" s="2245"/>
      <c r="Q13" s="2246"/>
      <c r="R13" s="379" t="s">
        <v>208</v>
      </c>
      <c r="S13" s="380" t="s">
        <v>208</v>
      </c>
      <c r="T13" s="381" t="s">
        <v>3126</v>
      </c>
      <c r="U13" s="382" t="b">
        <v>0</v>
      </c>
      <c r="V13" s="203" t="b">
        <v>0</v>
      </c>
      <c r="W13" s="2287"/>
      <c r="X13" s="2345"/>
      <c r="Y13" s="466">
        <f>'03 食事申込書'!BT112</f>
        <v>0</v>
      </c>
      <c r="Z13" s="467">
        <f>'03 食事申込書'!BV112</f>
        <v>0</v>
      </c>
      <c r="AA13" s="2239">
        <f>'03 食事申込書'!BW112</f>
        <v>0</v>
      </c>
      <c r="AB13" s="2240"/>
      <c r="AC13" s="2240"/>
      <c r="AD13" s="468">
        <f t="shared" si="0"/>
        <v>0</v>
      </c>
      <c r="AE13" s="462">
        <f>'03 食事申込書'!BY112</f>
        <v>0</v>
      </c>
      <c r="AF13" s="2160"/>
      <c r="AG13" s="2158"/>
      <c r="AH13" s="2159"/>
      <c r="AI13" s="2157"/>
      <c r="AJ13" s="2158"/>
      <c r="AK13" s="2159"/>
      <c r="AL13" s="2157"/>
      <c r="AM13" s="2158"/>
      <c r="AN13" s="2159"/>
      <c r="AO13" s="2157"/>
      <c r="AP13" s="2158"/>
      <c r="AQ13" s="2159"/>
      <c r="AR13" s="2157"/>
      <c r="AS13" s="2158"/>
      <c r="AT13" s="2159"/>
      <c r="AU13" s="2157"/>
      <c r="AV13" s="2158"/>
      <c r="AW13" s="2159"/>
      <c r="AX13" s="2190"/>
      <c r="AY13" s="2190"/>
      <c r="AZ13" s="2578"/>
      <c r="BA13" s="465">
        <f>IF('03 食事申込書'!BY112=AF13+AL13+AI13+AO13+AR13+AU13+AX13,AD13*AE13,"人数を再確認！")</f>
        <v>0</v>
      </c>
      <c r="BB13" s="2213"/>
      <c r="BC13" s="2214"/>
      <c r="BD13" s="2217" t="s">
        <v>216</v>
      </c>
      <c r="BE13" s="2218"/>
      <c r="BF13" s="2218"/>
      <c r="BG13" s="2219"/>
      <c r="BH13" s="2528" t="s">
        <v>3203</v>
      </c>
      <c r="BI13" s="2529"/>
      <c r="BJ13" s="2529"/>
      <c r="BK13" s="2529"/>
      <c r="BL13" s="2529"/>
      <c r="BM13" s="2529"/>
      <c r="BN13" s="2529"/>
      <c r="BO13" s="2529"/>
      <c r="BP13" s="2529"/>
      <c r="BQ13" s="2529"/>
      <c r="BR13" s="2530"/>
      <c r="BS13" s="498" t="s">
        <v>208</v>
      </c>
      <c r="BT13" s="502" t="s">
        <v>208</v>
      </c>
      <c r="BU13" s="381" t="s">
        <v>209</v>
      </c>
      <c r="BV13" s="500"/>
      <c r="BW13" s="501"/>
      <c r="BX13" s="2287"/>
      <c r="BY13" s="2345"/>
      <c r="BZ13" s="466">
        <f>'03 食事申込書'!DQ112</f>
        <v>0</v>
      </c>
      <c r="CA13" s="467">
        <f>'03 食事申込書'!DS112</f>
        <v>0</v>
      </c>
      <c r="CB13" s="2224">
        <f>'03 食事申込書'!DT112</f>
        <v>0</v>
      </c>
      <c r="CC13" s="2225"/>
      <c r="CD13" s="2225"/>
      <c r="CE13" s="472">
        <f>IF(ISERROR(VLOOKUP(CB13,EY3:EZ58,2,FALSE)),0,VLOOKUP(CB13,EY3:EZ58,2,FALSE))</f>
        <v>0</v>
      </c>
      <c r="CF13" s="462">
        <f>'03 食事申込書'!DV112</f>
        <v>0</v>
      </c>
      <c r="CG13" s="2160"/>
      <c r="CH13" s="2158"/>
      <c r="CI13" s="2159"/>
      <c r="CJ13" s="2157"/>
      <c r="CK13" s="2158"/>
      <c r="CL13" s="2159"/>
      <c r="CM13" s="2157"/>
      <c r="CN13" s="2158"/>
      <c r="CO13" s="2159"/>
      <c r="CP13" s="2157"/>
      <c r="CQ13" s="2158"/>
      <c r="CR13" s="2159"/>
      <c r="CS13" s="2157"/>
      <c r="CT13" s="2158"/>
      <c r="CU13" s="2159"/>
      <c r="CV13" s="469"/>
      <c r="CW13" s="470"/>
      <c r="CX13" s="817">
        <f>IF('03 食事申込書'!DV112=CG13+CM13+CJ13+CP13+CS13+CV13+CW13,CE13*CF13,"人数を再確認！")</f>
        <v>0</v>
      </c>
      <c r="CY13" s="19" t="s">
        <v>48</v>
      </c>
      <c r="CZ13" s="909">
        <v>4400</v>
      </c>
      <c r="DA13" s="19"/>
      <c r="DB13" s="23" t="s">
        <v>213</v>
      </c>
      <c r="DC13" s="903">
        <v>670</v>
      </c>
      <c r="DD13" s="914"/>
      <c r="DE13" s="18"/>
      <c r="DF13" s="19"/>
      <c r="DG13" s="84"/>
      <c r="DH13" s="83"/>
      <c r="DI13" s="83"/>
      <c r="DJ13" s="83"/>
      <c r="DK13" s="83"/>
      <c r="DL13" s="83"/>
      <c r="DM13" s="83"/>
    </row>
    <row r="14" spans="1:117" ht="27" customHeight="1">
      <c r="A14" s="2213"/>
      <c r="B14" s="2214"/>
      <c r="C14" s="2217" t="s">
        <v>218</v>
      </c>
      <c r="D14" s="2218"/>
      <c r="E14" s="2218"/>
      <c r="F14" s="2219"/>
      <c r="G14" s="2244"/>
      <c r="H14" s="2245"/>
      <c r="I14" s="2245"/>
      <c r="J14" s="2245"/>
      <c r="K14" s="2245"/>
      <c r="L14" s="2245"/>
      <c r="M14" s="2245"/>
      <c r="N14" s="2245"/>
      <c r="O14" s="2245"/>
      <c r="P14" s="2245"/>
      <c r="Q14" s="2246"/>
      <c r="R14" s="379" t="s">
        <v>208</v>
      </c>
      <c r="S14" s="380" t="s">
        <v>208</v>
      </c>
      <c r="T14" s="381" t="s">
        <v>3126</v>
      </c>
      <c r="U14" s="382" t="b">
        <v>0</v>
      </c>
      <c r="V14" s="203" t="b">
        <v>0</v>
      </c>
      <c r="W14" s="2287"/>
      <c r="X14" s="2345"/>
      <c r="Y14" s="466">
        <f>'03 食事申込書'!BT113</f>
        <v>0</v>
      </c>
      <c r="Z14" s="467">
        <f>'03 食事申込書'!BV113</f>
        <v>0</v>
      </c>
      <c r="AA14" s="2239">
        <f>'03 食事申込書'!BW113</f>
        <v>0</v>
      </c>
      <c r="AB14" s="2240"/>
      <c r="AC14" s="2240"/>
      <c r="AD14" s="468">
        <f t="shared" si="0"/>
        <v>0</v>
      </c>
      <c r="AE14" s="462">
        <f>'03 食事申込書'!BY113</f>
        <v>0</v>
      </c>
      <c r="AF14" s="2160"/>
      <c r="AG14" s="2158"/>
      <c r="AH14" s="2159"/>
      <c r="AI14" s="2157"/>
      <c r="AJ14" s="2158"/>
      <c r="AK14" s="2159"/>
      <c r="AL14" s="2157"/>
      <c r="AM14" s="2158"/>
      <c r="AN14" s="2159"/>
      <c r="AO14" s="2157"/>
      <c r="AP14" s="2158"/>
      <c r="AQ14" s="2159"/>
      <c r="AR14" s="2157"/>
      <c r="AS14" s="2158"/>
      <c r="AT14" s="2159"/>
      <c r="AU14" s="2157"/>
      <c r="AV14" s="2158"/>
      <c r="AW14" s="2159"/>
      <c r="AX14" s="2190"/>
      <c r="AY14" s="2190"/>
      <c r="AZ14" s="2578"/>
      <c r="BA14" s="465">
        <f>IF('03 食事申込書'!BY113=AF14+AL14+AI14+AO14+AR14+AU14+AX14,AD14*AE14,"人数を再確認！")</f>
        <v>0</v>
      </c>
      <c r="BB14" s="2213"/>
      <c r="BC14" s="2214"/>
      <c r="BD14" s="2217" t="s">
        <v>218</v>
      </c>
      <c r="BE14" s="2218"/>
      <c r="BF14" s="2218"/>
      <c r="BG14" s="2219"/>
      <c r="BH14" s="2528" t="s">
        <v>2852</v>
      </c>
      <c r="BI14" s="2529"/>
      <c r="BJ14" s="2529"/>
      <c r="BK14" s="2529"/>
      <c r="BL14" s="2529"/>
      <c r="BM14" s="2529"/>
      <c r="BN14" s="2529"/>
      <c r="BO14" s="2529"/>
      <c r="BP14" s="2529"/>
      <c r="BQ14" s="2529"/>
      <c r="BR14" s="2530"/>
      <c r="BS14" s="498" t="s">
        <v>208</v>
      </c>
      <c r="BT14" s="502" t="s">
        <v>208</v>
      </c>
      <c r="BU14" s="381" t="s">
        <v>209</v>
      </c>
      <c r="BV14" s="500"/>
      <c r="BW14" s="501"/>
      <c r="BX14" s="2287"/>
      <c r="BY14" s="2345"/>
      <c r="BZ14" s="466">
        <f>'03 食事申込書'!DQ113</f>
        <v>0</v>
      </c>
      <c r="CA14" s="467">
        <f>'03 食事申込書'!DS113</f>
        <v>0</v>
      </c>
      <c r="CB14" s="2224">
        <f>'03 食事申込書'!DT113</f>
        <v>0</v>
      </c>
      <c r="CC14" s="2225"/>
      <c r="CD14" s="2225"/>
      <c r="CE14" s="472">
        <f>IF(ISERROR(VLOOKUP(CB14,EY3:EZ58,2,FALSE)),0,VLOOKUP(CB14,EY3:EZ58,2,FALSE))</f>
        <v>0</v>
      </c>
      <c r="CF14" s="462">
        <f>'03 食事申込書'!DV113</f>
        <v>0</v>
      </c>
      <c r="CG14" s="2160"/>
      <c r="CH14" s="2158"/>
      <c r="CI14" s="2159"/>
      <c r="CJ14" s="2157"/>
      <c r="CK14" s="2158"/>
      <c r="CL14" s="2159"/>
      <c r="CM14" s="2157"/>
      <c r="CN14" s="2158"/>
      <c r="CO14" s="2159"/>
      <c r="CP14" s="2157"/>
      <c r="CQ14" s="2158"/>
      <c r="CR14" s="2159"/>
      <c r="CS14" s="2157"/>
      <c r="CT14" s="2158"/>
      <c r="CU14" s="2159"/>
      <c r="CV14" s="469"/>
      <c r="CW14" s="470"/>
      <c r="CX14" s="817">
        <f>IF('03 食事申込書'!DV113=CG14+CM14+CJ14+CP14+CS14+CV14+CW14,CE14*CF14,"人数を再確認！")</f>
        <v>0</v>
      </c>
      <c r="CY14" s="912"/>
      <c r="CZ14" s="912"/>
      <c r="DA14" s="19"/>
      <c r="DB14" s="18" t="s">
        <v>215</v>
      </c>
      <c r="DC14" s="19"/>
      <c r="DD14" s="914"/>
      <c r="DE14" s="18"/>
      <c r="DF14" s="19"/>
      <c r="DG14" s="84"/>
      <c r="DH14" s="83"/>
      <c r="DI14" s="83"/>
      <c r="DJ14" s="83"/>
      <c r="DK14" s="83"/>
      <c r="DL14" s="83"/>
      <c r="DM14" s="83"/>
    </row>
    <row r="15" spans="1:117" ht="27" customHeight="1">
      <c r="A15" s="2213"/>
      <c r="B15" s="2214"/>
      <c r="C15" s="2217" t="s">
        <v>1370</v>
      </c>
      <c r="D15" s="2218"/>
      <c r="E15" s="2218"/>
      <c r="F15" s="2219"/>
      <c r="G15" s="2173"/>
      <c r="H15" s="2174"/>
      <c r="I15" s="2174"/>
      <c r="J15" s="2174"/>
      <c r="K15" s="2174"/>
      <c r="L15" s="2174"/>
      <c r="M15" s="2174"/>
      <c r="N15" s="2174"/>
      <c r="O15" s="2174"/>
      <c r="P15" s="2174"/>
      <c r="Q15" s="2175"/>
      <c r="R15" s="383" t="s">
        <v>208</v>
      </c>
      <c r="S15" s="384" t="s">
        <v>208</v>
      </c>
      <c r="T15" s="385" t="s">
        <v>3126</v>
      </c>
      <c r="U15" s="382" t="b">
        <v>0</v>
      </c>
      <c r="V15" s="203" t="b">
        <v>0</v>
      </c>
      <c r="W15" s="2287"/>
      <c r="X15" s="2345"/>
      <c r="Y15" s="466">
        <f>'03 食事申込書'!BT114</f>
        <v>0</v>
      </c>
      <c r="Z15" s="467">
        <f>'03 食事申込書'!BV114</f>
        <v>0</v>
      </c>
      <c r="AA15" s="2239">
        <f>'03 食事申込書'!BW114</f>
        <v>0</v>
      </c>
      <c r="AB15" s="2240"/>
      <c r="AC15" s="2240"/>
      <c r="AD15" s="468">
        <f t="shared" si="0"/>
        <v>0</v>
      </c>
      <c r="AE15" s="462">
        <f>'03 食事申込書'!BY114</f>
        <v>0</v>
      </c>
      <c r="AF15" s="2160"/>
      <c r="AG15" s="2158"/>
      <c r="AH15" s="2159"/>
      <c r="AI15" s="2157"/>
      <c r="AJ15" s="2158"/>
      <c r="AK15" s="2159"/>
      <c r="AL15" s="2157"/>
      <c r="AM15" s="2158"/>
      <c r="AN15" s="2159"/>
      <c r="AO15" s="2157"/>
      <c r="AP15" s="2158"/>
      <c r="AQ15" s="2159"/>
      <c r="AR15" s="2157"/>
      <c r="AS15" s="2158"/>
      <c r="AT15" s="2159"/>
      <c r="AU15" s="2157"/>
      <c r="AV15" s="2158"/>
      <c r="AW15" s="2159"/>
      <c r="AX15" s="2190"/>
      <c r="AY15" s="2190"/>
      <c r="AZ15" s="2578"/>
      <c r="BA15" s="465">
        <f>IF('03 食事申込書'!BY114=AF15+AL15+AI15+AO15+AR15+AU15+AX15,AD15*AE15,"人数を再確認！")</f>
        <v>0</v>
      </c>
      <c r="BB15" s="2213"/>
      <c r="BC15" s="2214"/>
      <c r="BD15" s="2217" t="s">
        <v>1370</v>
      </c>
      <c r="BE15" s="2218"/>
      <c r="BF15" s="2218"/>
      <c r="BG15" s="2219"/>
      <c r="BH15" s="2542" t="s">
        <v>2850</v>
      </c>
      <c r="BI15" s="2543"/>
      <c r="BJ15" s="2543"/>
      <c r="BK15" s="2543"/>
      <c r="BL15" s="2543"/>
      <c r="BM15" s="2543"/>
      <c r="BN15" s="2543"/>
      <c r="BO15" s="2543"/>
      <c r="BP15" s="2543"/>
      <c r="BQ15" s="2543"/>
      <c r="BR15" s="2544"/>
      <c r="BS15" s="503" t="s">
        <v>208</v>
      </c>
      <c r="BT15" s="502" t="s">
        <v>208</v>
      </c>
      <c r="BU15" s="381" t="s">
        <v>209</v>
      </c>
      <c r="BV15" s="500"/>
      <c r="BW15" s="501"/>
      <c r="BX15" s="2287"/>
      <c r="BY15" s="2345"/>
      <c r="BZ15" s="466">
        <f>'03 食事申込書'!DQ114</f>
        <v>0</v>
      </c>
      <c r="CA15" s="467">
        <f>'03 食事申込書'!DS114</f>
        <v>0</v>
      </c>
      <c r="CB15" s="2224">
        <f>'03 食事申込書'!DT114</f>
        <v>0</v>
      </c>
      <c r="CC15" s="2225"/>
      <c r="CD15" s="2225"/>
      <c r="CE15" s="468">
        <f>IF(ISERROR(VLOOKUP(CB15,EY3:EZ58,2,FALSE)),0,VLOOKUP(CB15,EY3:EZ58,2,FALSE))</f>
        <v>0</v>
      </c>
      <c r="CF15" s="462">
        <f>'03 食事申込書'!DV114</f>
        <v>0</v>
      </c>
      <c r="CG15" s="2160"/>
      <c r="CH15" s="2158"/>
      <c r="CI15" s="2159"/>
      <c r="CJ15" s="2157"/>
      <c r="CK15" s="2158"/>
      <c r="CL15" s="2159"/>
      <c r="CM15" s="2157"/>
      <c r="CN15" s="2158"/>
      <c r="CO15" s="2159"/>
      <c r="CP15" s="2157"/>
      <c r="CQ15" s="2158"/>
      <c r="CR15" s="2159"/>
      <c r="CS15" s="2157"/>
      <c r="CT15" s="2158"/>
      <c r="CU15" s="2159"/>
      <c r="CV15" s="469"/>
      <c r="CW15" s="470"/>
      <c r="CX15" s="817">
        <f>IF('03 食事申込書'!DV114=CG15+CM15+CJ15+CP15+CS15+CV15+CW15,CE15*CF15,"人数を再確認！")</f>
        <v>0</v>
      </c>
      <c r="CY15" s="915" t="s">
        <v>217</v>
      </c>
      <c r="CZ15" s="916"/>
      <c r="DA15" s="19"/>
      <c r="DB15" s="23" t="s">
        <v>2901</v>
      </c>
      <c r="DC15" s="903">
        <v>550</v>
      </c>
      <c r="DD15" s="19"/>
      <c r="DE15" s="18"/>
      <c r="DF15" s="19"/>
      <c r="DG15" s="84"/>
      <c r="DH15" s="83"/>
      <c r="DI15" s="83"/>
      <c r="DJ15" s="83"/>
      <c r="DK15" s="83"/>
      <c r="DL15" s="83"/>
      <c r="DM15" s="83"/>
    </row>
    <row r="16" spans="1:117" ht="27" customHeight="1" thickBot="1">
      <c r="A16" s="2215"/>
      <c r="B16" s="2216"/>
      <c r="C16" s="2217" t="s">
        <v>1371</v>
      </c>
      <c r="D16" s="2218"/>
      <c r="E16" s="2218"/>
      <c r="F16" s="2219"/>
      <c r="G16" s="2306"/>
      <c r="H16" s="2307"/>
      <c r="I16" s="2307"/>
      <c r="J16" s="2307"/>
      <c r="K16" s="2307"/>
      <c r="L16" s="2307"/>
      <c r="M16" s="2307"/>
      <c r="N16" s="2307"/>
      <c r="O16" s="2307"/>
      <c r="P16" s="2307"/>
      <c r="Q16" s="2308"/>
      <c r="R16" s="386" t="s">
        <v>208</v>
      </c>
      <c r="S16" s="387" t="s">
        <v>208</v>
      </c>
      <c r="T16" s="388" t="s">
        <v>3126</v>
      </c>
      <c r="U16" s="389" t="b">
        <v>0</v>
      </c>
      <c r="V16" s="203" t="b">
        <v>0</v>
      </c>
      <c r="W16" s="2287"/>
      <c r="X16" s="2345"/>
      <c r="Y16" s="466">
        <f>'03 食事申込書'!BT115</f>
        <v>0</v>
      </c>
      <c r="Z16" s="467">
        <f>'03 食事申込書'!BV115</f>
        <v>0</v>
      </c>
      <c r="AA16" s="2239">
        <f>'03 食事申込書'!BW115</f>
        <v>0</v>
      </c>
      <c r="AB16" s="2240"/>
      <c r="AC16" s="2240"/>
      <c r="AD16" s="468">
        <f t="shared" si="0"/>
        <v>0</v>
      </c>
      <c r="AE16" s="462">
        <f>'03 食事申込書'!BY115</f>
        <v>0</v>
      </c>
      <c r="AF16" s="2160"/>
      <c r="AG16" s="2158"/>
      <c r="AH16" s="2159"/>
      <c r="AI16" s="2157"/>
      <c r="AJ16" s="2158"/>
      <c r="AK16" s="2159"/>
      <c r="AL16" s="2157"/>
      <c r="AM16" s="2158"/>
      <c r="AN16" s="2159"/>
      <c r="AO16" s="2157"/>
      <c r="AP16" s="2158"/>
      <c r="AQ16" s="2159"/>
      <c r="AR16" s="2157"/>
      <c r="AS16" s="2158"/>
      <c r="AT16" s="2159"/>
      <c r="AU16" s="2157"/>
      <c r="AV16" s="2158"/>
      <c r="AW16" s="2159"/>
      <c r="AX16" s="2190"/>
      <c r="AY16" s="2190"/>
      <c r="AZ16" s="2578"/>
      <c r="BA16" s="465">
        <f>IF('03 食事申込書'!BY115=AF16+AL16+AI16+AO16+AR16+AU16+AX16,AD16*AE16,"人数を再確認！")</f>
        <v>0</v>
      </c>
      <c r="BB16" s="2215"/>
      <c r="BC16" s="2216"/>
      <c r="BD16" s="2217" t="s">
        <v>1371</v>
      </c>
      <c r="BE16" s="2218"/>
      <c r="BF16" s="2218"/>
      <c r="BG16" s="2219"/>
      <c r="BH16" s="2534"/>
      <c r="BI16" s="2535"/>
      <c r="BJ16" s="2535"/>
      <c r="BK16" s="2535"/>
      <c r="BL16" s="2535"/>
      <c r="BM16" s="2535"/>
      <c r="BN16" s="2535"/>
      <c r="BO16" s="2535"/>
      <c r="BP16" s="2535"/>
      <c r="BQ16" s="2535"/>
      <c r="BR16" s="2536"/>
      <c r="BS16" s="504" t="s">
        <v>208</v>
      </c>
      <c r="BT16" s="387" t="s">
        <v>208</v>
      </c>
      <c r="BU16" s="388" t="s">
        <v>209</v>
      </c>
      <c r="BV16" s="505"/>
      <c r="BW16" s="501"/>
      <c r="BX16" s="2287"/>
      <c r="BY16" s="2345"/>
      <c r="BZ16" s="466">
        <f>'03 食事申込書'!DQ115</f>
        <v>0</v>
      </c>
      <c r="CA16" s="467">
        <f>'03 食事申込書'!DS115</f>
        <v>0</v>
      </c>
      <c r="CB16" s="2224">
        <f>'03 食事申込書'!DT115</f>
        <v>0</v>
      </c>
      <c r="CC16" s="2225"/>
      <c r="CD16" s="2225"/>
      <c r="CE16" s="471">
        <f>IF(ISERROR(VLOOKUP(CB16,EY3:EZ58,2,FALSE)),0,VLOOKUP(CB16,EY3:EZ58,2,FALSE))</f>
        <v>0</v>
      </c>
      <c r="CF16" s="462">
        <f>'03 食事申込書'!DV115</f>
        <v>0</v>
      </c>
      <c r="CG16" s="2160"/>
      <c r="CH16" s="2158"/>
      <c r="CI16" s="2159"/>
      <c r="CJ16" s="2157"/>
      <c r="CK16" s="2158"/>
      <c r="CL16" s="2159"/>
      <c r="CM16" s="2157"/>
      <c r="CN16" s="2158"/>
      <c r="CO16" s="2159"/>
      <c r="CP16" s="2157"/>
      <c r="CQ16" s="2158"/>
      <c r="CR16" s="2159"/>
      <c r="CS16" s="2157"/>
      <c r="CT16" s="2158"/>
      <c r="CU16" s="2159"/>
      <c r="CV16" s="469"/>
      <c r="CW16" s="470"/>
      <c r="CX16" s="817">
        <f>IF('03 食事申込書'!DV115=CG16+CM16+CJ16+CP16+CS16+CV16+CW16,CE16*CF16,"人数を再確認！")</f>
        <v>0</v>
      </c>
      <c r="CY16" s="912"/>
      <c r="CZ16" s="917" t="s">
        <v>113</v>
      </c>
      <c r="DA16" s="19"/>
      <c r="DB16" s="23" t="s">
        <v>2902</v>
      </c>
      <c r="DC16" s="903">
        <v>650</v>
      </c>
      <c r="DD16" s="914"/>
      <c r="DE16" s="84"/>
      <c r="DF16" s="84"/>
      <c r="DG16" s="84"/>
      <c r="DH16" s="83"/>
      <c r="DI16" s="83"/>
      <c r="DJ16" s="83"/>
      <c r="DK16" s="83"/>
      <c r="DL16" s="83"/>
      <c r="DM16" s="83"/>
    </row>
    <row r="17" spans="1:117" ht="27" customHeight="1" thickTop="1">
      <c r="A17" s="2316" t="s">
        <v>1372</v>
      </c>
      <c r="B17" s="2316"/>
      <c r="C17" s="2316"/>
      <c r="D17" s="2316"/>
      <c r="E17" s="2316"/>
      <c r="F17" s="2316"/>
      <c r="G17" s="2316"/>
      <c r="H17" s="2316"/>
      <c r="I17" s="2316"/>
      <c r="J17" s="2316"/>
      <c r="K17" s="2316"/>
      <c r="L17" s="2316"/>
      <c r="M17" s="2316"/>
      <c r="N17" s="2316"/>
      <c r="O17" s="2316"/>
      <c r="P17" s="2316"/>
      <c r="Q17" s="2316"/>
      <c r="R17" s="2316"/>
      <c r="S17" s="2316"/>
      <c r="T17" s="2316"/>
      <c r="U17" s="2316"/>
      <c r="V17" s="22"/>
      <c r="W17" s="2287"/>
      <c r="X17" s="2345"/>
      <c r="Y17" s="466">
        <f>'03 食事申込書'!BT116</f>
        <v>0</v>
      </c>
      <c r="Z17" s="467">
        <f>'03 食事申込書'!BV116</f>
        <v>0</v>
      </c>
      <c r="AA17" s="2239">
        <f>'03 食事申込書'!BW116</f>
        <v>0</v>
      </c>
      <c r="AB17" s="2240"/>
      <c r="AC17" s="2240"/>
      <c r="AD17" s="468">
        <f t="shared" si="0"/>
        <v>0</v>
      </c>
      <c r="AE17" s="462">
        <f>'03 食事申込書'!BY116</f>
        <v>0</v>
      </c>
      <c r="AF17" s="2160"/>
      <c r="AG17" s="2158"/>
      <c r="AH17" s="2159"/>
      <c r="AI17" s="2157"/>
      <c r="AJ17" s="2158"/>
      <c r="AK17" s="2159"/>
      <c r="AL17" s="2157"/>
      <c r="AM17" s="2158"/>
      <c r="AN17" s="2159"/>
      <c r="AO17" s="2157"/>
      <c r="AP17" s="2158"/>
      <c r="AQ17" s="2159"/>
      <c r="AR17" s="2157"/>
      <c r="AS17" s="2158"/>
      <c r="AT17" s="2159"/>
      <c r="AU17" s="2157"/>
      <c r="AV17" s="2158"/>
      <c r="AW17" s="2159"/>
      <c r="AX17" s="2190"/>
      <c r="AY17" s="2190"/>
      <c r="AZ17" s="2578"/>
      <c r="BA17" s="465">
        <f>IF('03 食事申込書'!BY116=AF17+AL17+AI17+AO17+AR17+AU17+AX17,AD17*AE17,"人数を再確認！")</f>
        <v>0</v>
      </c>
      <c r="BB17" s="2316" t="s">
        <v>1372</v>
      </c>
      <c r="BC17" s="2316"/>
      <c r="BD17" s="2316"/>
      <c r="BE17" s="2316"/>
      <c r="BF17" s="2316"/>
      <c r="BG17" s="2316"/>
      <c r="BH17" s="2316"/>
      <c r="BI17" s="2316"/>
      <c r="BJ17" s="2316"/>
      <c r="BK17" s="2316"/>
      <c r="BL17" s="2316"/>
      <c r="BM17" s="2316"/>
      <c r="BN17" s="2316"/>
      <c r="BO17" s="2316"/>
      <c r="BP17" s="2316"/>
      <c r="BQ17" s="2316"/>
      <c r="BR17" s="2316"/>
      <c r="BS17" s="2316"/>
      <c r="BT17" s="2316"/>
      <c r="BU17" s="2316"/>
      <c r="BV17" s="2316"/>
      <c r="BW17" s="506"/>
      <c r="BX17" s="2287"/>
      <c r="BY17" s="2345"/>
      <c r="BZ17" s="466">
        <f>'03 食事申込書'!DQ116</f>
        <v>0</v>
      </c>
      <c r="CA17" s="467">
        <f>'03 食事申込書'!DS116</f>
        <v>0</v>
      </c>
      <c r="CB17" s="2224">
        <f>'03 食事申込書'!DT116</f>
        <v>0</v>
      </c>
      <c r="CC17" s="2225"/>
      <c r="CD17" s="2225"/>
      <c r="CE17" s="472">
        <f>IF(ISERROR(VLOOKUP(CB17,EY3:EZ58,2,FALSE)),0,VLOOKUP(CB17,EY3:EZ58,2,FALSE))</f>
        <v>0</v>
      </c>
      <c r="CF17" s="462">
        <f>'03 食事申込書'!DV116</f>
        <v>0</v>
      </c>
      <c r="CG17" s="2160"/>
      <c r="CH17" s="2158"/>
      <c r="CI17" s="2159"/>
      <c r="CJ17" s="2157"/>
      <c r="CK17" s="2158"/>
      <c r="CL17" s="2159"/>
      <c r="CM17" s="2157"/>
      <c r="CN17" s="2158"/>
      <c r="CO17" s="2159"/>
      <c r="CP17" s="2157"/>
      <c r="CQ17" s="2158"/>
      <c r="CR17" s="2159"/>
      <c r="CS17" s="2157"/>
      <c r="CT17" s="2158"/>
      <c r="CU17" s="2159"/>
      <c r="CV17" s="469"/>
      <c r="CW17" s="470"/>
      <c r="CX17" s="817">
        <f>IF('03 食事申込書'!DV116=CG17+CM17+CJ17+CP17+CS17+CV17+CW17,CE17*CF17,"人数を再確認！")</f>
        <v>0</v>
      </c>
      <c r="CY17" s="19"/>
      <c r="CZ17" s="917" t="s">
        <v>114</v>
      </c>
      <c r="DA17" s="19"/>
      <c r="DB17" s="23" t="s">
        <v>2922</v>
      </c>
      <c r="DC17" s="903">
        <v>690</v>
      </c>
      <c r="DD17" s="914"/>
      <c r="DE17" s="84"/>
      <c r="DF17" s="84"/>
      <c r="DG17" s="84"/>
      <c r="DH17" s="83"/>
      <c r="DI17" s="83"/>
      <c r="DJ17" s="83"/>
      <c r="DK17" s="83"/>
      <c r="DL17" s="83"/>
      <c r="DM17" s="83"/>
    </row>
    <row r="18" spans="1:117" ht="27" customHeight="1">
      <c r="A18" s="2316"/>
      <c r="B18" s="2316"/>
      <c r="C18" s="2316"/>
      <c r="D18" s="2316"/>
      <c r="E18" s="2316"/>
      <c r="F18" s="2316"/>
      <c r="G18" s="2316"/>
      <c r="H18" s="2316"/>
      <c r="I18" s="2316"/>
      <c r="J18" s="2316"/>
      <c r="K18" s="2316"/>
      <c r="L18" s="2316"/>
      <c r="M18" s="2316"/>
      <c r="N18" s="2316"/>
      <c r="O18" s="2316"/>
      <c r="P18" s="2316"/>
      <c r="Q18" s="2316"/>
      <c r="R18" s="2316"/>
      <c r="S18" s="2316"/>
      <c r="T18" s="2316"/>
      <c r="U18" s="2316"/>
      <c r="V18" s="22"/>
      <c r="W18" s="2287"/>
      <c r="X18" s="2345"/>
      <c r="Y18" s="466">
        <f>'03 食事申込書'!BT117</f>
        <v>0</v>
      </c>
      <c r="Z18" s="467">
        <f>'03 食事申込書'!BV117</f>
        <v>0</v>
      </c>
      <c r="AA18" s="2239">
        <f>'03 食事申込書'!BW117</f>
        <v>0</v>
      </c>
      <c r="AB18" s="2240"/>
      <c r="AC18" s="2240"/>
      <c r="AD18" s="468">
        <f t="shared" si="0"/>
        <v>0</v>
      </c>
      <c r="AE18" s="462">
        <f>'03 食事申込書'!BY117</f>
        <v>0</v>
      </c>
      <c r="AF18" s="2160"/>
      <c r="AG18" s="2158"/>
      <c r="AH18" s="2159"/>
      <c r="AI18" s="2157"/>
      <c r="AJ18" s="2158"/>
      <c r="AK18" s="2159"/>
      <c r="AL18" s="2157"/>
      <c r="AM18" s="2158"/>
      <c r="AN18" s="2159"/>
      <c r="AO18" s="2157"/>
      <c r="AP18" s="2158"/>
      <c r="AQ18" s="2159"/>
      <c r="AR18" s="2157"/>
      <c r="AS18" s="2158"/>
      <c r="AT18" s="2159"/>
      <c r="AU18" s="2157"/>
      <c r="AV18" s="2158"/>
      <c r="AW18" s="2159"/>
      <c r="AX18" s="2190"/>
      <c r="AY18" s="2190"/>
      <c r="AZ18" s="2578"/>
      <c r="BA18" s="465">
        <f>IF('03 食事申込書'!BY117=AF18+AL18+AI18+AO18+AR18+AU18+AX18,AD18*AE18,"人数を再確認！")</f>
        <v>0</v>
      </c>
      <c r="BB18" s="2316"/>
      <c r="BC18" s="2316"/>
      <c r="BD18" s="2316"/>
      <c r="BE18" s="2316"/>
      <c r="BF18" s="2316"/>
      <c r="BG18" s="2316"/>
      <c r="BH18" s="2316"/>
      <c r="BI18" s="2316"/>
      <c r="BJ18" s="2316"/>
      <c r="BK18" s="2316"/>
      <c r="BL18" s="2316"/>
      <c r="BM18" s="2316"/>
      <c r="BN18" s="2316"/>
      <c r="BO18" s="2316"/>
      <c r="BP18" s="2316"/>
      <c r="BQ18" s="2316"/>
      <c r="BR18" s="2316"/>
      <c r="BS18" s="2316"/>
      <c r="BT18" s="2316"/>
      <c r="BU18" s="2316"/>
      <c r="BV18" s="2316"/>
      <c r="BW18" s="506"/>
      <c r="BX18" s="2287"/>
      <c r="BY18" s="2345"/>
      <c r="BZ18" s="466">
        <f>'03 食事申込書'!DQ117</f>
        <v>0</v>
      </c>
      <c r="CA18" s="467">
        <f>'03 食事申込書'!DS117</f>
        <v>0</v>
      </c>
      <c r="CB18" s="2224">
        <f>'03 食事申込書'!DT117</f>
        <v>0</v>
      </c>
      <c r="CC18" s="2225"/>
      <c r="CD18" s="2225"/>
      <c r="CE18" s="472">
        <f>IF(ISERROR(VLOOKUP(CB18,EY3:EZ58,2,FALSE)),0,VLOOKUP(CB18,EY3:EZ58,2,FALSE))</f>
        <v>0</v>
      </c>
      <c r="CF18" s="462">
        <f>'03 食事申込書'!DV117</f>
        <v>0</v>
      </c>
      <c r="CG18" s="2160"/>
      <c r="CH18" s="2158"/>
      <c r="CI18" s="2159"/>
      <c r="CJ18" s="2157"/>
      <c r="CK18" s="2158"/>
      <c r="CL18" s="2159"/>
      <c r="CM18" s="2157"/>
      <c r="CN18" s="2158"/>
      <c r="CO18" s="2159"/>
      <c r="CP18" s="2157"/>
      <c r="CQ18" s="2158"/>
      <c r="CR18" s="2159"/>
      <c r="CS18" s="2157"/>
      <c r="CT18" s="2158"/>
      <c r="CU18" s="2159"/>
      <c r="CV18" s="469"/>
      <c r="CW18" s="470"/>
      <c r="CX18" s="817">
        <f>IF('03 食事申込書'!DV117=CG18+CM18+CJ18+CP18+CS18+CV18+CW18,CE18*CF18,"人数を再確認！")</f>
        <v>0</v>
      </c>
      <c r="CY18" s="19"/>
      <c r="CZ18" s="917" t="s">
        <v>115</v>
      </c>
      <c r="DA18" s="19"/>
      <c r="DB18" s="23" t="s">
        <v>2904</v>
      </c>
      <c r="DC18" s="903">
        <v>650</v>
      </c>
      <c r="DD18" s="914"/>
      <c r="DE18" s="84"/>
      <c r="DF18" s="84"/>
      <c r="DG18" s="84"/>
      <c r="DH18" s="83"/>
      <c r="DI18" s="83"/>
      <c r="DJ18" s="83"/>
      <c r="DK18" s="83"/>
      <c r="DL18" s="83"/>
      <c r="DM18" s="83"/>
    </row>
    <row r="19" spans="1:117" ht="27" customHeight="1">
      <c r="A19" s="2316"/>
      <c r="B19" s="2316"/>
      <c r="C19" s="2316"/>
      <c r="D19" s="2316"/>
      <c r="E19" s="2316"/>
      <c r="F19" s="2316"/>
      <c r="G19" s="2316"/>
      <c r="H19" s="2316"/>
      <c r="I19" s="2316"/>
      <c r="J19" s="2316"/>
      <c r="K19" s="2316"/>
      <c r="L19" s="2316"/>
      <c r="M19" s="2316"/>
      <c r="N19" s="2316"/>
      <c r="O19" s="2316"/>
      <c r="P19" s="2316"/>
      <c r="Q19" s="2316"/>
      <c r="R19" s="2316"/>
      <c r="S19" s="2316"/>
      <c r="T19" s="2316"/>
      <c r="U19" s="2316"/>
      <c r="V19" s="22"/>
      <c r="W19" s="2287"/>
      <c r="X19" s="2345"/>
      <c r="Y19" s="466">
        <f>'03 食事申込書'!BT118</f>
        <v>0</v>
      </c>
      <c r="Z19" s="467">
        <f>'03 食事申込書'!BV118</f>
        <v>0</v>
      </c>
      <c r="AA19" s="2239">
        <f>'03 食事申込書'!BW118</f>
        <v>0</v>
      </c>
      <c r="AB19" s="2240"/>
      <c r="AC19" s="2240"/>
      <c r="AD19" s="468">
        <f t="shared" si="0"/>
        <v>0</v>
      </c>
      <c r="AE19" s="462">
        <f>'03 食事申込書'!BY118</f>
        <v>0</v>
      </c>
      <c r="AF19" s="2160"/>
      <c r="AG19" s="2158"/>
      <c r="AH19" s="2159"/>
      <c r="AI19" s="2157"/>
      <c r="AJ19" s="2158"/>
      <c r="AK19" s="2159"/>
      <c r="AL19" s="2157"/>
      <c r="AM19" s="2158"/>
      <c r="AN19" s="2159"/>
      <c r="AO19" s="2157"/>
      <c r="AP19" s="2158"/>
      <c r="AQ19" s="2159"/>
      <c r="AR19" s="2157"/>
      <c r="AS19" s="2158"/>
      <c r="AT19" s="2159"/>
      <c r="AU19" s="2157"/>
      <c r="AV19" s="2158"/>
      <c r="AW19" s="2159"/>
      <c r="AX19" s="2190"/>
      <c r="AY19" s="2190"/>
      <c r="AZ19" s="2578"/>
      <c r="BA19" s="465">
        <f>IF('03 食事申込書'!BY118=AF19+AL19+AI19+AO19+AR19+AU19+AX19,AD19*AE19,"人数を再確認！")</f>
        <v>0</v>
      </c>
      <c r="BB19" s="2316"/>
      <c r="BC19" s="2316"/>
      <c r="BD19" s="2316"/>
      <c r="BE19" s="2316"/>
      <c r="BF19" s="2316"/>
      <c r="BG19" s="2316"/>
      <c r="BH19" s="2316"/>
      <c r="BI19" s="2316"/>
      <c r="BJ19" s="2316"/>
      <c r="BK19" s="2316"/>
      <c r="BL19" s="2316"/>
      <c r="BM19" s="2316"/>
      <c r="BN19" s="2316"/>
      <c r="BO19" s="2316"/>
      <c r="BP19" s="2316"/>
      <c r="BQ19" s="2316"/>
      <c r="BR19" s="2316"/>
      <c r="BS19" s="2316"/>
      <c r="BT19" s="2316"/>
      <c r="BU19" s="2316"/>
      <c r="BV19" s="2316"/>
      <c r="BW19" s="506"/>
      <c r="BX19" s="2287"/>
      <c r="BY19" s="2345"/>
      <c r="BZ19" s="466">
        <f>'03 食事申込書'!DQ118</f>
        <v>0</v>
      </c>
      <c r="CA19" s="467">
        <f>'03 食事申込書'!DS118</f>
        <v>0</v>
      </c>
      <c r="CB19" s="2224">
        <f>'03 食事申込書'!DT118</f>
        <v>0</v>
      </c>
      <c r="CC19" s="2225"/>
      <c r="CD19" s="2225"/>
      <c r="CE19" s="468">
        <f>IF(ISERROR(VLOOKUP(CB19,EY3:EZ58,2,FALSE)),0,VLOOKUP(CB19,EY3:EZ58,2,FALSE))</f>
        <v>0</v>
      </c>
      <c r="CF19" s="462">
        <f>'03 食事申込書'!DV118</f>
        <v>0</v>
      </c>
      <c r="CG19" s="2160"/>
      <c r="CH19" s="2158"/>
      <c r="CI19" s="2159"/>
      <c r="CJ19" s="2157"/>
      <c r="CK19" s="2158"/>
      <c r="CL19" s="2159"/>
      <c r="CM19" s="2157"/>
      <c r="CN19" s="2158"/>
      <c r="CO19" s="2159"/>
      <c r="CP19" s="2157"/>
      <c r="CQ19" s="2158"/>
      <c r="CR19" s="2159"/>
      <c r="CS19" s="2157"/>
      <c r="CT19" s="2158"/>
      <c r="CU19" s="2159"/>
      <c r="CV19" s="469"/>
      <c r="CW19" s="470"/>
      <c r="CX19" s="817">
        <f>IF('03 食事申込書'!DV118=CG19+CM19+CJ19+CP19+CS19+CV19+CW19,CE19*CF19,"人数を再確認！")</f>
        <v>0</v>
      </c>
      <c r="CY19" s="19"/>
      <c r="CZ19" s="19"/>
      <c r="DA19" s="19"/>
      <c r="DB19" s="23" t="s">
        <v>2905</v>
      </c>
      <c r="DC19" s="903">
        <v>760</v>
      </c>
      <c r="DD19" s="19"/>
      <c r="DE19" s="84"/>
      <c r="DF19" s="84"/>
      <c r="DG19" s="84"/>
      <c r="DH19" s="83"/>
      <c r="DI19" s="83"/>
      <c r="DJ19" s="83"/>
      <c r="DK19" s="83"/>
      <c r="DL19" s="83"/>
      <c r="DM19" s="83"/>
    </row>
    <row r="20" spans="1:117" ht="27" customHeight="1" thickBot="1">
      <c r="A20" s="2316"/>
      <c r="B20" s="2316"/>
      <c r="C20" s="2316"/>
      <c r="D20" s="2316"/>
      <c r="E20" s="2316"/>
      <c r="F20" s="2316"/>
      <c r="G20" s="2316"/>
      <c r="H20" s="2316"/>
      <c r="I20" s="2316"/>
      <c r="J20" s="2316"/>
      <c r="K20" s="2316"/>
      <c r="L20" s="2316"/>
      <c r="M20" s="2316"/>
      <c r="N20" s="2316"/>
      <c r="O20" s="2316"/>
      <c r="P20" s="2316"/>
      <c r="Q20" s="2316"/>
      <c r="R20" s="2316"/>
      <c r="S20" s="2316"/>
      <c r="T20" s="2316"/>
      <c r="U20" s="2316"/>
      <c r="V20" s="22"/>
      <c r="W20" s="2287"/>
      <c r="X20" s="2345"/>
      <c r="Y20" s="919">
        <f>'03 食事申込書'!BT119</f>
        <v>0</v>
      </c>
      <c r="Z20" s="920">
        <f>'03 食事申込書'!BV119</f>
        <v>0</v>
      </c>
      <c r="AA20" s="2298">
        <f>'03 食事申込書'!BW119</f>
        <v>0</v>
      </c>
      <c r="AB20" s="2299"/>
      <c r="AC20" s="2299"/>
      <c r="AD20" s="921">
        <f t="shared" si="0"/>
        <v>0</v>
      </c>
      <c r="AE20" s="937">
        <f>'03 食事申込書'!BY119</f>
        <v>0</v>
      </c>
      <c r="AF20" s="2232"/>
      <c r="AG20" s="2182"/>
      <c r="AH20" s="2183"/>
      <c r="AI20" s="2181"/>
      <c r="AJ20" s="2182"/>
      <c r="AK20" s="2183"/>
      <c r="AL20" s="2181"/>
      <c r="AM20" s="2182"/>
      <c r="AN20" s="2183"/>
      <c r="AO20" s="2181"/>
      <c r="AP20" s="2182"/>
      <c r="AQ20" s="2183"/>
      <c r="AR20" s="2181"/>
      <c r="AS20" s="2182"/>
      <c r="AT20" s="2183"/>
      <c r="AU20" s="2181"/>
      <c r="AV20" s="2182"/>
      <c r="AW20" s="2183"/>
      <c r="AX20" s="2182"/>
      <c r="AY20" s="2182"/>
      <c r="AZ20" s="2613"/>
      <c r="BA20" s="465">
        <f>IF('03 食事申込書'!BY119=AF20+AL20+AI20+AO20+AR20+AU20+AX20,AD20*AE20,"人数を再確認！")</f>
        <v>0</v>
      </c>
      <c r="BB20" s="2316"/>
      <c r="BC20" s="2316"/>
      <c r="BD20" s="2316"/>
      <c r="BE20" s="2316"/>
      <c r="BF20" s="2316"/>
      <c r="BG20" s="2316"/>
      <c r="BH20" s="2316"/>
      <c r="BI20" s="2316"/>
      <c r="BJ20" s="2316"/>
      <c r="BK20" s="2316"/>
      <c r="BL20" s="2316"/>
      <c r="BM20" s="2316"/>
      <c r="BN20" s="2316"/>
      <c r="BO20" s="2316"/>
      <c r="BP20" s="2316"/>
      <c r="BQ20" s="2316"/>
      <c r="BR20" s="2316"/>
      <c r="BS20" s="2316"/>
      <c r="BT20" s="2316"/>
      <c r="BU20" s="2316"/>
      <c r="BV20" s="2316"/>
      <c r="BW20" s="506"/>
      <c r="BX20" s="2287"/>
      <c r="BY20" s="2345"/>
      <c r="BZ20" s="473">
        <f>'03 食事申込書'!DQ119</f>
        <v>0</v>
      </c>
      <c r="CA20" s="474">
        <f>'03 食事申込書'!DS119</f>
        <v>0</v>
      </c>
      <c r="CB20" s="2537">
        <f>'03 食事申込書'!DT119</f>
        <v>0</v>
      </c>
      <c r="CC20" s="2538"/>
      <c r="CD20" s="2538"/>
      <c r="CE20" s="475">
        <f>IF(ISERROR(VLOOKUP(CB20,EY3:EZ58,2,FALSE)),0,VLOOKUP(CB20,EY3:EZ58,2,FALSE))</f>
        <v>0</v>
      </c>
      <c r="CF20" s="476">
        <f>'03 食事申込書'!DV119</f>
        <v>0</v>
      </c>
      <c r="CG20" s="2160"/>
      <c r="CH20" s="2158"/>
      <c r="CI20" s="2159"/>
      <c r="CJ20" s="2157"/>
      <c r="CK20" s="2158"/>
      <c r="CL20" s="2159"/>
      <c r="CM20" s="2157"/>
      <c r="CN20" s="2158"/>
      <c r="CO20" s="2159"/>
      <c r="CP20" s="2157"/>
      <c r="CQ20" s="2158"/>
      <c r="CR20" s="2159"/>
      <c r="CS20" s="2157"/>
      <c r="CT20" s="2158"/>
      <c r="CU20" s="2159"/>
      <c r="CV20" s="469"/>
      <c r="CW20" s="470"/>
      <c r="CX20" s="818">
        <f>IF('03 食事申込書'!DV119=CG20+CM20+CJ20+CP20+CS20+CV20+CW20,CE20*CF20,"人数を再確認！")</f>
        <v>0</v>
      </c>
      <c r="CY20" s="19"/>
      <c r="CZ20" s="19"/>
      <c r="DA20" s="19"/>
      <c r="DB20" s="23" t="s">
        <v>2906</v>
      </c>
      <c r="DC20" s="903">
        <v>800</v>
      </c>
      <c r="DD20" s="914"/>
      <c r="DE20" s="84"/>
      <c r="DF20" s="84"/>
      <c r="DG20" s="84"/>
      <c r="DH20" s="83"/>
      <c r="DI20" s="83"/>
      <c r="DJ20" s="83"/>
      <c r="DK20" s="83"/>
      <c r="DL20" s="83"/>
      <c r="DM20" s="83"/>
    </row>
    <row r="21" spans="1:117" ht="27" customHeight="1" thickTop="1" thickBot="1">
      <c r="A21" s="2226" t="s">
        <v>1389</v>
      </c>
      <c r="B21" s="2322" t="s">
        <v>219</v>
      </c>
      <c r="C21" s="2323"/>
      <c r="D21" s="2323"/>
      <c r="E21" s="2323"/>
      <c r="F21" s="2323"/>
      <c r="G21" s="2324"/>
      <c r="H21" s="767" t="s">
        <v>177</v>
      </c>
      <c r="I21" s="2300" t="s">
        <v>178</v>
      </c>
      <c r="J21" s="2302" t="s">
        <v>1375</v>
      </c>
      <c r="K21" s="2303"/>
      <c r="L21" s="391" t="s">
        <v>1374</v>
      </c>
      <c r="M21" s="766" t="s">
        <v>1373</v>
      </c>
      <c r="N21" s="765" t="s">
        <v>220</v>
      </c>
      <c r="O21" s="765" t="s">
        <v>1376</v>
      </c>
      <c r="P21" s="2312" t="s">
        <v>1377</v>
      </c>
      <c r="Q21" s="2313"/>
      <c r="R21" s="2312" t="s">
        <v>1378</v>
      </c>
      <c r="S21" s="2313"/>
      <c r="T21" s="2314" t="s">
        <v>179</v>
      </c>
      <c r="U21" s="2315"/>
      <c r="V21" s="22"/>
      <c r="W21" s="2287"/>
      <c r="X21" s="2346"/>
      <c r="Y21" s="2335" t="s">
        <v>1388</v>
      </c>
      <c r="Z21" s="2336"/>
      <c r="AA21" s="2336"/>
      <c r="AB21" s="2336"/>
      <c r="AC21" s="2336"/>
      <c r="AD21" s="2336"/>
      <c r="AE21" s="2337"/>
      <c r="AF21" s="2233">
        <f>AF5*AD5+AF6*AD6+AF7*AD7+AF8*AD8+AF9*AD9+AF10*AD10+AF11*AD11+AF12*AD12+AF13*AD13+AF14*AD14+AF15*AD15+AF16*AD16+AF17*AD17+AF18*AD18+AF19*AD19+AF20*AD20</f>
        <v>0</v>
      </c>
      <c r="AG21" s="2234"/>
      <c r="AH21" s="2235"/>
      <c r="AI21" s="2233">
        <f>AI5*AD5+AI6*AD6+AI7*AD7+AI8*AD8+AI9*AD9+AI10*AD10+AI11*AD11+AI12*AD12+AI13*AD13+AI14*AD14+AI15*AD15+AI16*AD16+AI17*AD17+AI18*AD18+AI19*AD19+AI20*AD20</f>
        <v>0</v>
      </c>
      <c r="AJ21" s="2234"/>
      <c r="AK21" s="2235"/>
      <c r="AL21" s="2233">
        <f>AL5*$AD$5+AL6*$AD$6+AL7*$AD$7+AL8*$AD$8+AL9*$AD$9+AL10*$AD$10+AL11*$AD$11+AL12*$AD$12+AL13*$AD$13+AL14*$AD$14+AL15*$AD$15+AL16*$AD$16+AL17*$AD$17+AL18*$AD$18+AL19*$AD$19+AL20*$AD$20</f>
        <v>0</v>
      </c>
      <c r="AM21" s="2234"/>
      <c r="AN21" s="2235"/>
      <c r="AO21" s="2233">
        <f>AO5*$AD$5+AO6*$AD$6+AO7*$AD$7+AO8*$AD$8+AO9*$AD$9+AO10*$AD$10+AO11*$AD$11+AO12*$AD$12+AO13*$AD$13+AO14*$AD$14+AO15*$AD$15+AO16*$AD$16+AO17*$AD$17+AO18*$AD$18+AO19*$AD$19+AO20*$AD$20</f>
        <v>0</v>
      </c>
      <c r="AP21" s="2234"/>
      <c r="AQ21" s="2235"/>
      <c r="AR21" s="2233">
        <f>AR5*$AD$5+AR6*$AD$6+AR7*$AD$7+AR8*$AD$8+AR9*$AD$9+AR10*$AD$10+AR11*$AD$11+AR12*$AD$12+AR13*$AD$13+AR14*$AD$14+AR15*$AD$15+AR16*$AD$16+AR17*$AD$17+AR18*$AD$18+AR19*$AD$19+AR20*$AD$20</f>
        <v>0</v>
      </c>
      <c r="AS21" s="2234"/>
      <c r="AT21" s="2235"/>
      <c r="AU21" s="2568">
        <f>AU5*$AD$5+AU6*$AD$6+AU7*$AD$7+AU8*$AD$8+AU9*$AD$9+AU10*$AD$10+AU11*$AD$11+AU12*$AD$12+AU13*$AD$13+AU14*$AD$14+AU15*$AD$15+AU16*$AD$16+AU17*$AD$17+AU18*$AD$18+AU19*$AD$19+AU20*$AD$20</f>
        <v>0</v>
      </c>
      <c r="AV21" s="2569"/>
      <c r="AW21" s="2570"/>
      <c r="AX21" s="2568">
        <f>AX5*$AD$5+AX6*$AD$6+AX7*$AD$7+AX8*$AD$8+AX9*$AD$9+AX10*$AD$10+AX11*$AD$11+AX12*$AD$12+AX13*$AD$13+AX14*$AD$14+AX15*$AD$15+AX16*$AD$16+AX17*$AD$17+AX18*$AD$18+AX19*$AD$19+AX20*$AD$20</f>
        <v>0</v>
      </c>
      <c r="AY21" s="2569"/>
      <c r="AZ21" s="2570"/>
      <c r="BA21" s="614">
        <f>IF(COUNTIF(BA5:BA20,"人数を再確認！"),"人数を再確認！",SUM(BA5:BA20))</f>
        <v>0</v>
      </c>
      <c r="BB21" s="2226" t="s">
        <v>1389</v>
      </c>
      <c r="BC21" s="2322" t="s">
        <v>219</v>
      </c>
      <c r="BD21" s="2323"/>
      <c r="BE21" s="2323"/>
      <c r="BF21" s="2323"/>
      <c r="BG21" s="2323"/>
      <c r="BH21" s="2324"/>
      <c r="BI21" s="767" t="s">
        <v>177</v>
      </c>
      <c r="BJ21" s="2300" t="s">
        <v>178</v>
      </c>
      <c r="BK21" s="2302" t="s">
        <v>1375</v>
      </c>
      <c r="BL21" s="2303"/>
      <c r="BM21" s="391" t="s">
        <v>1374</v>
      </c>
      <c r="BN21" s="766" t="s">
        <v>1373</v>
      </c>
      <c r="BO21" s="765" t="s">
        <v>220</v>
      </c>
      <c r="BP21" s="765" t="s">
        <v>1376</v>
      </c>
      <c r="BQ21" s="2312" t="s">
        <v>1377</v>
      </c>
      <c r="BR21" s="2313"/>
      <c r="BS21" s="2312" t="s">
        <v>1378</v>
      </c>
      <c r="BT21" s="2313"/>
      <c r="BU21" s="2314" t="s">
        <v>179</v>
      </c>
      <c r="BV21" s="2315"/>
      <c r="BW21" s="501"/>
      <c r="BX21" s="2287"/>
      <c r="BY21" s="2346"/>
      <c r="BZ21" s="2335" t="s">
        <v>1388</v>
      </c>
      <c r="CA21" s="2336"/>
      <c r="CB21" s="2336"/>
      <c r="CC21" s="2336"/>
      <c r="CD21" s="2336"/>
      <c r="CE21" s="2336"/>
      <c r="CF21" s="2337"/>
      <c r="CG21" s="2208">
        <f>CG5*CE5+CG6*CE6+CG7*CE7+CG8*CE8+CG9*CE9+CG10*CE10+CG11*CE11+CG12*CE12+CG13*CE13+CG14*CE14+CG15*CE15+CG16*CE16+CG17*CE17+CG18*CE18+CG19*CE19+CG20*CE20</f>
        <v>231000</v>
      </c>
      <c r="CH21" s="2209"/>
      <c r="CI21" s="2210"/>
      <c r="CJ21" s="2208">
        <f>CJ5*CE5+CJ6*CE6+CJ7*CE7+CJ8*CE8+CJ9*CE9+CJ10*CE10+CJ11*CE11+CJ12*CE12+CJ13*CE13+CJ14*CE14+CJ15*CE15+CJ16*CE16+CJ17*CE17+CJ18*CE18+CJ19*CE19+CJ20*CE20</f>
        <v>24100</v>
      </c>
      <c r="CK21" s="2209"/>
      <c r="CL21" s="2210"/>
      <c r="CM21" s="2208">
        <f>CM5*$AD$5+CM6*$AD$6+CM7*$AD$7+CM8*$AD$8+CM9*$AD$9+CM10*$AD$10+CM11*$AD$11+CM12*$AD$12+CM13*$AD$13+CM14*$AD$14+CM15*$AD$15+CM16*$AD$16+CM17*$AD$17+CM18*$AD$18+CM19*$AD$19+CM20*$AD$20</f>
        <v>0</v>
      </c>
      <c r="CN21" s="2209"/>
      <c r="CO21" s="2210"/>
      <c r="CP21" s="2208">
        <f>CP5*$AD$5+CP6*$AD$6+CP7*$AD$7+CP8*$AD$8+CP9*$AD$9+CP10*$AD$10+CP11*$AD$11+CP12*$AD$12+CP13*$AD$13+CP14*$AD$14+CP15*$AD$15+CP16*$AD$16+CP17*$AD$17+CP18*$AD$18+CP19*$AD$19+CP20*$AD$20</f>
        <v>0</v>
      </c>
      <c r="CQ21" s="2209"/>
      <c r="CR21" s="2210"/>
      <c r="CS21" s="2208">
        <f>CS5*$AD$5+CS6*$AD$6+CS7*$AD$7+CS8*$AD$8+CS9*$AD$9+CS10*$AD$10+CS11*$AD$11+CS12*$AD$12+CS13*$AD$13+CS14*$AD$14+CS15*$AD$15+CS16*$AD$16+CS17*$AD$17+CS18*$AD$18+CS19*$AD$19+CS20*$AD$20</f>
        <v>0</v>
      </c>
      <c r="CT21" s="2209"/>
      <c r="CU21" s="2210"/>
      <c r="CV21" s="477">
        <f>CV5*$AD$5+CV6*$AD$6+CV7*$AD$7+CV8*$AD$8+CV9*$AD$9+CV10*$AD$10+CV11*$AD$11+CV12*$AD$12+CV13*$AD$13+CV14*$AD$14+CV15*$AD$15+CV16*$AD$16+CV17*$AD$17+CV18*$AD$18+CV19*$AD$19+CV20*$AD$20</f>
        <v>0</v>
      </c>
      <c r="CW21" s="477">
        <f>CW5*$AD$5+CW6*$AD$6+CW7*$AD$7+CW8*$AD$8+CW9*$AD$9+CW10*$AD$10+CW11*$AD$11+CW12*$AD$12+CW13*$AD$13+CW14*$AD$14+CW15*$AD$15+CW16*$AD$16+CW17*$AD$17+CW18*$AD$18+CW19*$AD$19+CW20*$AD$20</f>
        <v>0</v>
      </c>
      <c r="CX21" s="819">
        <f>SUM(CX5:CX20)</f>
        <v>255700</v>
      </c>
      <c r="CY21" s="19"/>
      <c r="CZ21" s="19"/>
      <c r="DA21" s="19"/>
      <c r="DB21" s="23" t="s">
        <v>2907</v>
      </c>
      <c r="DC21" s="903">
        <v>540</v>
      </c>
      <c r="DD21" s="914"/>
      <c r="DE21" s="84"/>
      <c r="DF21" s="84"/>
      <c r="DG21" s="84"/>
      <c r="DH21" s="83"/>
      <c r="DI21" s="83"/>
      <c r="DJ21" s="83"/>
      <c r="DK21" s="83"/>
      <c r="DL21" s="83"/>
      <c r="DM21" s="83"/>
    </row>
    <row r="22" spans="1:117" ht="27" customHeight="1" thickTop="1" thickBot="1">
      <c r="A22" s="2227"/>
      <c r="B22" s="2325"/>
      <c r="C22" s="2326"/>
      <c r="D22" s="2326"/>
      <c r="E22" s="2326"/>
      <c r="F22" s="2326"/>
      <c r="G22" s="2327"/>
      <c r="H22" s="394" t="s">
        <v>187</v>
      </c>
      <c r="I22" s="2301"/>
      <c r="J22" s="2324" t="s">
        <v>188</v>
      </c>
      <c r="K22" s="2338"/>
      <c r="L22" s="767" t="s">
        <v>188</v>
      </c>
      <c r="M22" s="767" t="s">
        <v>1379</v>
      </c>
      <c r="N22" s="767" t="s">
        <v>188</v>
      </c>
      <c r="O22" s="767" t="s">
        <v>188</v>
      </c>
      <c r="P22" s="2338" t="s">
        <v>188</v>
      </c>
      <c r="Q22" s="2338"/>
      <c r="R22" s="2338" t="s">
        <v>188</v>
      </c>
      <c r="S22" s="2338"/>
      <c r="T22" s="2339" t="s">
        <v>190</v>
      </c>
      <c r="U22" s="2340"/>
      <c r="V22" s="22"/>
      <c r="W22" s="2287"/>
      <c r="X22" s="2347" t="s">
        <v>226</v>
      </c>
      <c r="Y22" s="2341" t="s">
        <v>227</v>
      </c>
      <c r="Z22" s="2342"/>
      <c r="AA22" s="2342"/>
      <c r="AB22" s="2342"/>
      <c r="AC22" s="2343"/>
      <c r="AD22" s="487">
        <v>280</v>
      </c>
      <c r="AE22" s="478">
        <f>I37</f>
        <v>0</v>
      </c>
      <c r="AF22" s="2238"/>
      <c r="AG22" s="2185"/>
      <c r="AH22" s="2186"/>
      <c r="AI22" s="2184"/>
      <c r="AJ22" s="2185"/>
      <c r="AK22" s="2186"/>
      <c r="AL22" s="2184"/>
      <c r="AM22" s="2185"/>
      <c r="AN22" s="2186"/>
      <c r="AO22" s="2524"/>
      <c r="AP22" s="2525"/>
      <c r="AQ22" s="2526"/>
      <c r="AR22" s="2184"/>
      <c r="AS22" s="2185"/>
      <c r="AT22" s="2186"/>
      <c r="AU22" s="2184"/>
      <c r="AV22" s="2185"/>
      <c r="AW22" s="2186"/>
      <c r="AX22" s="2185"/>
      <c r="AY22" s="2185"/>
      <c r="AZ22" s="2576"/>
      <c r="BA22" s="479">
        <f>IF(AE22=AF22+AI22+AR22+AL22+AO22+AU22+AX22,AE22*AD22,"数量を再確認！")</f>
        <v>0</v>
      </c>
      <c r="BB22" s="2227"/>
      <c r="BC22" s="2325"/>
      <c r="BD22" s="2326"/>
      <c r="BE22" s="2326"/>
      <c r="BF22" s="2326"/>
      <c r="BG22" s="2326"/>
      <c r="BH22" s="2327"/>
      <c r="BI22" s="394" t="s">
        <v>187</v>
      </c>
      <c r="BJ22" s="2301"/>
      <c r="BK22" s="2324" t="s">
        <v>188</v>
      </c>
      <c r="BL22" s="2338"/>
      <c r="BM22" s="767" t="s">
        <v>188</v>
      </c>
      <c r="BN22" s="767" t="s">
        <v>1379</v>
      </c>
      <c r="BO22" s="767" t="s">
        <v>188</v>
      </c>
      <c r="BP22" s="767" t="s">
        <v>188</v>
      </c>
      <c r="BQ22" s="2338" t="s">
        <v>188</v>
      </c>
      <c r="BR22" s="2338"/>
      <c r="BS22" s="2338" t="s">
        <v>188</v>
      </c>
      <c r="BT22" s="2338"/>
      <c r="BU22" s="2339" t="s">
        <v>190</v>
      </c>
      <c r="BV22" s="2340"/>
      <c r="BW22" s="501"/>
      <c r="BX22" s="2287"/>
      <c r="BY22" s="2347" t="s">
        <v>226</v>
      </c>
      <c r="BZ22" s="2341" t="s">
        <v>227</v>
      </c>
      <c r="CA22" s="2342"/>
      <c r="CB22" s="2342"/>
      <c r="CC22" s="2342"/>
      <c r="CD22" s="2343"/>
      <c r="CE22" s="487">
        <v>280</v>
      </c>
      <c r="CF22" s="478">
        <f>BJ37</f>
        <v>108</v>
      </c>
      <c r="CG22" s="2238">
        <v>100</v>
      </c>
      <c r="CH22" s="2185"/>
      <c r="CI22" s="2186"/>
      <c r="CJ22" s="2184">
        <v>8</v>
      </c>
      <c r="CK22" s="2185"/>
      <c r="CL22" s="2186"/>
      <c r="CM22" s="2157"/>
      <c r="CN22" s="2158"/>
      <c r="CO22" s="2159"/>
      <c r="CP22" s="2157"/>
      <c r="CQ22" s="2158"/>
      <c r="CR22" s="2159"/>
      <c r="CS22" s="2157"/>
      <c r="CT22" s="2158"/>
      <c r="CU22" s="2159"/>
      <c r="CV22" s="469"/>
      <c r="CW22" s="470"/>
      <c r="CX22" s="479">
        <f>IF(CF22=CG22+CJ22+CS22+CM22+CP22+CV22+CW22,CF22*CE22,"数量を再確認！")</f>
        <v>30240</v>
      </c>
      <c r="CY22" s="19"/>
      <c r="CZ22" s="19"/>
      <c r="DA22" s="19"/>
      <c r="DB22" s="23" t="s">
        <v>2908</v>
      </c>
      <c r="DC22" s="903">
        <v>630</v>
      </c>
      <c r="DD22" s="914"/>
      <c r="DE22" s="18"/>
      <c r="DF22" s="19"/>
      <c r="DG22" s="84"/>
      <c r="DH22" s="83"/>
      <c r="DI22" s="83"/>
      <c r="DJ22" s="83"/>
      <c r="DK22" s="83"/>
      <c r="DL22" s="83"/>
      <c r="DM22" s="83"/>
    </row>
    <row r="23" spans="1:117" ht="27" customHeight="1" thickTop="1">
      <c r="A23" s="2227"/>
      <c r="B23" s="2309" t="s">
        <v>225</v>
      </c>
      <c r="C23" s="2317" t="s">
        <v>552</v>
      </c>
      <c r="D23" s="2318"/>
      <c r="E23" s="2318"/>
      <c r="F23" s="2318"/>
      <c r="G23" s="2319"/>
      <c r="H23" s="775"/>
      <c r="I23" s="776"/>
      <c r="J23" s="2598"/>
      <c r="K23" s="2599"/>
      <c r="L23" s="777"/>
      <c r="M23" s="777"/>
      <c r="N23" s="777"/>
      <c r="O23" s="777"/>
      <c r="P23" s="2599"/>
      <c r="Q23" s="2599"/>
      <c r="R23" s="2599"/>
      <c r="S23" s="2600"/>
      <c r="T23" s="2601"/>
      <c r="U23" s="2602"/>
      <c r="V23" s="22"/>
      <c r="W23" s="2287"/>
      <c r="X23" s="2347"/>
      <c r="Y23" s="2355" t="s">
        <v>493</v>
      </c>
      <c r="Z23" s="2356"/>
      <c r="AA23" s="2356"/>
      <c r="AB23" s="2356"/>
      <c r="AC23" s="2357"/>
      <c r="AD23" s="488">
        <f>IF(ISERROR(VLOOKUP(Y23,DE3:DF15,2,FALSE)),0,VLOOKUP(Y23,DE3:DF15,2,FALSE))</f>
        <v>0</v>
      </c>
      <c r="AE23" s="480">
        <f>SUM(AF23:AX23)</f>
        <v>0</v>
      </c>
      <c r="AF23" s="2160"/>
      <c r="AG23" s="2158"/>
      <c r="AH23" s="2159"/>
      <c r="AI23" s="2157"/>
      <c r="AJ23" s="2158"/>
      <c r="AK23" s="2159"/>
      <c r="AL23" s="2157"/>
      <c r="AM23" s="2158"/>
      <c r="AN23" s="2159"/>
      <c r="AO23" s="2157"/>
      <c r="AP23" s="2158"/>
      <c r="AQ23" s="2159"/>
      <c r="AR23" s="2157"/>
      <c r="AS23" s="2158"/>
      <c r="AT23" s="2159"/>
      <c r="AU23" s="2157"/>
      <c r="AV23" s="2158"/>
      <c r="AW23" s="2159"/>
      <c r="AX23" s="2158"/>
      <c r="AY23" s="2158"/>
      <c r="AZ23" s="2617"/>
      <c r="BA23" s="479">
        <f>IF(AE23=AF23+AI23+AR23+AL23+AO23+AU23+AX23,AE23*AD23,"数量を再確認！")</f>
        <v>0</v>
      </c>
      <c r="BB23" s="2227"/>
      <c r="BC23" s="2309" t="s">
        <v>225</v>
      </c>
      <c r="BD23" s="2317" t="s">
        <v>552</v>
      </c>
      <c r="BE23" s="2318"/>
      <c r="BF23" s="2318"/>
      <c r="BG23" s="2318"/>
      <c r="BH23" s="2319"/>
      <c r="BI23" s="775"/>
      <c r="BJ23" s="783"/>
      <c r="BK23" s="2598"/>
      <c r="BL23" s="2599"/>
      <c r="BM23" s="777"/>
      <c r="BN23" s="777"/>
      <c r="BO23" s="777"/>
      <c r="BP23" s="777"/>
      <c r="BQ23" s="2599"/>
      <c r="BR23" s="2599"/>
      <c r="BS23" s="2599"/>
      <c r="BT23" s="2600"/>
      <c r="BU23" s="2601"/>
      <c r="BV23" s="2602"/>
      <c r="BW23" s="501"/>
      <c r="BX23" s="2287"/>
      <c r="BY23" s="2347"/>
      <c r="BZ23" s="2355" t="s">
        <v>493</v>
      </c>
      <c r="CA23" s="2356"/>
      <c r="CB23" s="2356"/>
      <c r="CC23" s="2356"/>
      <c r="CD23" s="2357"/>
      <c r="CE23" s="488">
        <f>IF(ISERROR(VLOOKUP(BZ23,FB3:FC15,2,FALSE)),0,VLOOKUP(BZ23,FB3:FC15,2,FALSE))</f>
        <v>0</v>
      </c>
      <c r="CF23" s="480">
        <f>SUM(CG23:CW23)</f>
        <v>0</v>
      </c>
      <c r="CG23" s="2160"/>
      <c r="CH23" s="2158"/>
      <c r="CI23" s="2159"/>
      <c r="CJ23" s="2157"/>
      <c r="CK23" s="2158"/>
      <c r="CL23" s="2159"/>
      <c r="CM23" s="2157"/>
      <c r="CN23" s="2158"/>
      <c r="CO23" s="2159"/>
      <c r="CP23" s="2157"/>
      <c r="CQ23" s="2158"/>
      <c r="CR23" s="2159"/>
      <c r="CS23" s="2157"/>
      <c r="CT23" s="2158"/>
      <c r="CU23" s="2159"/>
      <c r="CV23" s="469"/>
      <c r="CW23" s="950"/>
      <c r="CX23" s="479">
        <f>IF(CF23=CG23+CJ23+CS23+CM23+CP23+CV23+CW23,CF23*CE23,"数量を再確認！")</f>
        <v>0</v>
      </c>
      <c r="CY23" s="84"/>
      <c r="CZ23" s="19"/>
      <c r="DA23" s="19"/>
      <c r="DB23" s="23" t="s">
        <v>2909</v>
      </c>
      <c r="DC23" s="903">
        <v>670</v>
      </c>
      <c r="DD23" s="914"/>
      <c r="DE23" s="18"/>
      <c r="DF23" s="19"/>
      <c r="DG23" s="84"/>
      <c r="DH23" s="83"/>
      <c r="DI23" s="83"/>
      <c r="DJ23" s="83"/>
      <c r="DK23" s="83"/>
      <c r="DL23" s="83"/>
      <c r="DM23" s="83"/>
    </row>
    <row r="24" spans="1:117" ht="27" customHeight="1">
      <c r="A24" s="2227"/>
      <c r="B24" s="2310"/>
      <c r="C24" s="2365" t="s">
        <v>490</v>
      </c>
      <c r="D24" s="2366"/>
      <c r="E24" s="2366"/>
      <c r="F24" s="2366"/>
      <c r="G24" s="2367"/>
      <c r="H24" s="404"/>
      <c r="I24" s="778"/>
      <c r="J24" s="2603"/>
      <c r="K24" s="2604"/>
      <c r="L24" s="779"/>
      <c r="M24" s="779"/>
      <c r="N24" s="779"/>
      <c r="O24" s="779"/>
      <c r="P24" s="2604"/>
      <c r="Q24" s="2604"/>
      <c r="R24" s="2604"/>
      <c r="S24" s="2605"/>
      <c r="T24" s="2606"/>
      <c r="U24" s="2607"/>
      <c r="V24" s="22"/>
      <c r="W24" s="2287"/>
      <c r="X24" s="2347"/>
      <c r="Y24" s="2355" t="s">
        <v>493</v>
      </c>
      <c r="Z24" s="2356"/>
      <c r="AA24" s="2356"/>
      <c r="AB24" s="2356"/>
      <c r="AC24" s="2357"/>
      <c r="AD24" s="488">
        <f>IF(ISERROR(VLOOKUP(Y24,DE3:DF15,2,FALSE)),0,VLOOKUP(Y24,DE3:DF15,2,FALSE))</f>
        <v>0</v>
      </c>
      <c r="AE24" s="482">
        <f>SUM(AF24:AX24)</f>
        <v>0</v>
      </c>
      <c r="AF24" s="2160"/>
      <c r="AG24" s="2158"/>
      <c r="AH24" s="2159"/>
      <c r="AI24" s="2157"/>
      <c r="AJ24" s="2158"/>
      <c r="AK24" s="2159"/>
      <c r="AL24" s="2157"/>
      <c r="AM24" s="2158"/>
      <c r="AN24" s="2159"/>
      <c r="AO24" s="2497"/>
      <c r="AP24" s="2498"/>
      <c r="AQ24" s="2499"/>
      <c r="AR24" s="2157"/>
      <c r="AS24" s="2158"/>
      <c r="AT24" s="2159"/>
      <c r="AU24" s="2157"/>
      <c r="AV24" s="2158"/>
      <c r="AW24" s="2159"/>
      <c r="AX24" s="2158"/>
      <c r="AY24" s="2158"/>
      <c r="AZ24" s="2617"/>
      <c r="BA24" s="479">
        <f>IF(AE24=AF24+AI24+AR24+AL24+AO24+AU24+AX24,AE24*AD24,"数量を再確認！")</f>
        <v>0</v>
      </c>
      <c r="BB24" s="2227"/>
      <c r="BC24" s="2310"/>
      <c r="BD24" s="2365" t="s">
        <v>490</v>
      </c>
      <c r="BE24" s="2366"/>
      <c r="BF24" s="2366"/>
      <c r="BG24" s="2366"/>
      <c r="BH24" s="2367"/>
      <c r="BI24" s="404"/>
      <c r="BJ24" s="778"/>
      <c r="BK24" s="2603"/>
      <c r="BL24" s="2604"/>
      <c r="BM24" s="779"/>
      <c r="BN24" s="779"/>
      <c r="BO24" s="779"/>
      <c r="BP24" s="779"/>
      <c r="BQ24" s="2604"/>
      <c r="BR24" s="2604"/>
      <c r="BS24" s="2604"/>
      <c r="BT24" s="2605"/>
      <c r="BU24" s="2606"/>
      <c r="BV24" s="2607"/>
      <c r="BW24" s="501"/>
      <c r="BX24" s="2287"/>
      <c r="BY24" s="2347"/>
      <c r="BZ24" s="2355" t="s">
        <v>493</v>
      </c>
      <c r="CA24" s="2356"/>
      <c r="CB24" s="2356"/>
      <c r="CC24" s="2356"/>
      <c r="CD24" s="2357"/>
      <c r="CE24" s="488">
        <f>IF(ISERROR(VLOOKUP(BZ24,FB3:FC15,2,FALSE)),0,VLOOKUP(BZ24,FB3:FC15,2,FALSE))</f>
        <v>0</v>
      </c>
      <c r="CF24" s="482">
        <f>SUM(CG24:CW24)</f>
        <v>0</v>
      </c>
      <c r="CG24" s="2160"/>
      <c r="CH24" s="2158"/>
      <c r="CI24" s="2159"/>
      <c r="CJ24" s="2157"/>
      <c r="CK24" s="2158"/>
      <c r="CL24" s="2159"/>
      <c r="CM24" s="2157"/>
      <c r="CN24" s="2158"/>
      <c r="CO24" s="2159"/>
      <c r="CP24" s="2157"/>
      <c r="CQ24" s="2158"/>
      <c r="CR24" s="2159"/>
      <c r="CS24" s="2157"/>
      <c r="CT24" s="2158"/>
      <c r="CU24" s="2159"/>
      <c r="CV24" s="469"/>
      <c r="CW24" s="950"/>
      <c r="CX24" s="479">
        <f>IF(CF24=CG24+CJ24+CS24+CM24+CP24+CV24+CW24,CF24*CE24,"数量を再確認！")</f>
        <v>0</v>
      </c>
      <c r="CY24" s="84"/>
      <c r="CZ24" s="19"/>
      <c r="DA24" s="19"/>
      <c r="DB24" s="18" t="s">
        <v>228</v>
      </c>
      <c r="DC24" s="19"/>
      <c r="DD24" s="914"/>
      <c r="DE24" s="18"/>
      <c r="DF24" s="19"/>
      <c r="DG24" s="84"/>
      <c r="DH24" s="83"/>
      <c r="DI24" s="83"/>
      <c r="DJ24" s="83"/>
      <c r="DK24" s="83"/>
      <c r="DL24" s="83"/>
      <c r="DM24" s="83"/>
    </row>
    <row r="25" spans="1:117" ht="27" customHeight="1">
      <c r="A25" s="2227"/>
      <c r="B25" s="2310"/>
      <c r="C25" s="2365" t="s">
        <v>491</v>
      </c>
      <c r="D25" s="2366"/>
      <c r="E25" s="2366"/>
      <c r="F25" s="2366"/>
      <c r="G25" s="2367"/>
      <c r="H25" s="780"/>
      <c r="I25" s="778"/>
      <c r="J25" s="2603"/>
      <c r="K25" s="2604"/>
      <c r="L25" s="779"/>
      <c r="M25" s="779"/>
      <c r="N25" s="779"/>
      <c r="O25" s="779"/>
      <c r="P25" s="2604"/>
      <c r="Q25" s="2604"/>
      <c r="R25" s="2604"/>
      <c r="S25" s="2605"/>
      <c r="T25" s="2606"/>
      <c r="U25" s="2607"/>
      <c r="V25" s="22"/>
      <c r="W25" s="2287"/>
      <c r="X25" s="2347"/>
      <c r="Y25" s="2350" t="s">
        <v>3131</v>
      </c>
      <c r="Z25" s="2351"/>
      <c r="AA25" s="2351"/>
      <c r="AB25" s="2351"/>
      <c r="AC25" s="2352"/>
      <c r="AD25" s="943">
        <v>120</v>
      </c>
      <c r="AE25" s="942">
        <f>SUM(AF25:AX25)</f>
        <v>0</v>
      </c>
      <c r="AF25" s="2161"/>
      <c r="AG25" s="2162"/>
      <c r="AH25" s="2162"/>
      <c r="AI25" s="2223"/>
      <c r="AJ25" s="2223"/>
      <c r="AK25" s="2223"/>
      <c r="AL25" s="2223"/>
      <c r="AM25" s="2223"/>
      <c r="AN25" s="2223"/>
      <c r="AO25" s="2223"/>
      <c r="AP25" s="2223"/>
      <c r="AQ25" s="2223"/>
      <c r="AR25" s="2223"/>
      <c r="AS25" s="2223"/>
      <c r="AT25" s="2223"/>
      <c r="AU25" s="2157"/>
      <c r="AV25" s="2158"/>
      <c r="AW25" s="2159"/>
      <c r="AX25" s="2158"/>
      <c r="AY25" s="2158"/>
      <c r="AZ25" s="2617"/>
      <c r="BA25" s="949">
        <f>IF(AE25=AF25+AI25+AR25+AL25+AO25+AU25+AX25,AE25*AD25,"数量を再確認！")</f>
        <v>0</v>
      </c>
      <c r="BB25" s="2227"/>
      <c r="BC25" s="2310"/>
      <c r="BD25" s="2365" t="s">
        <v>491</v>
      </c>
      <c r="BE25" s="2366"/>
      <c r="BF25" s="2366"/>
      <c r="BG25" s="2366"/>
      <c r="BH25" s="2367"/>
      <c r="BI25" s="780"/>
      <c r="BJ25" s="778"/>
      <c r="BK25" s="2603"/>
      <c r="BL25" s="2604"/>
      <c r="BM25" s="779"/>
      <c r="BN25" s="779"/>
      <c r="BO25" s="779"/>
      <c r="BP25" s="779"/>
      <c r="BQ25" s="2604"/>
      <c r="BR25" s="2604"/>
      <c r="BS25" s="2604"/>
      <c r="BT25" s="2605"/>
      <c r="BU25" s="2606"/>
      <c r="BV25" s="2607"/>
      <c r="BW25" s="501"/>
      <c r="BX25" s="2287"/>
      <c r="BY25" s="2347"/>
      <c r="BZ25" s="2350" t="s">
        <v>3131</v>
      </c>
      <c r="CA25" s="2351"/>
      <c r="CB25" s="2351"/>
      <c r="CC25" s="2351"/>
      <c r="CD25" s="2352"/>
      <c r="CE25" s="943">
        <v>120</v>
      </c>
      <c r="CF25" s="942">
        <f>SUM(CG25:CW25)</f>
        <v>0</v>
      </c>
      <c r="CG25" s="2160"/>
      <c r="CH25" s="2158"/>
      <c r="CI25" s="2159"/>
      <c r="CJ25" s="2157"/>
      <c r="CK25" s="2158"/>
      <c r="CL25" s="2159"/>
      <c r="CM25" s="2157"/>
      <c r="CN25" s="2158"/>
      <c r="CO25" s="2159"/>
      <c r="CP25" s="2157"/>
      <c r="CQ25" s="2158"/>
      <c r="CR25" s="2159"/>
      <c r="CS25" s="2157"/>
      <c r="CT25" s="2158"/>
      <c r="CU25" s="2159"/>
      <c r="CV25" s="469"/>
      <c r="CW25" s="950"/>
      <c r="CX25" s="949">
        <f>IF(CF25=CG25+CJ25+CS25+CM25+CP25+CV25+CW25,CF25*CE25,"数量を再確認！")</f>
        <v>0</v>
      </c>
      <c r="CY25" s="84"/>
      <c r="CZ25" s="19"/>
      <c r="DA25" s="19"/>
      <c r="DB25" s="23" t="s">
        <v>229</v>
      </c>
      <c r="DC25" s="19">
        <f>DC15-100</f>
        <v>450</v>
      </c>
      <c r="DD25" s="914"/>
      <c r="DE25" s="18"/>
      <c r="DF25" s="19"/>
      <c r="DG25" s="84"/>
      <c r="DH25" s="83"/>
      <c r="DI25" s="83"/>
      <c r="DJ25" s="83"/>
      <c r="DK25" s="83"/>
      <c r="DL25" s="83"/>
      <c r="DM25" s="83"/>
    </row>
    <row r="26" spans="1:117" ht="27" customHeight="1" thickBot="1">
      <c r="A26" s="2227"/>
      <c r="B26" s="2310"/>
      <c r="C26" s="2386" t="s">
        <v>1382</v>
      </c>
      <c r="D26" s="2387"/>
      <c r="E26" s="2387"/>
      <c r="F26" s="2387"/>
      <c r="G26" s="2387"/>
      <c r="H26" s="781"/>
      <c r="I26" s="778"/>
      <c r="J26" s="2610"/>
      <c r="K26" s="2608"/>
      <c r="L26" s="782"/>
      <c r="M26" s="782"/>
      <c r="N26" s="782"/>
      <c r="O26" s="782"/>
      <c r="P26" s="2608"/>
      <c r="Q26" s="2608"/>
      <c r="R26" s="2608"/>
      <c r="S26" s="2609"/>
      <c r="T26" s="2611"/>
      <c r="U26" s="2612"/>
      <c r="V26" s="22"/>
      <c r="W26" s="2287"/>
      <c r="X26" s="2347"/>
      <c r="Y26" s="2176" t="s">
        <v>3135</v>
      </c>
      <c r="Z26" s="2177"/>
      <c r="AA26" s="2177"/>
      <c r="AB26" s="2177"/>
      <c r="AC26" s="2178"/>
      <c r="AD26" s="944">
        <v>60</v>
      </c>
      <c r="AE26" s="942">
        <f t="shared" ref="AE26:AE30" si="1">SUM(AF26:AX26)</f>
        <v>0</v>
      </c>
      <c r="AF26" s="2161"/>
      <c r="AG26" s="2162"/>
      <c r="AH26" s="2162"/>
      <c r="AI26" s="2163"/>
      <c r="AJ26" s="2163"/>
      <c r="AK26" s="2163"/>
      <c r="AL26" s="2163"/>
      <c r="AM26" s="2163"/>
      <c r="AN26" s="2163"/>
      <c r="AO26" s="2163"/>
      <c r="AP26" s="2163"/>
      <c r="AQ26" s="2163"/>
      <c r="AR26" s="2163"/>
      <c r="AS26" s="2163"/>
      <c r="AT26" s="2163"/>
      <c r="AU26" s="2157"/>
      <c r="AV26" s="2158"/>
      <c r="AW26" s="2159"/>
      <c r="AX26" s="2158"/>
      <c r="AY26" s="2158"/>
      <c r="AZ26" s="2617"/>
      <c r="BA26" s="949">
        <f t="shared" ref="BA26:BA30" si="2">IF(AE26=AF26+AI26+AR26+AL26+AO26+AU26+AX26,AE26*AD26,"数量を再確認！")</f>
        <v>0</v>
      </c>
      <c r="BB26" s="2227"/>
      <c r="BC26" s="2310"/>
      <c r="BD26" s="2386" t="s">
        <v>1382</v>
      </c>
      <c r="BE26" s="2387"/>
      <c r="BF26" s="2387"/>
      <c r="BG26" s="2387"/>
      <c r="BH26" s="2387"/>
      <c r="BI26" s="781"/>
      <c r="BJ26" s="778"/>
      <c r="BK26" s="2610"/>
      <c r="BL26" s="2608"/>
      <c r="BM26" s="782"/>
      <c r="BN26" s="782"/>
      <c r="BO26" s="782"/>
      <c r="BP26" s="782"/>
      <c r="BQ26" s="2608"/>
      <c r="BR26" s="2608"/>
      <c r="BS26" s="2608"/>
      <c r="BT26" s="2609"/>
      <c r="BU26" s="2611"/>
      <c r="BV26" s="2612"/>
      <c r="BW26" s="501"/>
      <c r="BX26" s="2287"/>
      <c r="BY26" s="2347"/>
      <c r="BZ26" s="2176" t="s">
        <v>3135</v>
      </c>
      <c r="CA26" s="2177"/>
      <c r="CB26" s="2177"/>
      <c r="CC26" s="2177"/>
      <c r="CD26" s="2178"/>
      <c r="CE26" s="944">
        <v>60</v>
      </c>
      <c r="CF26" s="942">
        <f t="shared" ref="CF26:CF30" si="3">SUM(CG26:CW26)</f>
        <v>108</v>
      </c>
      <c r="CG26" s="2161">
        <v>100</v>
      </c>
      <c r="CH26" s="2162"/>
      <c r="CI26" s="2162"/>
      <c r="CJ26" s="2163">
        <v>8</v>
      </c>
      <c r="CK26" s="2163"/>
      <c r="CL26" s="2163"/>
      <c r="CM26" s="2157"/>
      <c r="CN26" s="2158"/>
      <c r="CO26" s="2159"/>
      <c r="CP26" s="2157"/>
      <c r="CQ26" s="2158"/>
      <c r="CR26" s="2159"/>
      <c r="CS26" s="2157"/>
      <c r="CT26" s="2158"/>
      <c r="CU26" s="2159"/>
      <c r="CV26" s="469"/>
      <c r="CW26" s="950"/>
      <c r="CX26" s="949">
        <f t="shared" ref="CX26:CX30" si="4">IF(CF26=CG26+CJ26+CS26+CM26+CP26+CV26+CW26,CF26*CE26,"数量を再確認！")</f>
        <v>6480</v>
      </c>
      <c r="CY26" s="19"/>
      <c r="CZ26" s="19"/>
      <c r="DA26" s="19"/>
      <c r="DB26" s="23" t="s">
        <v>230</v>
      </c>
      <c r="DC26" s="19">
        <f>DC16-100</f>
        <v>550</v>
      </c>
      <c r="DD26" s="914"/>
      <c r="DE26" s="18"/>
      <c r="DF26" s="19"/>
      <c r="DG26" s="84"/>
      <c r="DH26" s="83"/>
      <c r="DI26" s="83"/>
      <c r="DJ26" s="83"/>
      <c r="DK26" s="83"/>
      <c r="DL26" s="83"/>
      <c r="DM26" s="83"/>
    </row>
    <row r="27" spans="1:117" ht="27" customHeight="1" thickTop="1">
      <c r="A27" s="2227"/>
      <c r="B27" s="2310"/>
      <c r="C27" s="2391"/>
      <c r="D27" s="2392"/>
      <c r="E27" s="2392"/>
      <c r="F27" s="2392"/>
      <c r="G27" s="2393"/>
      <c r="H27" s="404" t="str">
        <f>IF(C27="","",VLOOKUP(C27,$DE$22:$DF$30,2,FALSE))</f>
        <v/>
      </c>
      <c r="I27" s="405"/>
      <c r="J27" s="2394"/>
      <c r="K27" s="2395"/>
      <c r="L27" s="406"/>
      <c r="M27" s="406"/>
      <c r="N27" s="406"/>
      <c r="O27" s="406"/>
      <c r="P27" s="2395"/>
      <c r="Q27" s="2395"/>
      <c r="R27" s="2396"/>
      <c r="S27" s="2396"/>
      <c r="T27" s="2353"/>
      <c r="U27" s="2354"/>
      <c r="V27" s="22"/>
      <c r="W27" s="2287"/>
      <c r="X27" s="2347"/>
      <c r="Y27" s="2350" t="s">
        <v>3129</v>
      </c>
      <c r="Z27" s="2351"/>
      <c r="AA27" s="2351"/>
      <c r="AB27" s="2351"/>
      <c r="AC27" s="2352"/>
      <c r="AD27" s="943">
        <v>100</v>
      </c>
      <c r="AE27" s="942">
        <f t="shared" si="1"/>
        <v>0</v>
      </c>
      <c r="AF27" s="2165"/>
      <c r="AG27" s="2166"/>
      <c r="AH27" s="2167"/>
      <c r="AI27" s="2168"/>
      <c r="AJ27" s="2166"/>
      <c r="AK27" s="2167"/>
      <c r="AL27" s="2168"/>
      <c r="AM27" s="2166"/>
      <c r="AN27" s="2167"/>
      <c r="AO27" s="2168"/>
      <c r="AP27" s="2166"/>
      <c r="AQ27" s="2167"/>
      <c r="AR27" s="2168"/>
      <c r="AS27" s="2166"/>
      <c r="AT27" s="2167"/>
      <c r="AU27" s="2157"/>
      <c r="AV27" s="2158"/>
      <c r="AW27" s="2159"/>
      <c r="AX27" s="2158"/>
      <c r="AY27" s="2158"/>
      <c r="AZ27" s="2617"/>
      <c r="BA27" s="949">
        <f>IF(AE27=AF27+AI27+AR27+AL27+AO27+AU27+AX27,AE27*AD27,"数量を再確認！")</f>
        <v>0</v>
      </c>
      <c r="BB27" s="2227"/>
      <c r="BC27" s="2310"/>
      <c r="BD27" s="2391"/>
      <c r="BE27" s="2392"/>
      <c r="BF27" s="2392"/>
      <c r="BG27" s="2392"/>
      <c r="BH27" s="2393"/>
      <c r="BI27" s="404" t="str">
        <f>IF(BD27="","",VLOOKUP(BD27,$DE$22:$DF$30,2,FALSE))</f>
        <v/>
      </c>
      <c r="BJ27" s="405"/>
      <c r="BK27" s="2394"/>
      <c r="BL27" s="2395"/>
      <c r="BM27" s="406"/>
      <c r="BN27" s="406"/>
      <c r="BO27" s="406"/>
      <c r="BP27" s="406"/>
      <c r="BQ27" s="2395"/>
      <c r="BR27" s="2395"/>
      <c r="BS27" s="2396"/>
      <c r="BT27" s="2396"/>
      <c r="BU27" s="2353"/>
      <c r="BV27" s="2354"/>
      <c r="BW27" s="501"/>
      <c r="BX27" s="2287"/>
      <c r="BY27" s="2347"/>
      <c r="BZ27" s="2350" t="s">
        <v>3129</v>
      </c>
      <c r="CA27" s="2351"/>
      <c r="CB27" s="2351"/>
      <c r="CC27" s="2351"/>
      <c r="CD27" s="2352"/>
      <c r="CE27" s="943">
        <v>100</v>
      </c>
      <c r="CF27" s="942">
        <f t="shared" si="3"/>
        <v>0</v>
      </c>
      <c r="CG27" s="2160"/>
      <c r="CH27" s="2158"/>
      <c r="CI27" s="2159"/>
      <c r="CJ27" s="2157"/>
      <c r="CK27" s="2158"/>
      <c r="CL27" s="2159"/>
      <c r="CM27" s="2157"/>
      <c r="CN27" s="2158"/>
      <c r="CO27" s="2159"/>
      <c r="CP27" s="2157"/>
      <c r="CQ27" s="2158"/>
      <c r="CR27" s="2159"/>
      <c r="CS27" s="2157"/>
      <c r="CT27" s="2158"/>
      <c r="CU27" s="2159"/>
      <c r="CV27" s="469"/>
      <c r="CW27" s="469"/>
      <c r="CX27" s="946">
        <f t="shared" si="4"/>
        <v>0</v>
      </c>
      <c r="CY27" s="19"/>
      <c r="CZ27" s="19"/>
      <c r="DA27" s="19"/>
      <c r="DB27" s="23" t="s">
        <v>231</v>
      </c>
      <c r="DC27" s="19">
        <f>DC17-100</f>
        <v>590</v>
      </c>
      <c r="DD27" s="914"/>
      <c r="DE27" s="18"/>
      <c r="DF27" s="19"/>
      <c r="DG27" s="84"/>
      <c r="DH27" s="83"/>
      <c r="DI27" s="83"/>
      <c r="DJ27" s="83"/>
      <c r="DK27" s="83"/>
      <c r="DL27" s="83"/>
      <c r="DM27" s="83"/>
    </row>
    <row r="28" spans="1:117" ht="27" customHeight="1" thickBot="1">
      <c r="A28" s="2227"/>
      <c r="B28" s="2310"/>
      <c r="C28" s="2330"/>
      <c r="D28" s="2331"/>
      <c r="E28" s="2331"/>
      <c r="F28" s="2331"/>
      <c r="G28" s="2331"/>
      <c r="H28" s="407"/>
      <c r="I28" s="408"/>
      <c r="J28" s="2349"/>
      <c r="K28" s="2180"/>
      <c r="L28" s="409"/>
      <c r="M28" s="410"/>
      <c r="N28" s="409"/>
      <c r="O28" s="410"/>
      <c r="P28" s="2179"/>
      <c r="Q28" s="2180"/>
      <c r="R28" s="2179"/>
      <c r="S28" s="2180"/>
      <c r="T28" s="2304"/>
      <c r="U28" s="2305"/>
      <c r="V28" s="22"/>
      <c r="W28" s="2287"/>
      <c r="X28" s="2347"/>
      <c r="Y28" s="2295" t="s">
        <v>3130</v>
      </c>
      <c r="Z28" s="2293"/>
      <c r="AA28" s="2293"/>
      <c r="AB28" s="2293"/>
      <c r="AC28" s="2294"/>
      <c r="AD28" s="934">
        <v>200</v>
      </c>
      <c r="AE28" s="942">
        <f t="shared" si="1"/>
        <v>0</v>
      </c>
      <c r="AF28" s="2169"/>
      <c r="AG28" s="2150"/>
      <c r="AH28" s="2151"/>
      <c r="AI28" s="2149"/>
      <c r="AJ28" s="2150"/>
      <c r="AK28" s="2151"/>
      <c r="AL28" s="2149"/>
      <c r="AM28" s="2150"/>
      <c r="AN28" s="2151"/>
      <c r="AO28" s="2149"/>
      <c r="AP28" s="2150"/>
      <c r="AQ28" s="2151"/>
      <c r="AR28" s="2149"/>
      <c r="AS28" s="2150"/>
      <c r="AT28" s="2151"/>
      <c r="AU28" s="2157"/>
      <c r="AV28" s="2158"/>
      <c r="AW28" s="2159"/>
      <c r="AX28" s="2158"/>
      <c r="AY28" s="2158"/>
      <c r="AZ28" s="2617"/>
      <c r="BA28" s="949">
        <f t="shared" si="2"/>
        <v>0</v>
      </c>
      <c r="BB28" s="2227"/>
      <c r="BC28" s="2310"/>
      <c r="BD28" s="2330"/>
      <c r="BE28" s="2331"/>
      <c r="BF28" s="2331"/>
      <c r="BG28" s="2331"/>
      <c r="BH28" s="2331"/>
      <c r="BI28" s="407"/>
      <c r="BJ28" s="408"/>
      <c r="BK28" s="2349"/>
      <c r="BL28" s="2180"/>
      <c r="BM28" s="409"/>
      <c r="BN28" s="410"/>
      <c r="BO28" s="409"/>
      <c r="BP28" s="410"/>
      <c r="BQ28" s="2179"/>
      <c r="BR28" s="2180"/>
      <c r="BS28" s="2179"/>
      <c r="BT28" s="2180"/>
      <c r="BU28" s="2304"/>
      <c r="BV28" s="2305"/>
      <c r="BW28" s="501"/>
      <c r="BX28" s="2287"/>
      <c r="BY28" s="2347"/>
      <c r="BZ28" s="2295" t="s">
        <v>3130</v>
      </c>
      <c r="CA28" s="2293"/>
      <c r="CB28" s="2293"/>
      <c r="CC28" s="2293"/>
      <c r="CD28" s="2294"/>
      <c r="CE28" s="934">
        <v>200</v>
      </c>
      <c r="CF28" s="942">
        <f t="shared" si="3"/>
        <v>0</v>
      </c>
      <c r="CG28" s="2160"/>
      <c r="CH28" s="2158"/>
      <c r="CI28" s="2159"/>
      <c r="CJ28" s="2157"/>
      <c r="CK28" s="2158"/>
      <c r="CL28" s="2159"/>
      <c r="CM28" s="2157"/>
      <c r="CN28" s="2158"/>
      <c r="CO28" s="2159"/>
      <c r="CP28" s="2157"/>
      <c r="CQ28" s="2158"/>
      <c r="CR28" s="2159"/>
      <c r="CS28" s="2157"/>
      <c r="CT28" s="2158"/>
      <c r="CU28" s="2159"/>
      <c r="CV28" s="469"/>
      <c r="CW28" s="469"/>
      <c r="CX28" s="946">
        <f t="shared" si="4"/>
        <v>0</v>
      </c>
      <c r="CY28" s="19"/>
      <c r="CZ28" s="19"/>
      <c r="DA28" s="19"/>
      <c r="DB28" s="23"/>
      <c r="DC28" s="19"/>
      <c r="DD28" s="914"/>
      <c r="DE28" s="18"/>
      <c r="DF28" s="19"/>
      <c r="DG28" s="84"/>
      <c r="DH28" s="83"/>
      <c r="DI28" s="83"/>
      <c r="DJ28" s="83"/>
      <c r="DK28" s="83"/>
      <c r="DL28" s="83"/>
      <c r="DM28" s="83"/>
    </row>
    <row r="29" spans="1:117" ht="27" customHeight="1" thickTop="1" thickBot="1">
      <c r="A29" s="2228"/>
      <c r="B29" s="2311"/>
      <c r="C29" s="2397" t="s">
        <v>553</v>
      </c>
      <c r="D29" s="2398"/>
      <c r="E29" s="2398"/>
      <c r="F29" s="2398"/>
      <c r="G29" s="2398"/>
      <c r="H29" s="2399"/>
      <c r="I29" s="411">
        <f>SUM(I23:I26)</f>
        <v>0</v>
      </c>
      <c r="J29" s="2296">
        <f>J24*$H$24+J25*$H$25</f>
        <v>0</v>
      </c>
      <c r="K29" s="2297"/>
      <c r="L29" s="773">
        <f>L24*$H$24+L25*$H$25</f>
        <v>0</v>
      </c>
      <c r="M29" s="773">
        <f>M24*$H$24+M25*$H$25</f>
        <v>0</v>
      </c>
      <c r="N29" s="413">
        <f>N24*$H$24+N25*$H$25</f>
        <v>0</v>
      </c>
      <c r="O29" s="413">
        <f>O24*$H$24+O25*$H$25</f>
        <v>0</v>
      </c>
      <c r="P29" s="2233">
        <f>P24*$H$24+P25*$H$25</f>
        <v>0</v>
      </c>
      <c r="Q29" s="2235"/>
      <c r="R29" s="2233">
        <f>R24*$H$24+R25*$H$25</f>
        <v>0</v>
      </c>
      <c r="S29" s="2235"/>
      <c r="T29" s="2360">
        <f>IF(COUNTIF(T23:U26,"人数を再確認！"),"人数を再確認！",SUM(T23:U26))</f>
        <v>0</v>
      </c>
      <c r="U29" s="2361"/>
      <c r="V29" s="610"/>
      <c r="W29" s="2287"/>
      <c r="X29" s="2347"/>
      <c r="Y29" s="2364" t="s">
        <v>3202</v>
      </c>
      <c r="Z29" s="2351"/>
      <c r="AA29" s="2351"/>
      <c r="AB29" s="2351"/>
      <c r="AC29" s="2352"/>
      <c r="AD29" s="943">
        <v>3500</v>
      </c>
      <c r="AE29" s="942">
        <f t="shared" si="1"/>
        <v>0</v>
      </c>
      <c r="AF29" s="2169"/>
      <c r="AG29" s="2150"/>
      <c r="AH29" s="2151"/>
      <c r="AI29" s="2149"/>
      <c r="AJ29" s="2150"/>
      <c r="AK29" s="2151"/>
      <c r="AL29" s="2149"/>
      <c r="AM29" s="2150"/>
      <c r="AN29" s="2151"/>
      <c r="AO29" s="2149"/>
      <c r="AP29" s="2150"/>
      <c r="AQ29" s="2151"/>
      <c r="AR29" s="2149"/>
      <c r="AS29" s="2150"/>
      <c r="AT29" s="2151"/>
      <c r="AU29" s="2157"/>
      <c r="AV29" s="2158"/>
      <c r="AW29" s="2159"/>
      <c r="AX29" s="2158"/>
      <c r="AY29" s="2158"/>
      <c r="AZ29" s="2617"/>
      <c r="BA29" s="949">
        <f t="shared" si="2"/>
        <v>0</v>
      </c>
      <c r="BB29" s="2228"/>
      <c r="BC29" s="2311"/>
      <c r="BD29" s="2397" t="s">
        <v>553</v>
      </c>
      <c r="BE29" s="2398"/>
      <c r="BF29" s="2398"/>
      <c r="BG29" s="2398"/>
      <c r="BH29" s="2398"/>
      <c r="BI29" s="2399"/>
      <c r="BJ29" s="411">
        <f>SUM(BJ23:BJ26)</f>
        <v>0</v>
      </c>
      <c r="BK29" s="2296">
        <f>BK24*$H$24+BK25*$H$25</f>
        <v>0</v>
      </c>
      <c r="BL29" s="2297"/>
      <c r="BM29" s="773">
        <f>BM24*$H$24+BM25*$H$25</f>
        <v>0</v>
      </c>
      <c r="BN29" s="773">
        <f>BN24*$H$24+BN25*$H$25</f>
        <v>0</v>
      </c>
      <c r="BO29" s="413">
        <f>BO24*$H$24+BO25*$H$25</f>
        <v>0</v>
      </c>
      <c r="BP29" s="413">
        <f>BP24*$H$24+BP25*$H$25</f>
        <v>0</v>
      </c>
      <c r="BQ29" s="2233">
        <f>BQ24*$H$24+BQ25*$H$25</f>
        <v>0</v>
      </c>
      <c r="BR29" s="2235"/>
      <c r="BS29" s="2233">
        <f>BS24*$H$24+BS25*$H$25</f>
        <v>0</v>
      </c>
      <c r="BT29" s="2235"/>
      <c r="BU29" s="2360">
        <f>SUM(BU24:BV27)</f>
        <v>0</v>
      </c>
      <c r="BV29" s="2361"/>
      <c r="BW29" s="501"/>
      <c r="BX29" s="2287"/>
      <c r="BY29" s="2347"/>
      <c r="BZ29" s="2364" t="s">
        <v>3202</v>
      </c>
      <c r="CA29" s="2351"/>
      <c r="CB29" s="2351"/>
      <c r="CC29" s="2351"/>
      <c r="CD29" s="2352"/>
      <c r="CE29" s="943">
        <v>3500</v>
      </c>
      <c r="CF29" s="942">
        <f t="shared" si="3"/>
        <v>1</v>
      </c>
      <c r="CG29" s="2169"/>
      <c r="CH29" s="2150"/>
      <c r="CI29" s="2151"/>
      <c r="CJ29" s="2149"/>
      <c r="CK29" s="2150"/>
      <c r="CL29" s="2151"/>
      <c r="CM29" s="2157"/>
      <c r="CN29" s="2158"/>
      <c r="CO29" s="2159"/>
      <c r="CP29" s="2169">
        <v>1</v>
      </c>
      <c r="CQ29" s="2150"/>
      <c r="CR29" s="2151"/>
      <c r="CS29" s="2157"/>
      <c r="CT29" s="2158"/>
      <c r="CU29" s="2159"/>
      <c r="CV29" s="469"/>
      <c r="CW29" s="469"/>
      <c r="CX29" s="946">
        <f t="shared" si="4"/>
        <v>3500</v>
      </c>
      <c r="CY29" s="19"/>
      <c r="CZ29" s="19"/>
      <c r="DA29" s="19"/>
      <c r="DB29" s="23" t="s">
        <v>232</v>
      </c>
      <c r="DC29" s="19">
        <f t="shared" ref="DC29:DC34" si="5">DC18-100</f>
        <v>550</v>
      </c>
      <c r="DD29" s="19"/>
      <c r="DE29" s="18"/>
      <c r="DF29" s="19"/>
      <c r="DG29" s="84"/>
      <c r="DH29" s="83"/>
      <c r="DI29" s="83"/>
      <c r="DJ29" s="83"/>
      <c r="DK29" s="83"/>
      <c r="DL29" s="83"/>
      <c r="DM29" s="83"/>
    </row>
    <row r="30" spans="1:117" ht="27" customHeight="1" thickTop="1">
      <c r="A30" s="2413" t="s">
        <v>1391</v>
      </c>
      <c r="B30" s="2427" t="s">
        <v>233</v>
      </c>
      <c r="C30" s="2430" t="s">
        <v>234</v>
      </c>
      <c r="D30" s="2433" t="s">
        <v>237</v>
      </c>
      <c r="E30" s="2433"/>
      <c r="F30" s="2433"/>
      <c r="G30" s="2433"/>
      <c r="H30" s="414">
        <v>330</v>
      </c>
      <c r="I30" s="415">
        <f>SUM('05 利用者名簿'!BP3+'05 利用者名簿'!BQ3)-SUM('05 利用者名簿'!BT38+'05 利用者名簿'!BV38)</f>
        <v>0</v>
      </c>
      <c r="J30" s="2358"/>
      <c r="K30" s="2359"/>
      <c r="L30" s="768"/>
      <c r="M30" s="768"/>
      <c r="N30" s="768"/>
      <c r="O30" s="768"/>
      <c r="P30" s="2359"/>
      <c r="Q30" s="2359"/>
      <c r="R30" s="2359"/>
      <c r="S30" s="2405"/>
      <c r="T30" s="2416">
        <f>IF(I30=J30+L30+M30+N30+O30+P30+R30,H30*I30,"人数を再確認！")</f>
        <v>0</v>
      </c>
      <c r="U30" s="2417"/>
      <c r="V30" s="22"/>
      <c r="W30" s="2287"/>
      <c r="X30" s="2347"/>
      <c r="Y30" s="2292" t="s">
        <v>3089</v>
      </c>
      <c r="Z30" s="2293"/>
      <c r="AA30" s="2293"/>
      <c r="AB30" s="2293"/>
      <c r="AC30" s="2294"/>
      <c r="AD30" s="948">
        <v>250</v>
      </c>
      <c r="AE30" s="942">
        <f t="shared" si="1"/>
        <v>0</v>
      </c>
      <c r="AF30" s="2169"/>
      <c r="AG30" s="2150"/>
      <c r="AH30" s="2151"/>
      <c r="AI30" s="2149"/>
      <c r="AJ30" s="2150"/>
      <c r="AK30" s="2151"/>
      <c r="AL30" s="2149"/>
      <c r="AM30" s="2150"/>
      <c r="AN30" s="2151"/>
      <c r="AO30" s="2149"/>
      <c r="AP30" s="2150"/>
      <c r="AQ30" s="2151"/>
      <c r="AR30" s="2149"/>
      <c r="AS30" s="2150"/>
      <c r="AT30" s="2151"/>
      <c r="AU30" s="2157"/>
      <c r="AV30" s="2158"/>
      <c r="AW30" s="2159"/>
      <c r="AX30" s="2158"/>
      <c r="AY30" s="2158"/>
      <c r="AZ30" s="2617"/>
      <c r="BA30" s="949">
        <f t="shared" si="2"/>
        <v>0</v>
      </c>
      <c r="BB30" s="2413" t="s">
        <v>1391</v>
      </c>
      <c r="BC30" s="2427" t="s">
        <v>233</v>
      </c>
      <c r="BD30" s="2430" t="s">
        <v>234</v>
      </c>
      <c r="BE30" s="2433" t="s">
        <v>237</v>
      </c>
      <c r="BF30" s="2433"/>
      <c r="BG30" s="2433"/>
      <c r="BH30" s="2433"/>
      <c r="BI30" s="414">
        <v>330</v>
      </c>
      <c r="BJ30" s="415">
        <v>90</v>
      </c>
      <c r="BK30" s="2358">
        <v>90</v>
      </c>
      <c r="BL30" s="2359"/>
      <c r="BM30" s="768"/>
      <c r="BN30" s="768"/>
      <c r="BO30" s="768"/>
      <c r="BP30" s="768"/>
      <c r="BQ30" s="2359"/>
      <c r="BR30" s="2359"/>
      <c r="BS30" s="2359"/>
      <c r="BT30" s="2405"/>
      <c r="BU30" s="2416">
        <f>IF(BJ30=BK30+BM30+BN30+BO30+BP30+BQ30+BS30,BI30*BJ30,"人数を再確認！")</f>
        <v>29700</v>
      </c>
      <c r="BV30" s="2417"/>
      <c r="BW30" s="501"/>
      <c r="BX30" s="2287"/>
      <c r="BY30" s="2347"/>
      <c r="BZ30" s="2292" t="s">
        <v>3089</v>
      </c>
      <c r="CA30" s="2293"/>
      <c r="CB30" s="2293"/>
      <c r="CC30" s="2293"/>
      <c r="CD30" s="2294"/>
      <c r="CE30" s="948">
        <v>300</v>
      </c>
      <c r="CF30" s="942">
        <f t="shared" si="3"/>
        <v>108</v>
      </c>
      <c r="CG30" s="2169">
        <v>100</v>
      </c>
      <c r="CH30" s="2150"/>
      <c r="CI30" s="2151"/>
      <c r="CJ30" s="2149">
        <v>8</v>
      </c>
      <c r="CK30" s="2150"/>
      <c r="CL30" s="2151"/>
      <c r="CM30" s="2157"/>
      <c r="CN30" s="2158"/>
      <c r="CO30" s="2159"/>
      <c r="CP30" s="2157"/>
      <c r="CQ30" s="2158"/>
      <c r="CR30" s="2159"/>
      <c r="CS30" s="2157"/>
      <c r="CT30" s="2158"/>
      <c r="CU30" s="2159"/>
      <c r="CV30" s="469"/>
      <c r="CW30" s="469"/>
      <c r="CX30" s="946">
        <f t="shared" si="4"/>
        <v>32400</v>
      </c>
      <c r="CY30" s="19"/>
      <c r="CZ30" s="19"/>
      <c r="DA30" s="19"/>
      <c r="DB30" s="23" t="s">
        <v>235</v>
      </c>
      <c r="DC30" s="19">
        <f t="shared" si="5"/>
        <v>660</v>
      </c>
      <c r="DD30" s="914"/>
      <c r="DE30" s="18"/>
      <c r="DF30" s="19"/>
      <c r="DG30" s="84"/>
      <c r="DH30" s="83"/>
      <c r="DI30" s="83"/>
      <c r="DJ30" s="83"/>
      <c r="DK30" s="83"/>
      <c r="DL30" s="83"/>
      <c r="DM30" s="83"/>
    </row>
    <row r="31" spans="1:117" ht="27" customHeight="1">
      <c r="A31" s="2413"/>
      <c r="B31" s="2427"/>
      <c r="C31" s="2401"/>
      <c r="D31" s="2379" t="s">
        <v>428</v>
      </c>
      <c r="E31" s="2380"/>
      <c r="F31" s="2381"/>
      <c r="G31" s="2382"/>
      <c r="H31" s="417">
        <v>330</v>
      </c>
      <c r="I31" s="418">
        <f>'05 利用者名簿'!BR3-'05 利用者名簿'!BX38</f>
        <v>0</v>
      </c>
      <c r="J31" s="2383"/>
      <c r="K31" s="2384"/>
      <c r="L31" s="769"/>
      <c r="M31" s="769"/>
      <c r="N31" s="769"/>
      <c r="O31" s="769"/>
      <c r="P31" s="2384"/>
      <c r="Q31" s="2384"/>
      <c r="R31" s="2384"/>
      <c r="S31" s="2385"/>
      <c r="T31" s="2362">
        <f>IF(I31=J31+L31+M31+N31+O31+P31+R31,H31*I31,"人数を再確認！")</f>
        <v>0</v>
      </c>
      <c r="U31" s="2363"/>
      <c r="V31" s="87">
        <f>IF(I30*0.2&lt;J31+L31+M31+N31+O31+P31+R31,1,0)</f>
        <v>0</v>
      </c>
      <c r="W31" s="2287"/>
      <c r="X31" s="2347"/>
      <c r="Y31" s="2364" t="s">
        <v>3045</v>
      </c>
      <c r="Z31" s="2351"/>
      <c r="AA31" s="2351"/>
      <c r="AB31" s="2351"/>
      <c r="AC31" s="2352"/>
      <c r="AD31" s="2500">
        <v>100</v>
      </c>
      <c r="AE31" s="2508">
        <f>SUM(AF31:AX31)</f>
        <v>0</v>
      </c>
      <c r="AF31" s="2510"/>
      <c r="AG31" s="2203"/>
      <c r="AH31" s="2206"/>
      <c r="AI31" s="2202"/>
      <c r="AJ31" s="2203"/>
      <c r="AK31" s="2206"/>
      <c r="AL31" s="2202"/>
      <c r="AM31" s="2203"/>
      <c r="AN31" s="2206"/>
      <c r="AO31" s="2202"/>
      <c r="AP31" s="2203"/>
      <c r="AQ31" s="2206"/>
      <c r="AR31" s="2202"/>
      <c r="AS31" s="2203"/>
      <c r="AT31" s="2206"/>
      <c r="AU31" s="2202"/>
      <c r="AV31" s="2203"/>
      <c r="AW31" s="2206"/>
      <c r="AX31" s="2203"/>
      <c r="AY31" s="2203"/>
      <c r="AZ31" s="2579"/>
      <c r="BA31" s="2372">
        <f>IF(AE31=AF31+AI31+AL31+AO31+AR31+AU31+AX31,AE31*AD31,"人数を再確認！")</f>
        <v>0</v>
      </c>
      <c r="BB31" s="2413"/>
      <c r="BC31" s="2427"/>
      <c r="BD31" s="2401"/>
      <c r="BE31" s="2379" t="s">
        <v>428</v>
      </c>
      <c r="BF31" s="2380"/>
      <c r="BG31" s="2381"/>
      <c r="BH31" s="2382"/>
      <c r="BI31" s="417">
        <v>330</v>
      </c>
      <c r="BJ31" s="418">
        <v>7</v>
      </c>
      <c r="BK31" s="2383"/>
      <c r="BL31" s="2384"/>
      <c r="BM31" s="769">
        <v>7</v>
      </c>
      <c r="BN31" s="769"/>
      <c r="BO31" s="769"/>
      <c r="BP31" s="769"/>
      <c r="BQ31" s="2384"/>
      <c r="BR31" s="2384"/>
      <c r="BS31" s="2384"/>
      <c r="BT31" s="2385"/>
      <c r="BU31" s="2362">
        <f>IF(BJ31=BK31+BM31+BN31+BO31+BP31+BQ31+BS31,BI31*BJ31,"人数を再確認！")</f>
        <v>2310</v>
      </c>
      <c r="BV31" s="2363"/>
      <c r="BW31" s="501"/>
      <c r="BX31" s="2287"/>
      <c r="BY31" s="2347"/>
      <c r="BZ31" s="2364" t="s">
        <v>3045</v>
      </c>
      <c r="CA31" s="2351"/>
      <c r="CB31" s="2351"/>
      <c r="CC31" s="2351"/>
      <c r="CD31" s="2352"/>
      <c r="CE31" s="2500">
        <v>100</v>
      </c>
      <c r="CF31" s="2508">
        <f>SUM(CG31:CW31)</f>
        <v>0</v>
      </c>
      <c r="CG31" s="2510"/>
      <c r="CH31" s="2203"/>
      <c r="CI31" s="2206"/>
      <c r="CJ31" s="2202"/>
      <c r="CK31" s="2203"/>
      <c r="CL31" s="2206"/>
      <c r="CM31" s="2202"/>
      <c r="CN31" s="2203"/>
      <c r="CO31" s="2206"/>
      <c r="CP31" s="2202"/>
      <c r="CQ31" s="2203"/>
      <c r="CR31" s="2206"/>
      <c r="CS31" s="2202"/>
      <c r="CT31" s="2203"/>
      <c r="CU31" s="2203"/>
      <c r="CV31" s="2198"/>
      <c r="CW31" s="2200"/>
      <c r="CX31" s="2187">
        <f>IF(CF31=CG31+CJ31+CM31+CP31+CS31+CV31+CW31,CF31*CE31,"人数を再確認！")</f>
        <v>0</v>
      </c>
      <c r="CY31" s="19"/>
      <c r="CZ31" s="19"/>
      <c r="DA31" s="19"/>
      <c r="DB31" s="23" t="s">
        <v>236</v>
      </c>
      <c r="DC31" s="19">
        <f t="shared" si="5"/>
        <v>700</v>
      </c>
      <c r="DD31" s="914"/>
      <c r="DE31" s="18"/>
      <c r="DF31" s="19"/>
      <c r="DG31" s="84"/>
      <c r="DH31" s="83"/>
      <c r="DI31" s="83"/>
      <c r="DJ31" s="83"/>
      <c r="DK31" s="83"/>
      <c r="DL31" s="83"/>
      <c r="DM31" s="83"/>
    </row>
    <row r="32" spans="1:117" ht="27" customHeight="1" thickBot="1">
      <c r="A32" s="2414"/>
      <c r="B32" s="2428"/>
      <c r="C32" s="2431"/>
      <c r="D32" s="2404" t="s">
        <v>241</v>
      </c>
      <c r="E32" s="2404"/>
      <c r="F32" s="2404"/>
      <c r="G32" s="2404"/>
      <c r="H32" s="420">
        <v>0</v>
      </c>
      <c r="I32" s="418">
        <f>'05 利用者名簿'!BT38+'05 利用者名簿'!BV38+'05 利用者名簿'!BX38+'05 利用者名簿'!BZ38</f>
        <v>0</v>
      </c>
      <c r="J32" s="2383"/>
      <c r="K32" s="2384"/>
      <c r="L32" s="769"/>
      <c r="M32" s="769"/>
      <c r="N32" s="769"/>
      <c r="O32" s="769"/>
      <c r="P32" s="2384"/>
      <c r="Q32" s="2384"/>
      <c r="R32" s="2384"/>
      <c r="S32" s="2385"/>
      <c r="T32" s="2422" t="str">
        <f>IF(I32=J32+L32+M32+N32+O32+P32+R32,"無料","人数を再確認！")</f>
        <v>無料</v>
      </c>
      <c r="U32" s="2423"/>
      <c r="V32" s="24"/>
      <c r="W32" s="2287"/>
      <c r="X32" s="2347"/>
      <c r="Y32" s="2505" t="s">
        <v>3100</v>
      </c>
      <c r="Z32" s="2506"/>
      <c r="AA32" s="2506"/>
      <c r="AB32" s="2506"/>
      <c r="AC32" s="2507"/>
      <c r="AD32" s="2501"/>
      <c r="AE32" s="2509"/>
      <c r="AF32" s="2511"/>
      <c r="AG32" s="2205"/>
      <c r="AH32" s="2207"/>
      <c r="AI32" s="2204"/>
      <c r="AJ32" s="2205"/>
      <c r="AK32" s="2207"/>
      <c r="AL32" s="2204"/>
      <c r="AM32" s="2205"/>
      <c r="AN32" s="2207"/>
      <c r="AO32" s="2204"/>
      <c r="AP32" s="2205"/>
      <c r="AQ32" s="2207"/>
      <c r="AR32" s="2204"/>
      <c r="AS32" s="2205"/>
      <c r="AT32" s="2207"/>
      <c r="AU32" s="2204"/>
      <c r="AV32" s="2205"/>
      <c r="AW32" s="2207"/>
      <c r="AX32" s="2205"/>
      <c r="AY32" s="2205"/>
      <c r="AZ32" s="2580"/>
      <c r="BA32" s="2527"/>
      <c r="BB32" s="2414"/>
      <c r="BC32" s="2428"/>
      <c r="BD32" s="2431"/>
      <c r="BE32" s="2404" t="s">
        <v>241</v>
      </c>
      <c r="BF32" s="2404"/>
      <c r="BG32" s="2404"/>
      <c r="BH32" s="2404"/>
      <c r="BI32" s="420">
        <v>0</v>
      </c>
      <c r="BJ32" s="418">
        <v>11</v>
      </c>
      <c r="BK32" s="2383">
        <v>10</v>
      </c>
      <c r="BL32" s="2384"/>
      <c r="BM32" s="769">
        <v>1</v>
      </c>
      <c r="BN32" s="769"/>
      <c r="BO32" s="769"/>
      <c r="BP32" s="769"/>
      <c r="BQ32" s="2384"/>
      <c r="BR32" s="2384"/>
      <c r="BS32" s="2384"/>
      <c r="BT32" s="2385"/>
      <c r="BU32" s="2422" t="str">
        <f>IF(BJ32=BK32+BM32+BN32+BO32+BP32+BQ32+BS32,"無料","人数を再確認！")</f>
        <v>無料</v>
      </c>
      <c r="BV32" s="2423"/>
      <c r="BW32" s="507"/>
      <c r="BX32" s="2287"/>
      <c r="BY32" s="2347"/>
      <c r="BZ32" s="2505" t="s">
        <v>3100</v>
      </c>
      <c r="CA32" s="2506"/>
      <c r="CB32" s="2506"/>
      <c r="CC32" s="2506"/>
      <c r="CD32" s="2507"/>
      <c r="CE32" s="2501"/>
      <c r="CF32" s="2509"/>
      <c r="CG32" s="2511"/>
      <c r="CH32" s="2205"/>
      <c r="CI32" s="2207"/>
      <c r="CJ32" s="2204"/>
      <c r="CK32" s="2205"/>
      <c r="CL32" s="2207"/>
      <c r="CM32" s="2204"/>
      <c r="CN32" s="2205"/>
      <c r="CO32" s="2207"/>
      <c r="CP32" s="2204"/>
      <c r="CQ32" s="2205"/>
      <c r="CR32" s="2207"/>
      <c r="CS32" s="2204"/>
      <c r="CT32" s="2205"/>
      <c r="CU32" s="2205"/>
      <c r="CV32" s="2199"/>
      <c r="CW32" s="2201"/>
      <c r="CX32" s="2188"/>
      <c r="CY32" s="19"/>
      <c r="CZ32" s="19"/>
      <c r="DA32" s="19"/>
      <c r="DB32" s="23" t="s">
        <v>238</v>
      </c>
      <c r="DC32" s="19">
        <f t="shared" si="5"/>
        <v>440</v>
      </c>
      <c r="DD32" s="914"/>
      <c r="DE32" s="18"/>
      <c r="DF32" s="19"/>
      <c r="DG32" s="84"/>
      <c r="DH32" s="83"/>
      <c r="DI32" s="83"/>
      <c r="DJ32" s="83"/>
      <c r="DK32" s="83"/>
      <c r="DL32" s="83"/>
      <c r="DM32" s="83"/>
    </row>
    <row r="33" spans="1:117" ht="27" customHeight="1" thickBot="1">
      <c r="A33" s="2413"/>
      <c r="B33" s="2427"/>
      <c r="C33" s="2401"/>
      <c r="D33" s="2404" t="s">
        <v>242</v>
      </c>
      <c r="E33" s="2404"/>
      <c r="F33" s="2404"/>
      <c r="G33" s="2404"/>
      <c r="H33" s="421">
        <v>1100</v>
      </c>
      <c r="I33" s="418">
        <f>'05 利用者名簿'!BS3-'05 利用者名簿'!BS10</f>
        <v>0</v>
      </c>
      <c r="J33" s="2468"/>
      <c r="K33" s="2410"/>
      <c r="L33" s="764"/>
      <c r="M33" s="764"/>
      <c r="N33" s="764"/>
      <c r="O33" s="423"/>
      <c r="P33" s="2410"/>
      <c r="Q33" s="2410"/>
      <c r="R33" s="2410"/>
      <c r="S33" s="2411"/>
      <c r="T33" s="2416">
        <f>IF(I33=J33+L33+M33+N33+O33+P33+R33,H33*I33,"人数を再確認！")</f>
        <v>0</v>
      </c>
      <c r="U33" s="2417"/>
      <c r="V33" s="21"/>
      <c r="W33" s="2287"/>
      <c r="X33" s="2347"/>
      <c r="Y33" s="2292"/>
      <c r="Z33" s="2293"/>
      <c r="AA33" s="2293"/>
      <c r="AB33" s="2293"/>
      <c r="AC33" s="2294"/>
      <c r="AD33" s="489"/>
      <c r="AE33" s="490">
        <f>SUM(AF33:AX33)</f>
        <v>0</v>
      </c>
      <c r="AF33" s="2189"/>
      <c r="AG33" s="2190"/>
      <c r="AH33" s="2191"/>
      <c r="AI33" s="2168"/>
      <c r="AJ33" s="2166"/>
      <c r="AK33" s="2167"/>
      <c r="AL33" s="2168"/>
      <c r="AM33" s="2166"/>
      <c r="AN33" s="2167"/>
      <c r="AO33" s="2192"/>
      <c r="AP33" s="2193"/>
      <c r="AQ33" s="2194"/>
      <c r="AR33" s="2192"/>
      <c r="AS33" s="2193"/>
      <c r="AT33" s="2194"/>
      <c r="AU33" s="2192"/>
      <c r="AV33" s="2193"/>
      <c r="AW33" s="2194"/>
      <c r="AX33" s="2193"/>
      <c r="AY33" s="2193"/>
      <c r="AZ33" s="2581"/>
      <c r="BA33" s="1060">
        <f>IF(AE33=AF33+AI33+AL33+AO33+AR33+AU33+AX33,AE33*AD33,"数量を再確認！")</f>
        <v>0</v>
      </c>
      <c r="BB33" s="2413"/>
      <c r="BC33" s="2427"/>
      <c r="BD33" s="2401"/>
      <c r="BE33" s="2404" t="s">
        <v>242</v>
      </c>
      <c r="BF33" s="2404"/>
      <c r="BG33" s="2404"/>
      <c r="BH33" s="2404"/>
      <c r="BI33" s="421">
        <v>1100</v>
      </c>
      <c r="BJ33" s="418">
        <f>'05 利用者名簿'!DP3-'05 利用者名簿'!DP10</f>
        <v>0</v>
      </c>
      <c r="BK33" s="2468"/>
      <c r="BL33" s="2410"/>
      <c r="BM33" s="764"/>
      <c r="BN33" s="764"/>
      <c r="BO33" s="764"/>
      <c r="BP33" s="423"/>
      <c r="BQ33" s="2410"/>
      <c r="BR33" s="2410"/>
      <c r="BS33" s="2410"/>
      <c r="BT33" s="2411"/>
      <c r="BU33" s="2416">
        <f>IF(BJ33=BK33+BM33+BN33+BO33+BP33+BQ33+BS33,BI33*BJ33,"人数を再確認！")</f>
        <v>0</v>
      </c>
      <c r="BV33" s="2417"/>
      <c r="BW33" s="493"/>
      <c r="BX33" s="2287"/>
      <c r="BY33" s="2347"/>
      <c r="BZ33" s="2292"/>
      <c r="CA33" s="2293"/>
      <c r="CB33" s="2293"/>
      <c r="CC33" s="2293"/>
      <c r="CD33" s="2294"/>
      <c r="CE33" s="489"/>
      <c r="CF33" s="490">
        <f>SUM(CG33:CW33)</f>
        <v>0</v>
      </c>
      <c r="CG33" s="2189"/>
      <c r="CH33" s="2190"/>
      <c r="CI33" s="2191"/>
      <c r="CJ33" s="2168"/>
      <c r="CK33" s="2166"/>
      <c r="CL33" s="2167"/>
      <c r="CM33" s="2168"/>
      <c r="CN33" s="2166"/>
      <c r="CO33" s="2167"/>
      <c r="CP33" s="2192"/>
      <c r="CQ33" s="2193"/>
      <c r="CR33" s="2194"/>
      <c r="CS33" s="2192"/>
      <c r="CT33" s="2193"/>
      <c r="CU33" s="2194"/>
      <c r="CV33" s="483"/>
      <c r="CW33" s="484"/>
      <c r="CX33" s="485">
        <f>IF(CF33=CG33+CJ33+CM33+CP33+CS33+CV33+CW33,CF33*CE33,"数量を再確認！")</f>
        <v>0</v>
      </c>
      <c r="CY33" s="19"/>
      <c r="CZ33" s="19"/>
      <c r="DA33" s="19"/>
      <c r="DB33" s="23" t="s">
        <v>239</v>
      </c>
      <c r="DC33" s="19">
        <f t="shared" si="5"/>
        <v>530</v>
      </c>
      <c r="DD33" s="914"/>
      <c r="DE33" s="18"/>
      <c r="DF33" s="19"/>
      <c r="DG33" s="84"/>
      <c r="DH33" s="83"/>
      <c r="DI33" s="83"/>
      <c r="DJ33" s="83"/>
      <c r="DK33" s="83"/>
      <c r="DL33" s="83"/>
      <c r="DM33" s="83"/>
    </row>
    <row r="34" spans="1:117" ht="27" customHeight="1" thickTop="1" thickBot="1">
      <c r="A34" s="2413"/>
      <c r="B34" s="2427"/>
      <c r="C34" s="2401"/>
      <c r="D34" s="2418"/>
      <c r="E34" s="2419"/>
      <c r="F34" s="2420"/>
      <c r="G34" s="2421"/>
      <c r="H34" s="424"/>
      <c r="I34" s="425"/>
      <c r="J34" s="2434"/>
      <c r="K34" s="2435"/>
      <c r="L34" s="426"/>
      <c r="M34" s="426"/>
      <c r="N34" s="426"/>
      <c r="O34" s="427"/>
      <c r="P34" s="2435"/>
      <c r="Q34" s="2435"/>
      <c r="R34" s="2435"/>
      <c r="S34" s="2435"/>
      <c r="T34" s="2446"/>
      <c r="U34" s="2447"/>
      <c r="V34" s="21"/>
      <c r="W34" s="2287"/>
      <c r="X34" s="2347"/>
      <c r="Y34" s="2436"/>
      <c r="Z34" s="2437"/>
      <c r="AA34" s="2437"/>
      <c r="AB34" s="2437"/>
      <c r="AC34" s="2438"/>
      <c r="AD34" s="935"/>
      <c r="AE34" s="490">
        <f>SUM(AF34:AX34)</f>
        <v>0</v>
      </c>
      <c r="AF34" s="2232"/>
      <c r="AG34" s="2182"/>
      <c r="AH34" s="2183"/>
      <c r="AI34" s="2181"/>
      <c r="AJ34" s="2182"/>
      <c r="AK34" s="2183"/>
      <c r="AL34" s="2181"/>
      <c r="AM34" s="2182"/>
      <c r="AN34" s="2183"/>
      <c r="AO34" s="2195"/>
      <c r="AP34" s="2196"/>
      <c r="AQ34" s="2197"/>
      <c r="AR34" s="2195"/>
      <c r="AS34" s="2196"/>
      <c r="AT34" s="2197"/>
      <c r="AU34" s="2195"/>
      <c r="AV34" s="2196"/>
      <c r="AW34" s="2197"/>
      <c r="AX34" s="2196"/>
      <c r="AY34" s="2196"/>
      <c r="AZ34" s="2582"/>
      <c r="BA34" s="1061">
        <f>IF(AE34=AF34+AI34+AL34+AO34+AR34+AU34+AX34,AE34*AD34,"数量を再確認！")</f>
        <v>0</v>
      </c>
      <c r="BB34" s="2413"/>
      <c r="BC34" s="2427"/>
      <c r="BD34" s="2401"/>
      <c r="BE34" s="2418"/>
      <c r="BF34" s="2419"/>
      <c r="BG34" s="2420"/>
      <c r="BH34" s="2421"/>
      <c r="BI34" s="424"/>
      <c r="BJ34" s="425"/>
      <c r="BK34" s="2434"/>
      <c r="BL34" s="2435"/>
      <c r="BM34" s="426"/>
      <c r="BN34" s="426"/>
      <c r="BO34" s="426"/>
      <c r="BP34" s="427"/>
      <c r="BQ34" s="2435"/>
      <c r="BR34" s="2435"/>
      <c r="BS34" s="2435"/>
      <c r="BT34" s="2435"/>
      <c r="BU34" s="2446"/>
      <c r="BV34" s="2447"/>
      <c r="BW34" s="493"/>
      <c r="BX34" s="2287"/>
      <c r="BY34" s="2347"/>
      <c r="BZ34" s="2436"/>
      <c r="CA34" s="2437"/>
      <c r="CB34" s="2437"/>
      <c r="CC34" s="2437"/>
      <c r="CD34" s="2438"/>
      <c r="CE34" s="935"/>
      <c r="CF34" s="490">
        <f>SUM(CG34:CW34)</f>
        <v>0</v>
      </c>
      <c r="CG34" s="2160"/>
      <c r="CH34" s="2158"/>
      <c r="CI34" s="2159"/>
      <c r="CJ34" s="2181"/>
      <c r="CK34" s="2182"/>
      <c r="CL34" s="2183"/>
      <c r="CM34" s="2181"/>
      <c r="CN34" s="2182"/>
      <c r="CO34" s="2183"/>
      <c r="CP34" s="2195"/>
      <c r="CQ34" s="2196"/>
      <c r="CR34" s="2197"/>
      <c r="CS34" s="2195"/>
      <c r="CT34" s="2196"/>
      <c r="CU34" s="2197"/>
      <c r="CV34" s="945"/>
      <c r="CW34" s="481"/>
      <c r="CX34" s="486">
        <f>IF(CF34=CG34+CJ34+CM34+CP34+CS34+CV34+CW34,CF34*CE34,"数量を再確認！")</f>
        <v>0</v>
      </c>
      <c r="CY34" s="19"/>
      <c r="CZ34" s="19"/>
      <c r="DA34" s="19"/>
      <c r="DB34" s="23" t="s">
        <v>240</v>
      </c>
      <c r="DC34" s="19">
        <f t="shared" si="5"/>
        <v>570</v>
      </c>
      <c r="DD34" s="19"/>
      <c r="DE34" s="18"/>
      <c r="DF34" s="19"/>
      <c r="DG34" s="84"/>
      <c r="DH34" s="83"/>
      <c r="DI34" s="83"/>
      <c r="DJ34" s="83"/>
      <c r="DK34" s="83"/>
      <c r="DL34" s="83"/>
      <c r="DM34" s="83"/>
    </row>
    <row r="35" spans="1:117" ht="27" customHeight="1" thickTop="1" thickBot="1">
      <c r="A35" s="2413"/>
      <c r="B35" s="2427"/>
      <c r="C35" s="2401"/>
      <c r="D35" s="2418"/>
      <c r="E35" s="2419"/>
      <c r="F35" s="2420"/>
      <c r="G35" s="2421"/>
      <c r="H35" s="424"/>
      <c r="I35" s="425"/>
      <c r="J35" s="2467"/>
      <c r="K35" s="2445"/>
      <c r="L35" s="428"/>
      <c r="M35" s="428"/>
      <c r="N35" s="428"/>
      <c r="O35" s="429"/>
      <c r="P35" s="2445"/>
      <c r="Q35" s="2445"/>
      <c r="R35" s="2445"/>
      <c r="S35" s="2445"/>
      <c r="T35" s="2446"/>
      <c r="U35" s="2447"/>
      <c r="V35" s="21"/>
      <c r="W35" s="2288"/>
      <c r="X35" s="2348"/>
      <c r="Y35" s="2249" t="s">
        <v>1392</v>
      </c>
      <c r="Z35" s="2250"/>
      <c r="AA35" s="2250"/>
      <c r="AB35" s="2250"/>
      <c r="AC35" s="2250"/>
      <c r="AD35" s="2250"/>
      <c r="AE35" s="2251"/>
      <c r="AF35" s="2502">
        <f>$AD26*AF26+$AD28*AF28+$AD30*AF30+$AD31*AF31+$AD22*AF22+$AD23*AF23+$AD24*AF24+$AD25*AF25+$AD27*AF27+$AD29*AF29+$AD33*AF33+$AD34*AF34</f>
        <v>0</v>
      </c>
      <c r="AG35" s="2503"/>
      <c r="AH35" s="2504"/>
      <c r="AI35" s="2502">
        <f>$AD26*AI26+$AD28*AI28+$AD30*AI30+$AD31*AI31+$AD22*AI22+$AD23*AI23+$AD24*AI24+$AD25*AI25+$AD27*AI27+$AD29*AI29+$AD33*AI33+$AD34*AI34</f>
        <v>0</v>
      </c>
      <c r="AJ35" s="2503"/>
      <c r="AK35" s="2504"/>
      <c r="AL35" s="2502">
        <f>$AD26*AL26+$AD28*AL28+$AD30*AL30+$AD31*AL31+$AD22*AL22+$AD23*AL23+$AD24*AL24+$AD25*AL25+$AD27*AL27+$AD29*AL29+$AD33*AL33+$AD34*AL34</f>
        <v>0</v>
      </c>
      <c r="AM35" s="2503"/>
      <c r="AN35" s="2504"/>
      <c r="AO35" s="2502">
        <f>$AD26*AO26+$AD28*AO28+$AD30*AO30+$AD31*AO31+$AD22*AO22+$AD23*AO23+$AD24*AO24+$AD25*AO25+$AD27*AO27+$AD29*AO29+$AD33*AO33+$AD34*AO34</f>
        <v>0</v>
      </c>
      <c r="AP35" s="2503"/>
      <c r="AQ35" s="2504"/>
      <c r="AR35" s="2502">
        <f>$AD26*AR26+$AD28*AR28+$AD30*AR30+$AD31*AR31+$AD22*AR22+$AD23*AR23+$AD24*AR24+$AD25*AR25+$AD27*AR27+$AD29*AR29+$AD33*AR33+$AD34*AR34</f>
        <v>0</v>
      </c>
      <c r="AS35" s="2503"/>
      <c r="AT35" s="2504"/>
      <c r="AU35" s="2539">
        <f>$AD26*AU26+$AD28*AU28+$AD30*AU30+$AD31*AU31+$AD22*AU22+$AD23*AU23+$AD24*AU24+$AD25*AU25+$AD27*AU27+$AD29*AU29+$AD33*AU33+$AD34*AU34</f>
        <v>0</v>
      </c>
      <c r="AV35" s="2540"/>
      <c r="AW35" s="2541"/>
      <c r="AX35" s="2539">
        <f>$AD26*AX26+$AD28*AX28+$AD30*AX30+$AD31*AX31+$AD22*AX22+$AD23*AX23+$AD24*AX24+$AD25*AX25+$AD27*AX27+$AD29*AX29+$AD33*AX33+$AD34*AX34</f>
        <v>0</v>
      </c>
      <c r="AY35" s="2540"/>
      <c r="AZ35" s="2541"/>
      <c r="BA35" s="613">
        <f>IF(COUNTIF(BA22:BA34,"数量を再確認！"),"数量を再確認！",SUM(BA22:BA34))</f>
        <v>0</v>
      </c>
      <c r="BB35" s="2413"/>
      <c r="BC35" s="2427"/>
      <c r="BD35" s="2401"/>
      <c r="BE35" s="2418"/>
      <c r="BF35" s="2419"/>
      <c r="BG35" s="2420"/>
      <c r="BH35" s="2421"/>
      <c r="BI35" s="424"/>
      <c r="BJ35" s="425"/>
      <c r="BK35" s="2467"/>
      <c r="BL35" s="2445"/>
      <c r="BM35" s="428"/>
      <c r="BN35" s="428"/>
      <c r="BO35" s="428"/>
      <c r="BP35" s="429"/>
      <c r="BQ35" s="2445"/>
      <c r="BR35" s="2445"/>
      <c r="BS35" s="2445"/>
      <c r="BT35" s="2445"/>
      <c r="BU35" s="2446"/>
      <c r="BV35" s="2447"/>
      <c r="BW35" s="493"/>
      <c r="BX35" s="2288"/>
      <c r="BY35" s="2348"/>
      <c r="BZ35" s="2249" t="s">
        <v>1392</v>
      </c>
      <c r="CA35" s="2250"/>
      <c r="CB35" s="2250"/>
      <c r="CC35" s="2250"/>
      <c r="CD35" s="2250"/>
      <c r="CE35" s="2250"/>
      <c r="CF35" s="2251"/>
      <c r="CG35" s="2208">
        <f>$CE31*CF31+$CE22*CF22+$CE23*CF23+$CE24*CF24+$CE25*CF25+$CE27*CF27+$CE29*CF29+CE33*CF33+CE34*CF34</f>
        <v>33740</v>
      </c>
      <c r="CH35" s="2209"/>
      <c r="CI35" s="2210"/>
      <c r="CJ35" s="2208">
        <f>$AD$22*CJ22+$AD$23*CJ23+$AD$24*CJ24+$AD$25*CJ25+$AD$27*CJ27+$AD$29*CJ29+$AD$31*CJ31+$AD$33*CJ33+$AD$34*CJ34</f>
        <v>2240</v>
      </c>
      <c r="CK35" s="2209"/>
      <c r="CL35" s="2210"/>
      <c r="CM35" s="2208">
        <f>$AD22*CM22+$AD23*CM23+$AD24*CM24+$AD25*CM25+$AD27*CM27+$AD29*CM29+CM31*CE31+CM33*CE33+CM34*CE34</f>
        <v>0</v>
      </c>
      <c r="CN35" s="2209"/>
      <c r="CO35" s="2210"/>
      <c r="CP35" s="2539">
        <f>$AD31*CP31+$AD22*CP22+$AD23*CP23+$AD24*CP24+$AD25*CP25+$AD27*CP27+$AD29*CP29+CE33*CP33+CE34*CP34</f>
        <v>3500</v>
      </c>
      <c r="CQ35" s="2540"/>
      <c r="CR35" s="2541"/>
      <c r="CS35" s="2539">
        <f>$AD31*CS31+$AD22*CS22+$AD23*CS23+$AD24*CS24+$AD25*CS25+$AD27*CS27+$AD29*CS29+CE33*CS33+CE34*CS34</f>
        <v>0</v>
      </c>
      <c r="CT35" s="2540"/>
      <c r="CU35" s="2541"/>
      <c r="CV35" s="477">
        <f>$AD31*CV31+$AD22*CV22+$AD23*CV23+$AD24*CV24+$AD25*CV25+$AD27*CV27+$AD29*CV29+CE33*CV33+CE34*CV34</f>
        <v>0</v>
      </c>
      <c r="CW35" s="477">
        <f>$AD31*CW31+$AD22*CW22+$AD23*CW23+$AD24*CW24+$AD25*CW25+$AD27*CW27+$AD29*CW29+CE33*CW33+CE34*CW34</f>
        <v>0</v>
      </c>
      <c r="CX35" s="820">
        <f>SUM(CX22:CX34)</f>
        <v>72620</v>
      </c>
      <c r="CY35" s="19"/>
      <c r="CZ35" s="19"/>
      <c r="DA35" s="19"/>
      <c r="DB35" s="2546" t="s">
        <v>101</v>
      </c>
      <c r="DC35" s="2546"/>
      <c r="DD35" s="914"/>
      <c r="DE35" s="18"/>
      <c r="DF35" s="19"/>
      <c r="DG35" s="84"/>
      <c r="DH35" s="83"/>
      <c r="DI35" s="83"/>
      <c r="DJ35" s="83"/>
      <c r="DK35" s="83"/>
      <c r="DL35" s="83"/>
      <c r="DM35" s="83"/>
    </row>
    <row r="36" spans="1:117" ht="27" customHeight="1" thickTop="1">
      <c r="A36" s="2413"/>
      <c r="B36" s="2427"/>
      <c r="C36" s="2401"/>
      <c r="D36" s="2464"/>
      <c r="E36" s="2464"/>
      <c r="F36" s="2464"/>
      <c r="G36" s="2464"/>
      <c r="H36" s="430"/>
      <c r="I36" s="431"/>
      <c r="J36" s="2465"/>
      <c r="K36" s="2466"/>
      <c r="L36" s="432"/>
      <c r="M36" s="433"/>
      <c r="N36" s="432"/>
      <c r="O36" s="433"/>
      <c r="P36" s="2466"/>
      <c r="Q36" s="2466"/>
      <c r="R36" s="2466"/>
      <c r="S36" s="2466"/>
      <c r="T36" s="2474"/>
      <c r="U36" s="2475"/>
      <c r="V36" s="165"/>
      <c r="W36" s="2493" t="s">
        <v>78</v>
      </c>
      <c r="X36" s="2495" t="s">
        <v>1400</v>
      </c>
      <c r="Y36" s="2495"/>
      <c r="Z36" s="2495"/>
      <c r="AA36" s="2495"/>
      <c r="AB36" s="2495"/>
      <c r="AC36" s="2495"/>
      <c r="AD36" s="2495"/>
      <c r="AE36" s="2496"/>
      <c r="AF36" s="2458">
        <f>($AD26*AF26+$AD28*AF28+$AD30*AF30+AF22*$AD22+AF25*$AD25+AF27*$AD27+AF29*$AD29+AF31*$AD31+AF33*$AD33+AF34*$AD34)+AF21+J29+J46</f>
        <v>0</v>
      </c>
      <c r="AG36" s="2459"/>
      <c r="AH36" s="2460"/>
      <c r="AI36" s="2458">
        <f>($AD26*AI26+$AD28*AI28+$AD30*AI30+AI22*$AD22+AI25*$AD25+AI27*$AD27+AI29*$AD29+AI31*$AD31+AI33*$AD33+AI34*$AD34)+AI21+L29+L46</f>
        <v>0</v>
      </c>
      <c r="AJ36" s="2459"/>
      <c r="AK36" s="2460"/>
      <c r="AL36" s="2458">
        <f>($AD26*AL26+$AD28*AL28+$AD30*AL30+AL22*$AD22+AL25*$AD25+AL27*$AD27+AL29*$AD29+AL31*$AD31+AL33*$AD33+AL34*$AD34)+AL21+M29+M46</f>
        <v>0</v>
      </c>
      <c r="AM36" s="2459"/>
      <c r="AN36" s="2460"/>
      <c r="AO36" s="2458">
        <f>($AD26*AO26+$AD28*AO28+$AD30*AO30+AO22*$AD22+AO25*$AD25+AO27*$AD27+AO29*$AD29+AO31*$AD31+AO33*$AD33+AO34*$AD34)+AO21+N29+N46</f>
        <v>0</v>
      </c>
      <c r="AP36" s="2459"/>
      <c r="AQ36" s="2460"/>
      <c r="AR36" s="2458">
        <f>($AD26*AR26+$AD28*AR28+$AD30*AR30+AR22*$AD22+AR25*$AD25+AR27*$AD27+AR29*$AD29+AR31*$AD31+AR33*$AD33+AR34*$AD34)+AR21+O29+O46</f>
        <v>0</v>
      </c>
      <c r="AS36" s="2459"/>
      <c r="AT36" s="2460"/>
      <c r="AU36" s="2589">
        <f>(AD26*AU26+AD28*AU28+AD30*AU30+AU22*AD22+AU25*AD25+AU27*AD27+AU29*AD29+AU31*AD31+AU33*AD33+AU34*AD34)+AU21+P29+P46</f>
        <v>0</v>
      </c>
      <c r="AV36" s="2590"/>
      <c r="AW36" s="2591"/>
      <c r="AX36" s="2590">
        <f>(AD26*AX26+AD28*AX28+AD30*AX30+AX22*AD22+AX25*AD25+AX27*AD27+AX29*AD29+AX31*AD31+AX33*AD33+AX34*AD34)+AX21+Q29+Q46</f>
        <v>0</v>
      </c>
      <c r="AY36" s="2590"/>
      <c r="AZ36" s="2592"/>
      <c r="BA36" s="612">
        <f>SUM(AF36:AX36)</f>
        <v>0</v>
      </c>
      <c r="BB36" s="2413"/>
      <c r="BC36" s="2427"/>
      <c r="BD36" s="2401"/>
      <c r="BE36" s="2464"/>
      <c r="BF36" s="2464"/>
      <c r="BG36" s="2464"/>
      <c r="BH36" s="2464"/>
      <c r="BI36" s="430"/>
      <c r="BJ36" s="431"/>
      <c r="BK36" s="2465"/>
      <c r="BL36" s="2466"/>
      <c r="BM36" s="432"/>
      <c r="BN36" s="433"/>
      <c r="BO36" s="432"/>
      <c r="BP36" s="433"/>
      <c r="BQ36" s="2466"/>
      <c r="BR36" s="2466"/>
      <c r="BS36" s="2466"/>
      <c r="BT36" s="2466"/>
      <c r="BU36" s="2474"/>
      <c r="BV36" s="2475"/>
      <c r="BW36" s="493"/>
      <c r="BX36" s="2493" t="s">
        <v>78</v>
      </c>
      <c r="BY36" s="2495" t="s">
        <v>1400</v>
      </c>
      <c r="BZ36" s="2495"/>
      <c r="CA36" s="2495"/>
      <c r="CB36" s="2495"/>
      <c r="CC36" s="2495"/>
      <c r="CD36" s="2495"/>
      <c r="CE36" s="2495"/>
      <c r="CF36" s="2496"/>
      <c r="CG36" s="2458">
        <f>(CG22*CE22+CG25*CE25+CG27*CE27+CG29*CE29+CG31*CE31+CG33*CE33+CG34*CE34)+CG21+BK29+BK46</f>
        <v>288700</v>
      </c>
      <c r="CH36" s="2459"/>
      <c r="CI36" s="2460"/>
      <c r="CJ36" s="2458">
        <f>(CJ22*CE22+CJ25*CE25+CJ27*CE27+CJ29*CE29+CJ31*CE31+CJ33*CE33+CJ34*CE34)+CJ21+BM29+BM46</f>
        <v>28650</v>
      </c>
      <c r="CK36" s="2459"/>
      <c r="CL36" s="2460"/>
      <c r="CM36" s="2458">
        <f>(CM22*CE22+CM25*CE25+CM27*CE27+CM29*CE29+CM31*CE31+CM33*CE33+CM34*CE34)+CM21+BN29+BN46</f>
        <v>0</v>
      </c>
      <c r="CN36" s="2459"/>
      <c r="CO36" s="2460"/>
      <c r="CP36" s="2458">
        <f>(CP22*CE22+CP25*CE25+CP27*CE27+CP29*CE29+CP31*CE31+CP33*CE33+CP34*CE34)+CP21+BO29+BO46</f>
        <v>3500</v>
      </c>
      <c r="CQ36" s="2459"/>
      <c r="CR36" s="2460"/>
      <c r="CS36" s="2458">
        <f>(CS22*CE22+CS25*CE25+CS27*CE27+CS29*CE29+CS31*CE31+CS33*CE33+CS34*CE34)+CS21+BP29+BP46</f>
        <v>700</v>
      </c>
      <c r="CT36" s="2459"/>
      <c r="CU36" s="2460"/>
      <c r="CV36" s="772">
        <f>(CV22*CE22+CV25*CE25+CV27*CE27+CV29*CE29+CV31*CE31+CV33*CE33+CV34*CE34)+CV21+BQ29+BQ46</f>
        <v>350</v>
      </c>
      <c r="CW36" s="771">
        <f>(CW22*CF22+CW25*CF25+CW27*CF27+CW29*CF29+CW31*CF31+CW33*CF33+CW34*CF34)+CW21+BS29+BS46</f>
        <v>0</v>
      </c>
      <c r="CX36" s="821">
        <f>SUM(CG36:CW36)</f>
        <v>321900</v>
      </c>
      <c r="CY36" s="19"/>
      <c r="CZ36" s="19"/>
      <c r="DA36" s="19"/>
      <c r="DB36" s="23" t="s">
        <v>2993</v>
      </c>
      <c r="DC36" s="19">
        <v>300</v>
      </c>
      <c r="DD36" s="914"/>
      <c r="DE36" s="18"/>
      <c r="DF36" s="19"/>
      <c r="DG36" s="84"/>
      <c r="DH36" s="83"/>
      <c r="DI36" s="83"/>
      <c r="DJ36" s="83"/>
      <c r="DK36" s="83"/>
      <c r="DL36" s="83"/>
      <c r="DM36" s="83"/>
    </row>
    <row r="37" spans="1:117" ht="27" customHeight="1" thickBot="1">
      <c r="A37" s="2413"/>
      <c r="B37" s="2427"/>
      <c r="C37" s="2432"/>
      <c r="D37" s="2512" t="s">
        <v>554</v>
      </c>
      <c r="E37" s="2513"/>
      <c r="F37" s="2513"/>
      <c r="G37" s="2513"/>
      <c r="H37" s="2514"/>
      <c r="I37" s="434">
        <f>SUM(I30:I33)</f>
        <v>0</v>
      </c>
      <c r="J37" s="2472">
        <f>$H$30*J30+$H$31*J31+$H$33*J33</f>
        <v>0</v>
      </c>
      <c r="K37" s="2473"/>
      <c r="L37" s="435">
        <f>$H$30*L30+$H$31*L31+$H$33*L33</f>
        <v>0</v>
      </c>
      <c r="M37" s="435">
        <f>$H$30*M30+$H$31*M31+$H$33*M33</f>
        <v>0</v>
      </c>
      <c r="N37" s="435">
        <f>$H$30*N30+$H$31*N31+$H$33*N33</f>
        <v>0</v>
      </c>
      <c r="O37" s="435">
        <f>$H$30*O30+$H$31*O31+$H$33*O33</f>
        <v>0</v>
      </c>
      <c r="P37" s="2483">
        <f>$H$30*P30+$H$31*P31+$H$33*P33</f>
        <v>0</v>
      </c>
      <c r="Q37" s="2473"/>
      <c r="R37" s="2483">
        <f>$H$30*R30+$H$31*R31+$H$33*R33</f>
        <v>0</v>
      </c>
      <c r="S37" s="2473"/>
      <c r="T37" s="2484">
        <f>IF(COUNTIF(T30:U33,"人数を再確認！"),"人数を再確認！",SUM(T30:U33))</f>
        <v>0</v>
      </c>
      <c r="U37" s="2485"/>
      <c r="V37" s="609"/>
      <c r="W37" s="2494"/>
      <c r="X37" s="2453" t="s">
        <v>1401</v>
      </c>
      <c r="Y37" s="2453"/>
      <c r="Z37" s="2453"/>
      <c r="AA37" s="2453"/>
      <c r="AB37" s="2453"/>
      <c r="AC37" s="2453"/>
      <c r="AD37" s="2453"/>
      <c r="AE37" s="2454"/>
      <c r="AF37" s="2448">
        <f>(J29-AF36)*-1</f>
        <v>0</v>
      </c>
      <c r="AG37" s="2449"/>
      <c r="AH37" s="2450"/>
      <c r="AI37" s="2442">
        <f>(L29-AI36)*-1</f>
        <v>0</v>
      </c>
      <c r="AJ37" s="2443"/>
      <c r="AK37" s="2444"/>
      <c r="AL37" s="2442">
        <f>(M29-AL36)*-1</f>
        <v>0</v>
      </c>
      <c r="AM37" s="2443"/>
      <c r="AN37" s="2444"/>
      <c r="AO37" s="2442">
        <f>(N29-AO36)*-1</f>
        <v>0</v>
      </c>
      <c r="AP37" s="2443"/>
      <c r="AQ37" s="2444"/>
      <c r="AR37" s="2442">
        <f>(O29-AR36)*-1</f>
        <v>0</v>
      </c>
      <c r="AS37" s="2443"/>
      <c r="AT37" s="2444"/>
      <c r="AU37" s="2593">
        <f>(P29-AU36)*-1</f>
        <v>0</v>
      </c>
      <c r="AV37" s="2594"/>
      <c r="AW37" s="2596"/>
      <c r="AX37" s="2594">
        <f>(R29-AX36)*-1</f>
        <v>0</v>
      </c>
      <c r="AY37" s="2594"/>
      <c r="AZ37" s="2595"/>
      <c r="BA37" s="628">
        <f>SUM(AF37:AX37)</f>
        <v>0</v>
      </c>
      <c r="BB37" s="2413"/>
      <c r="BC37" s="2427"/>
      <c r="BD37" s="2432"/>
      <c r="BE37" s="2512" t="s">
        <v>554</v>
      </c>
      <c r="BF37" s="2513"/>
      <c r="BG37" s="2513"/>
      <c r="BH37" s="2513"/>
      <c r="BI37" s="2514"/>
      <c r="BJ37" s="434">
        <f>SUM(BJ30:BJ33)</f>
        <v>108</v>
      </c>
      <c r="BK37" s="2472">
        <f>$H$30*BK30+$H$31*BK31+$H$33*BK33</f>
        <v>29700</v>
      </c>
      <c r="BL37" s="2473"/>
      <c r="BM37" s="435">
        <f>$H$30*BM30+$H$31*BM31+$H$33*BM33</f>
        <v>2310</v>
      </c>
      <c r="BN37" s="435">
        <f>$H$30*BN30+$H$31*BN31+$H$33*BN33</f>
        <v>0</v>
      </c>
      <c r="BO37" s="435">
        <f>$H$30*BO30+$H$31*BO31+$H$33*BO33</f>
        <v>0</v>
      </c>
      <c r="BP37" s="435">
        <f>$H$30*BP30+$H$31*BP31+$H$33*BP33</f>
        <v>0</v>
      </c>
      <c r="BQ37" s="2483">
        <f>$H$30*BQ30+$H$31*BQ31+$H$33*BQ33</f>
        <v>0</v>
      </c>
      <c r="BR37" s="2473"/>
      <c r="BS37" s="2483">
        <f>$H$30*BS30+$H$31*BS31+$H$33*BS33</f>
        <v>0</v>
      </c>
      <c r="BT37" s="2473"/>
      <c r="BU37" s="2484">
        <f>SUM(BU30:BV33)</f>
        <v>32010</v>
      </c>
      <c r="BV37" s="2485"/>
      <c r="BW37" s="493"/>
      <c r="BX37" s="2494"/>
      <c r="BY37" s="2453" t="s">
        <v>1401</v>
      </c>
      <c r="BZ37" s="2453"/>
      <c r="CA37" s="2453"/>
      <c r="CB37" s="2453"/>
      <c r="CC37" s="2453"/>
      <c r="CD37" s="2453"/>
      <c r="CE37" s="2453"/>
      <c r="CF37" s="2454"/>
      <c r="CG37" s="2448">
        <f>(BK29-CG36)*-1</f>
        <v>288700</v>
      </c>
      <c r="CH37" s="2449"/>
      <c r="CI37" s="2450"/>
      <c r="CJ37" s="2442">
        <f>(BM29-CJ36)*-1</f>
        <v>28650</v>
      </c>
      <c r="CK37" s="2443"/>
      <c r="CL37" s="2444"/>
      <c r="CM37" s="2442">
        <f>(BN29-CM36)*-1</f>
        <v>0</v>
      </c>
      <c r="CN37" s="2443"/>
      <c r="CO37" s="2444"/>
      <c r="CP37" s="2442">
        <f>(BO29-CP36)*-1</f>
        <v>3500</v>
      </c>
      <c r="CQ37" s="2443"/>
      <c r="CR37" s="2444"/>
      <c r="CS37" s="2442">
        <f>(BP29-CS36)*-1</f>
        <v>700</v>
      </c>
      <c r="CT37" s="2443"/>
      <c r="CU37" s="2444"/>
      <c r="CV37" s="719">
        <f>(BQ29-CV36)*-1</f>
        <v>350</v>
      </c>
      <c r="CW37" s="720">
        <f>(BS29-CW36)*-1</f>
        <v>0</v>
      </c>
      <c r="CX37" s="822">
        <f>SUM(CG37:CW37)</f>
        <v>321900</v>
      </c>
      <c r="CY37" s="19"/>
      <c r="CZ37" s="19"/>
      <c r="DA37" s="19"/>
      <c r="DB37" s="23" t="s">
        <v>2994</v>
      </c>
      <c r="DC37" s="19">
        <v>300</v>
      </c>
      <c r="DD37" s="914"/>
      <c r="DE37" s="18"/>
      <c r="DF37" s="19"/>
      <c r="DG37" s="84"/>
      <c r="DH37" s="83"/>
      <c r="DI37" s="83"/>
      <c r="DJ37" s="83"/>
      <c r="DK37" s="83"/>
      <c r="DL37" s="83"/>
      <c r="DM37" s="83"/>
    </row>
    <row r="38" spans="1:117" ht="27" customHeight="1" thickTop="1">
      <c r="A38" s="2413"/>
      <c r="B38" s="2427"/>
      <c r="C38" s="2400" t="s">
        <v>243</v>
      </c>
      <c r="D38" s="2403" t="s">
        <v>237</v>
      </c>
      <c r="E38" s="2403"/>
      <c r="F38" s="2403"/>
      <c r="G38" s="2403"/>
      <c r="H38" s="436">
        <v>110</v>
      </c>
      <c r="I38" s="418">
        <f>SUM('05 利用者名簿'!BP4:BQ4)-SUM('05 利用者名簿'!BU38+'05 利用者名簿'!BW38)</f>
        <v>0</v>
      </c>
      <c r="J38" s="2424"/>
      <c r="K38" s="2425"/>
      <c r="L38" s="768"/>
      <c r="M38" s="770"/>
      <c r="N38" s="768"/>
      <c r="O38" s="770"/>
      <c r="P38" s="2426"/>
      <c r="Q38" s="2425"/>
      <c r="R38" s="2426"/>
      <c r="S38" s="2469"/>
      <c r="T38" s="2470">
        <f>IF(I38=J38+L38+M38+N38+O38+P38+R38,H38*I38,"人数を再確認！")</f>
        <v>0</v>
      </c>
      <c r="U38" s="2471"/>
      <c r="V38" s="165"/>
      <c r="W38" s="2451" t="s">
        <v>77</v>
      </c>
      <c r="X38" s="2491" t="s">
        <v>1403</v>
      </c>
      <c r="Y38" s="2491"/>
      <c r="Z38" s="2491"/>
      <c r="AA38" s="2491"/>
      <c r="AB38" s="2491"/>
      <c r="AC38" s="2491"/>
      <c r="AD38" s="2491"/>
      <c r="AE38" s="2492"/>
      <c r="AF38" s="2458">
        <f>J29+J46+AF21+AF35</f>
        <v>0</v>
      </c>
      <c r="AG38" s="2459"/>
      <c r="AH38" s="2460"/>
      <c r="AI38" s="2455">
        <f>L29+L46+AI21+AI35</f>
        <v>0</v>
      </c>
      <c r="AJ38" s="2456"/>
      <c r="AK38" s="2457"/>
      <c r="AL38" s="2455">
        <f>M29+M46+AL21+AL35</f>
        <v>0</v>
      </c>
      <c r="AM38" s="2456"/>
      <c r="AN38" s="2457"/>
      <c r="AO38" s="2515">
        <f>N29+N46+AO21+AO35</f>
        <v>0</v>
      </c>
      <c r="AP38" s="2516"/>
      <c r="AQ38" s="2517"/>
      <c r="AR38" s="2515">
        <f>O29+O46+AR21+AR35</f>
        <v>0</v>
      </c>
      <c r="AS38" s="2516"/>
      <c r="AT38" s="2517"/>
      <c r="AU38" s="2589">
        <f>P29+P46+AU21+AU35</f>
        <v>0</v>
      </c>
      <c r="AV38" s="2590"/>
      <c r="AW38" s="2591"/>
      <c r="AX38" s="951">
        <f>R29+R46+AX21+AX35</f>
        <v>0</v>
      </c>
      <c r="AY38" s="1038"/>
      <c r="AZ38" s="1038"/>
      <c r="BA38" s="611">
        <f>SUM(AF38:AX38)</f>
        <v>0</v>
      </c>
      <c r="BB38" s="2413"/>
      <c r="BC38" s="2427"/>
      <c r="BD38" s="2400" t="s">
        <v>243</v>
      </c>
      <c r="BE38" s="2403" t="s">
        <v>237</v>
      </c>
      <c r="BF38" s="2403"/>
      <c r="BG38" s="2403"/>
      <c r="BH38" s="2403"/>
      <c r="BI38" s="436">
        <v>110</v>
      </c>
      <c r="BJ38" s="418">
        <f>SUM('05 利用者名簿'!DM4:DN4)-SUM('05 利用者名簿'!DR38+'05 利用者名簿'!DT38)</f>
        <v>0</v>
      </c>
      <c r="BK38" s="2424"/>
      <c r="BL38" s="2425"/>
      <c r="BM38" s="768"/>
      <c r="BN38" s="770"/>
      <c r="BO38" s="768"/>
      <c r="BP38" s="770"/>
      <c r="BQ38" s="2426"/>
      <c r="BR38" s="2425"/>
      <c r="BS38" s="2426"/>
      <c r="BT38" s="2469"/>
      <c r="BU38" s="2470">
        <f>IF(BJ38=BK38+BM38+BN38+BO38+BP38+BQ38+BS38,BI38*BJ38,"人数を再確認！")</f>
        <v>0</v>
      </c>
      <c r="BV38" s="2471"/>
      <c r="BW38" s="493"/>
      <c r="BX38" s="2451" t="s">
        <v>77</v>
      </c>
      <c r="BY38" s="2491" t="s">
        <v>1403</v>
      </c>
      <c r="BZ38" s="2491"/>
      <c r="CA38" s="2491"/>
      <c r="CB38" s="2491"/>
      <c r="CC38" s="2491"/>
      <c r="CD38" s="2491"/>
      <c r="CE38" s="2491"/>
      <c r="CF38" s="2492"/>
      <c r="CG38" s="2458">
        <f>BK29+BK46+CG21+CG35</f>
        <v>294440</v>
      </c>
      <c r="CH38" s="2459"/>
      <c r="CI38" s="2460"/>
      <c r="CJ38" s="2455">
        <f>BM29+BM46+CJ21+CJ35</f>
        <v>28650</v>
      </c>
      <c r="CK38" s="2456"/>
      <c r="CL38" s="2457"/>
      <c r="CM38" s="2455">
        <f>BN29+BN46+CM21+CM35</f>
        <v>0</v>
      </c>
      <c r="CN38" s="2456"/>
      <c r="CO38" s="2457"/>
      <c r="CP38" s="2515">
        <f>BO29+BO46+CP21+CP35</f>
        <v>3500</v>
      </c>
      <c r="CQ38" s="2516"/>
      <c r="CR38" s="2517"/>
      <c r="CS38" s="2515">
        <f>BP29+BP46+CS21+CS35</f>
        <v>700</v>
      </c>
      <c r="CT38" s="2516"/>
      <c r="CU38" s="2517"/>
      <c r="CV38" s="772">
        <f>BQ29+BQ46+CV21+CV35</f>
        <v>350</v>
      </c>
      <c r="CW38" s="771">
        <f>BS29+BS46+CW21+CW35</f>
        <v>0</v>
      </c>
      <c r="CX38" s="823">
        <f>SUM(CG38:CW38)</f>
        <v>327640</v>
      </c>
      <c r="CY38" s="19"/>
      <c r="CZ38" s="19"/>
      <c r="DA38" s="19"/>
      <c r="DB38" s="23" t="s">
        <v>2995</v>
      </c>
      <c r="DC38" s="19">
        <v>300</v>
      </c>
      <c r="DD38" s="84"/>
      <c r="DE38" s="84"/>
      <c r="DF38" s="19"/>
      <c r="DG38" s="84"/>
      <c r="DH38" s="83"/>
      <c r="DI38" s="83"/>
      <c r="DJ38" s="83"/>
      <c r="DK38" s="83"/>
      <c r="DL38" s="83"/>
      <c r="DM38" s="83"/>
    </row>
    <row r="39" spans="1:117" ht="27" customHeight="1" thickBot="1">
      <c r="A39" s="2413"/>
      <c r="B39" s="2427"/>
      <c r="C39" s="2401"/>
      <c r="D39" s="2379" t="s">
        <v>428</v>
      </c>
      <c r="E39" s="2380"/>
      <c r="F39" s="2381"/>
      <c r="G39" s="2382"/>
      <c r="H39" s="421">
        <v>110</v>
      </c>
      <c r="I39" s="418">
        <f>'05 利用者名簿'!BR7</f>
        <v>0</v>
      </c>
      <c r="J39" s="2383"/>
      <c r="K39" s="2384"/>
      <c r="L39" s="769"/>
      <c r="M39" s="438"/>
      <c r="N39" s="769"/>
      <c r="O39" s="438"/>
      <c r="P39" s="2384"/>
      <c r="Q39" s="2384"/>
      <c r="R39" s="2384"/>
      <c r="S39" s="2385"/>
      <c r="T39" s="2422">
        <f>IF(I39=J39+L39+M39+N39+O39+P39+R39,H39*I39,"人数を再確認！")</f>
        <v>0</v>
      </c>
      <c r="U39" s="2423"/>
      <c r="V39" s="165"/>
      <c r="W39" s="2452"/>
      <c r="X39" s="2453" t="s">
        <v>1402</v>
      </c>
      <c r="Y39" s="2453"/>
      <c r="Z39" s="2453"/>
      <c r="AA39" s="2453"/>
      <c r="AB39" s="2453"/>
      <c r="AC39" s="2453"/>
      <c r="AD39" s="2453"/>
      <c r="AE39" s="2454"/>
      <c r="AF39" s="2448">
        <f>(J29-AF38)*-1</f>
        <v>0</v>
      </c>
      <c r="AG39" s="2449"/>
      <c r="AH39" s="2450"/>
      <c r="AI39" s="2448">
        <f>(L29-AI38)*-1</f>
        <v>0</v>
      </c>
      <c r="AJ39" s="2449"/>
      <c r="AK39" s="2450"/>
      <c r="AL39" s="2448">
        <f>(M29-AL38)*-1</f>
        <v>0</v>
      </c>
      <c r="AM39" s="2449"/>
      <c r="AN39" s="2450"/>
      <c r="AO39" s="2448">
        <f>(N29-AO38)*-1</f>
        <v>0</v>
      </c>
      <c r="AP39" s="2449"/>
      <c r="AQ39" s="2450"/>
      <c r="AR39" s="2448">
        <f>(O29-AR38)*-1</f>
        <v>0</v>
      </c>
      <c r="AS39" s="2449"/>
      <c r="AT39" s="2450"/>
      <c r="AU39" s="2593">
        <f>(P29-AU38)*-1</f>
        <v>0</v>
      </c>
      <c r="AV39" s="2594"/>
      <c r="AW39" s="2596"/>
      <c r="AX39" s="2594">
        <f>(R29-AX38)*-1</f>
        <v>0</v>
      </c>
      <c r="AY39" s="2594"/>
      <c r="AZ39" s="2595"/>
      <c r="BA39" s="629">
        <f>SUM(AF39:AX39)</f>
        <v>0</v>
      </c>
      <c r="BB39" s="2413"/>
      <c r="BC39" s="2427"/>
      <c r="BD39" s="2401"/>
      <c r="BE39" s="2379" t="s">
        <v>428</v>
      </c>
      <c r="BF39" s="2380"/>
      <c r="BG39" s="2381"/>
      <c r="BH39" s="2382"/>
      <c r="BI39" s="421">
        <v>110</v>
      </c>
      <c r="BJ39" s="418">
        <f>'05 利用者名簿'!DO7</f>
        <v>0</v>
      </c>
      <c r="BK39" s="2383"/>
      <c r="BL39" s="2384"/>
      <c r="BM39" s="769"/>
      <c r="BN39" s="438"/>
      <c r="BO39" s="769"/>
      <c r="BP39" s="438"/>
      <c r="BQ39" s="2384"/>
      <c r="BR39" s="2384"/>
      <c r="BS39" s="2384"/>
      <c r="BT39" s="2385"/>
      <c r="BU39" s="2422">
        <f>IF(BJ39=BK39+BM39+BN39+BO39+BP39+BQ39+BS39,BI39*BJ39,"人数を再確認！")</f>
        <v>0</v>
      </c>
      <c r="BV39" s="2423"/>
      <c r="BW39" s="493"/>
      <c r="BX39" s="2452"/>
      <c r="BY39" s="2453" t="s">
        <v>1402</v>
      </c>
      <c r="BZ39" s="2453"/>
      <c r="CA39" s="2453"/>
      <c r="CB39" s="2453"/>
      <c r="CC39" s="2453"/>
      <c r="CD39" s="2453"/>
      <c r="CE39" s="2453"/>
      <c r="CF39" s="2454"/>
      <c r="CG39" s="2448">
        <f>(BK29-CG38)*-1</f>
        <v>294440</v>
      </c>
      <c r="CH39" s="2449"/>
      <c r="CI39" s="2450"/>
      <c r="CJ39" s="2448">
        <f>(BM29-CJ38)*-1</f>
        <v>28650</v>
      </c>
      <c r="CK39" s="2449"/>
      <c r="CL39" s="2450"/>
      <c r="CM39" s="2448">
        <f>(BN29-CM38)*-1</f>
        <v>0</v>
      </c>
      <c r="CN39" s="2449"/>
      <c r="CO39" s="2450"/>
      <c r="CP39" s="2448">
        <f>(BO29-CP38)*-1</f>
        <v>3500</v>
      </c>
      <c r="CQ39" s="2449"/>
      <c r="CR39" s="2450"/>
      <c r="CS39" s="2448">
        <f>(BP29-CS38)*-1</f>
        <v>700</v>
      </c>
      <c r="CT39" s="2449"/>
      <c r="CU39" s="2450"/>
      <c r="CV39" s="721">
        <f>(BQ29-CV38)*-1</f>
        <v>350</v>
      </c>
      <c r="CW39" s="722">
        <f>(BS29-CW38)*-1</f>
        <v>0</v>
      </c>
      <c r="CX39" s="824">
        <f>SUM(CG39:CW39)</f>
        <v>327640</v>
      </c>
      <c r="CY39" s="19"/>
      <c r="CZ39" s="19"/>
      <c r="DA39" s="19"/>
      <c r="DB39" s="23" t="s">
        <v>3003</v>
      </c>
      <c r="DC39" s="19">
        <v>500</v>
      </c>
      <c r="DD39" s="84"/>
      <c r="DE39" s="84"/>
      <c r="DF39" s="19"/>
      <c r="DG39" s="84"/>
      <c r="DH39" s="83"/>
      <c r="DI39" s="83"/>
      <c r="DJ39" s="83"/>
      <c r="DK39" s="83"/>
      <c r="DL39" s="83"/>
      <c r="DM39" s="83"/>
    </row>
    <row r="40" spans="1:117" ht="27" customHeight="1" thickTop="1">
      <c r="A40" s="2413"/>
      <c r="B40" s="2427"/>
      <c r="C40" s="2401"/>
      <c r="D40" s="2404" t="s">
        <v>241</v>
      </c>
      <c r="E40" s="2404"/>
      <c r="F40" s="2404"/>
      <c r="G40" s="2404"/>
      <c r="H40" s="439">
        <v>0</v>
      </c>
      <c r="I40" s="418">
        <f>'05 利用者名簿'!BU38+'05 利用者名簿'!BW38+'05 利用者名簿'!BY38+'05 利用者名簿'!CA38</f>
        <v>0</v>
      </c>
      <c r="J40" s="2383"/>
      <c r="K40" s="2384"/>
      <c r="L40" s="769"/>
      <c r="M40" s="438"/>
      <c r="N40" s="769"/>
      <c r="O40" s="438"/>
      <c r="P40" s="2384"/>
      <c r="Q40" s="2384"/>
      <c r="R40" s="2384"/>
      <c r="S40" s="2385"/>
      <c r="T40" s="2422" t="str">
        <f>IF(I40=J40+L40+M40+N40+O40+P40+R40,"無料","人数を再確認！")</f>
        <v>無料</v>
      </c>
      <c r="U40" s="2423"/>
      <c r="V40" s="21"/>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2413"/>
      <c r="BC40" s="2427"/>
      <c r="BD40" s="2401"/>
      <c r="BE40" s="2404" t="s">
        <v>241</v>
      </c>
      <c r="BF40" s="2404"/>
      <c r="BG40" s="2404"/>
      <c r="BH40" s="2404"/>
      <c r="BI40" s="439">
        <v>0</v>
      </c>
      <c r="BJ40" s="418">
        <f>'05 利用者名簿'!DR38+'05 利用者名簿'!DT38+'05 利用者名簿'!DV38+'05 利用者名簿'!DX38</f>
        <v>0</v>
      </c>
      <c r="BK40" s="2383"/>
      <c r="BL40" s="2384"/>
      <c r="BM40" s="769"/>
      <c r="BN40" s="438"/>
      <c r="BO40" s="769"/>
      <c r="BP40" s="438"/>
      <c r="BQ40" s="2384"/>
      <c r="BR40" s="2384"/>
      <c r="BS40" s="2384"/>
      <c r="BT40" s="2385"/>
      <c r="BU40" s="2422" t="str">
        <f>IF(BJ40=BK40+BM40+BN40+BO40+BP40+BQ40+BS40,"無料","人数を再確認！")</f>
        <v>無料</v>
      </c>
      <c r="BV40" s="2423"/>
      <c r="BW40" s="493"/>
      <c r="BX40" s="2547"/>
      <c r="BY40" s="2547"/>
      <c r="BZ40" s="2547"/>
      <c r="CA40" s="2547"/>
      <c r="CB40" s="2547"/>
      <c r="CC40" s="2547"/>
      <c r="CD40" s="2547"/>
      <c r="CE40" s="2547"/>
      <c r="CF40" s="2547"/>
      <c r="CG40" s="2547"/>
      <c r="CH40" s="2547"/>
      <c r="CI40" s="2547"/>
      <c r="CJ40" s="2547"/>
      <c r="CK40" s="2547"/>
      <c r="CL40" s="2547"/>
      <c r="CM40" s="2547"/>
      <c r="CN40" s="2547"/>
      <c r="CO40" s="2547"/>
      <c r="CP40" s="2547"/>
      <c r="CQ40" s="2547"/>
      <c r="CR40" s="2547"/>
      <c r="CS40" s="2547"/>
      <c r="CT40" s="2547"/>
      <c r="CU40" s="2547"/>
      <c r="CV40" s="2547"/>
      <c r="CW40" s="774"/>
      <c r="CX40" s="493"/>
      <c r="CY40" s="19"/>
      <c r="CZ40" s="19"/>
      <c r="DA40" s="19"/>
      <c r="DB40" s="23" t="s">
        <v>2996</v>
      </c>
      <c r="DC40" s="19">
        <v>500</v>
      </c>
      <c r="DD40" s="84"/>
      <c r="DE40" s="84"/>
      <c r="DF40" s="84"/>
      <c r="DG40" s="84"/>
      <c r="DH40" s="83"/>
      <c r="DI40" s="83"/>
      <c r="DJ40" s="83"/>
      <c r="DK40" s="83"/>
      <c r="DL40" s="83"/>
      <c r="DM40" s="83"/>
    </row>
    <row r="41" spans="1:117" ht="27" customHeight="1" thickBot="1">
      <c r="A41" s="2413"/>
      <c r="B41" s="2427"/>
      <c r="C41" s="2401"/>
      <c r="D41" s="2404" t="s">
        <v>242</v>
      </c>
      <c r="E41" s="2404"/>
      <c r="F41" s="2404"/>
      <c r="G41" s="2404"/>
      <c r="H41" s="440">
        <v>350</v>
      </c>
      <c r="I41" s="418">
        <f>'05 利用者名簿'!BS4-'05 利用者名簿'!BS9</f>
        <v>0</v>
      </c>
      <c r="J41" s="2468"/>
      <c r="K41" s="2410"/>
      <c r="L41" s="764"/>
      <c r="M41" s="423"/>
      <c r="N41" s="764"/>
      <c r="O41" s="423"/>
      <c r="P41" s="2410"/>
      <c r="Q41" s="2410"/>
      <c r="R41" s="2410"/>
      <c r="S41" s="2411"/>
      <c r="T41" s="2422">
        <f>IF(I41=J41+L41+M41+N41+O41+P41+R41,H41*I41,"人数を再確認！")</f>
        <v>0</v>
      </c>
      <c r="U41" s="2423"/>
      <c r="V41" s="21"/>
      <c r="W41" s="2463" t="s">
        <v>3220</v>
      </c>
      <c r="X41" s="2463"/>
      <c r="Y41" s="2463"/>
      <c r="Z41" s="2463"/>
      <c r="AA41" s="2463"/>
      <c r="AB41" s="249"/>
      <c r="AC41" s="249"/>
      <c r="AD41" s="249"/>
      <c r="AE41" s="249"/>
      <c r="AF41" s="249"/>
      <c r="AG41" s="249"/>
      <c r="AH41" s="249"/>
      <c r="AI41" s="249"/>
      <c r="AJ41" s="249"/>
      <c r="AK41" s="249"/>
      <c r="AL41" s="249"/>
      <c r="AM41" s="249"/>
      <c r="AN41" s="249"/>
      <c r="AO41" s="249"/>
      <c r="AP41" s="249"/>
      <c r="AQ41" s="249"/>
      <c r="AR41" s="249"/>
      <c r="AS41" s="249"/>
      <c r="AT41" s="249"/>
      <c r="AU41" s="249"/>
      <c r="AV41" s="25"/>
      <c r="AW41" s="25"/>
      <c r="AX41" s="25"/>
      <c r="AY41" s="25"/>
      <c r="AZ41" s="25"/>
      <c r="BA41" s="25"/>
      <c r="BB41" s="2551"/>
      <c r="BC41" s="2427"/>
      <c r="BD41" s="2401"/>
      <c r="BE41" s="2404" t="s">
        <v>242</v>
      </c>
      <c r="BF41" s="2404"/>
      <c r="BG41" s="2404"/>
      <c r="BH41" s="2404"/>
      <c r="BI41" s="440">
        <v>350</v>
      </c>
      <c r="BJ41" s="418">
        <v>3</v>
      </c>
      <c r="BK41" s="2468"/>
      <c r="BL41" s="2410"/>
      <c r="BM41" s="764"/>
      <c r="BN41" s="423"/>
      <c r="BO41" s="764"/>
      <c r="BP41" s="423">
        <v>2</v>
      </c>
      <c r="BQ41" s="2410">
        <v>1</v>
      </c>
      <c r="BR41" s="2410"/>
      <c r="BS41" s="2410"/>
      <c r="BT41" s="2411"/>
      <c r="BU41" s="2422">
        <f>IF(BJ41=BK41+BM41+BN41+BO41+BP41+BQ41+BS41,BI41*BJ41,"人数を再確認！")</f>
        <v>1050</v>
      </c>
      <c r="BV41" s="2423"/>
      <c r="BW41" s="493"/>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19"/>
      <c r="CZ41" s="19"/>
      <c r="DA41" s="19"/>
      <c r="DB41" s="23" t="s">
        <v>2997</v>
      </c>
      <c r="DC41" s="19">
        <v>500</v>
      </c>
      <c r="DD41" s="84"/>
      <c r="DE41" s="84"/>
      <c r="DF41" s="84"/>
      <c r="DG41" s="84"/>
      <c r="DH41" s="83"/>
      <c r="DI41" s="83"/>
      <c r="DJ41" s="83"/>
      <c r="DK41" s="83"/>
      <c r="DL41" s="83"/>
      <c r="DM41" s="83"/>
    </row>
    <row r="42" spans="1:117" ht="27" customHeight="1" thickTop="1">
      <c r="A42" s="2413"/>
      <c r="B42" s="2427"/>
      <c r="C42" s="2401"/>
      <c r="D42" s="2406"/>
      <c r="E42" s="2407"/>
      <c r="F42" s="2408"/>
      <c r="G42" s="2409"/>
      <c r="H42" s="441"/>
      <c r="I42" s="425"/>
      <c r="J42" s="2434"/>
      <c r="K42" s="2435"/>
      <c r="L42" s="426"/>
      <c r="M42" s="427"/>
      <c r="N42" s="426"/>
      <c r="O42" s="427"/>
      <c r="P42" s="2435"/>
      <c r="Q42" s="2435"/>
      <c r="R42" s="2435"/>
      <c r="S42" s="2435"/>
      <c r="T42" s="2446"/>
      <c r="U42" s="2447"/>
      <c r="V42" s="21"/>
      <c r="W42" s="2461" t="s">
        <v>184</v>
      </c>
      <c r="X42" s="2462"/>
      <c r="Y42" s="2462" t="s">
        <v>186</v>
      </c>
      <c r="Z42" s="2462"/>
      <c r="AA42" s="2462"/>
      <c r="AB42" s="2462"/>
      <c r="AC42" s="2462" t="s">
        <v>3218</v>
      </c>
      <c r="AD42" s="2462"/>
      <c r="AE42" s="2462"/>
      <c r="AF42" s="2462" t="s">
        <v>3218</v>
      </c>
      <c r="AG42" s="2462"/>
      <c r="AH42" s="2462"/>
      <c r="AI42" s="2462" t="s">
        <v>3218</v>
      </c>
      <c r="AJ42" s="2462"/>
      <c r="AK42" s="2462"/>
      <c r="AL42" s="2462" t="s">
        <v>3218</v>
      </c>
      <c r="AM42" s="2462"/>
      <c r="AN42" s="2462"/>
      <c r="AO42" s="2462" t="s">
        <v>3218</v>
      </c>
      <c r="AP42" s="2462"/>
      <c r="AQ42" s="2462"/>
      <c r="AR42" s="2462" t="s">
        <v>121</v>
      </c>
      <c r="AS42" s="2462"/>
      <c r="AT42" s="2462"/>
      <c r="AU42" s="2559"/>
      <c r="AV42" s="196"/>
      <c r="AW42" s="196"/>
      <c r="AX42" s="196"/>
      <c r="AY42" s="196"/>
      <c r="AZ42" s="196"/>
      <c r="BA42" s="196"/>
      <c r="BB42" s="2551"/>
      <c r="BC42" s="2427"/>
      <c r="BD42" s="2401"/>
      <c r="BE42" s="2406"/>
      <c r="BF42" s="2407"/>
      <c r="BG42" s="2408"/>
      <c r="BH42" s="2409"/>
      <c r="BI42" s="441"/>
      <c r="BJ42" s="425"/>
      <c r="BK42" s="2434"/>
      <c r="BL42" s="2435"/>
      <c r="BM42" s="426"/>
      <c r="BN42" s="427"/>
      <c r="BO42" s="426"/>
      <c r="BP42" s="427"/>
      <c r="BQ42" s="2435"/>
      <c r="BR42" s="2435"/>
      <c r="BS42" s="2435"/>
      <c r="BT42" s="2435"/>
      <c r="BU42" s="2446"/>
      <c r="BV42" s="2447"/>
      <c r="BW42" s="493"/>
      <c r="BX42" s="232"/>
      <c r="BY42" s="196"/>
      <c r="BZ42" s="196"/>
      <c r="CA42" s="196"/>
      <c r="CB42" s="230"/>
      <c r="CC42" s="230"/>
      <c r="CD42" s="230"/>
      <c r="CE42" s="228"/>
      <c r="CF42" s="229"/>
      <c r="CG42" s="229"/>
      <c r="CH42" s="228"/>
      <c r="CI42" s="228"/>
      <c r="CJ42" s="228"/>
      <c r="CK42" s="228"/>
      <c r="CL42" s="228"/>
      <c r="CM42" s="228"/>
      <c r="CN42" s="228"/>
      <c r="CO42" s="228"/>
      <c r="CP42" s="228"/>
      <c r="CQ42" s="228"/>
      <c r="CR42" s="228"/>
      <c r="CS42" s="228"/>
      <c r="CT42" s="228"/>
      <c r="CU42" s="196"/>
      <c r="CV42" s="196"/>
      <c r="CW42" s="196"/>
      <c r="CX42" s="196"/>
      <c r="CY42" s="19"/>
      <c r="CZ42" s="19"/>
      <c r="DA42" s="19"/>
      <c r="DB42" s="2546" t="s">
        <v>120</v>
      </c>
      <c r="DC42" s="2546"/>
      <c r="DD42" s="19"/>
      <c r="DE42" s="84"/>
      <c r="DF42" s="84"/>
      <c r="DG42" s="84"/>
      <c r="DH42" s="83"/>
      <c r="DI42" s="83"/>
      <c r="DJ42" s="83"/>
      <c r="DK42" s="83"/>
      <c r="DL42" s="83"/>
      <c r="DM42" s="83"/>
    </row>
    <row r="43" spans="1:117" ht="27" customHeight="1">
      <c r="A43" s="2413"/>
      <c r="B43" s="2427"/>
      <c r="C43" s="2401"/>
      <c r="D43" s="2418"/>
      <c r="E43" s="2419"/>
      <c r="F43" s="2420"/>
      <c r="G43" s="2421"/>
      <c r="H43" s="442"/>
      <c r="I43" s="425"/>
      <c r="J43" s="2467"/>
      <c r="K43" s="2445"/>
      <c r="L43" s="428"/>
      <c r="M43" s="429"/>
      <c r="N43" s="428"/>
      <c r="O43" s="429"/>
      <c r="P43" s="2445"/>
      <c r="Q43" s="2445"/>
      <c r="R43" s="2445"/>
      <c r="S43" s="2445"/>
      <c r="T43" s="2446"/>
      <c r="U43" s="2447"/>
      <c r="V43" s="21"/>
      <c r="W43" s="1063">
        <f>'03 食事申込書'!A44</f>
        <v>0</v>
      </c>
      <c r="X43" s="1064" t="s">
        <v>14</v>
      </c>
      <c r="Y43" s="2556">
        <f>'03 食事申込書'!C44</f>
        <v>0</v>
      </c>
      <c r="Z43" s="2557"/>
      <c r="AA43" s="2557"/>
      <c r="AB43" s="2558"/>
      <c r="AC43" s="1062">
        <f>'03 食事申込書'!H44</f>
        <v>0</v>
      </c>
      <c r="AD43" s="1065" t="s">
        <v>122</v>
      </c>
      <c r="AE43" s="1066">
        <f>'03 食事申込書'!J44</f>
        <v>0</v>
      </c>
      <c r="AF43" s="1067">
        <f>'03 食事申込書'!K44</f>
        <v>0</v>
      </c>
      <c r="AG43" s="1065" t="s">
        <v>122</v>
      </c>
      <c r="AH43" s="1068">
        <f>'03 食事申込書'!M44</f>
        <v>0</v>
      </c>
      <c r="AI43" s="1069">
        <f>'03 食事申込書'!N44</f>
        <v>0</v>
      </c>
      <c r="AJ43" s="1065" t="s">
        <v>122</v>
      </c>
      <c r="AK43" s="1068">
        <f>'03 食事申込書'!P44</f>
        <v>0</v>
      </c>
      <c r="AL43" s="1069">
        <f>'03 食事申込書'!Q44</f>
        <v>0</v>
      </c>
      <c r="AM43" s="1065" t="s">
        <v>122</v>
      </c>
      <c r="AN43" s="1068">
        <f>'03 食事申込書'!S44</f>
        <v>0</v>
      </c>
      <c r="AO43" s="1069">
        <f>'03 食事申込書'!T44</f>
        <v>0</v>
      </c>
      <c r="AP43" s="1065" t="s">
        <v>122</v>
      </c>
      <c r="AQ43" s="1068">
        <f>'03 食事申込書'!V44</f>
        <v>0</v>
      </c>
      <c r="AR43" s="1070">
        <f>'03 食事申込書'!W44</f>
        <v>0</v>
      </c>
      <c r="AS43" s="1071" t="s">
        <v>32</v>
      </c>
      <c r="AT43" s="1071">
        <f>'03 食事申込書'!Y44</f>
        <v>0</v>
      </c>
      <c r="AU43" s="1072" t="s">
        <v>3219</v>
      </c>
      <c r="AV43" s="226"/>
      <c r="AW43" s="226"/>
      <c r="AX43" s="226"/>
      <c r="AY43" s="226"/>
      <c r="AZ43" s="226"/>
      <c r="BA43" s="226"/>
      <c r="BB43" s="2551"/>
      <c r="BC43" s="2427"/>
      <c r="BD43" s="2401"/>
      <c r="BE43" s="2418"/>
      <c r="BF43" s="2419"/>
      <c r="BG43" s="2420"/>
      <c r="BH43" s="2421"/>
      <c r="BI43" s="442"/>
      <c r="BJ43" s="425"/>
      <c r="BK43" s="2467"/>
      <c r="BL43" s="2445"/>
      <c r="BM43" s="428"/>
      <c r="BN43" s="429"/>
      <c r="BO43" s="428"/>
      <c r="BP43" s="429"/>
      <c r="BQ43" s="2445"/>
      <c r="BR43" s="2445"/>
      <c r="BS43" s="2445"/>
      <c r="BT43" s="2445"/>
      <c r="BU43" s="2446"/>
      <c r="BV43" s="2447"/>
      <c r="BW43" s="493"/>
      <c r="BX43" s="232"/>
      <c r="BY43" s="231"/>
      <c r="BZ43" s="231"/>
      <c r="CA43" s="231"/>
      <c r="CB43" s="195"/>
      <c r="CC43" s="194"/>
      <c r="CD43" s="195"/>
      <c r="CE43" s="195"/>
      <c r="CF43" s="194"/>
      <c r="CG43" s="195"/>
      <c r="CH43" s="195"/>
      <c r="CI43" s="194"/>
      <c r="CJ43" s="195"/>
      <c r="CK43" s="195"/>
      <c r="CL43" s="194"/>
      <c r="CM43" s="224"/>
      <c r="CN43" s="227"/>
      <c r="CO43" s="227"/>
      <c r="CP43" s="227"/>
      <c r="CQ43" s="194"/>
      <c r="CR43" s="227"/>
      <c r="CS43" s="227"/>
      <c r="CT43" s="225"/>
      <c r="CU43" s="226"/>
      <c r="CV43" s="226"/>
      <c r="CW43" s="226"/>
      <c r="CX43" s="226"/>
      <c r="CY43" s="19"/>
      <c r="CZ43" s="19"/>
      <c r="DA43" s="19"/>
      <c r="DB43" s="23" t="s">
        <v>2910</v>
      </c>
      <c r="DC43" s="19">
        <v>90</v>
      </c>
      <c r="DD43" s="19"/>
      <c r="DE43" s="84"/>
      <c r="DF43" s="84"/>
      <c r="DG43" s="84"/>
      <c r="DH43" s="83"/>
      <c r="DI43" s="83"/>
      <c r="DJ43" s="83"/>
      <c r="DK43" s="83"/>
      <c r="DL43" s="83"/>
      <c r="DM43" s="83"/>
    </row>
    <row r="44" spans="1:117" ht="27" customHeight="1" thickBot="1">
      <c r="A44" s="2413"/>
      <c r="B44" s="2427"/>
      <c r="C44" s="2401"/>
      <c r="D44" s="2464"/>
      <c r="E44" s="2464"/>
      <c r="F44" s="2464"/>
      <c r="G44" s="2464"/>
      <c r="H44" s="443"/>
      <c r="I44" s="444"/>
      <c r="J44" s="2465"/>
      <c r="K44" s="2466"/>
      <c r="L44" s="432"/>
      <c r="M44" s="433"/>
      <c r="N44" s="432"/>
      <c r="O44" s="433"/>
      <c r="P44" s="2466"/>
      <c r="Q44" s="2466"/>
      <c r="R44" s="2466"/>
      <c r="S44" s="2466"/>
      <c r="T44" s="2474"/>
      <c r="U44" s="2475"/>
      <c r="V44" s="22"/>
      <c r="W44" s="1073">
        <f>'03 食事申込書'!A46</f>
        <v>0</v>
      </c>
      <c r="X44" s="1074" t="s">
        <v>14</v>
      </c>
      <c r="Y44" s="2583">
        <f>'03 食事申込書'!C46</f>
        <v>0</v>
      </c>
      <c r="Z44" s="2584"/>
      <c r="AA44" s="2584"/>
      <c r="AB44" s="2585"/>
      <c r="AC44" s="1075">
        <f>'03 食事申込書'!H46</f>
        <v>0</v>
      </c>
      <c r="AD44" s="1076" t="s">
        <v>3214</v>
      </c>
      <c r="AE44" s="1077">
        <f>'03 食事申込書'!J46</f>
        <v>0</v>
      </c>
      <c r="AF44" s="1075">
        <f>'03 食事申込書'!K46</f>
        <v>0</v>
      </c>
      <c r="AG44" s="1076" t="s">
        <v>3214</v>
      </c>
      <c r="AH44" s="1077">
        <f>'03 食事申込書'!M46</f>
        <v>0</v>
      </c>
      <c r="AI44" s="1075">
        <f>'03 食事申込書'!N46</f>
        <v>0</v>
      </c>
      <c r="AJ44" s="1076" t="s">
        <v>3214</v>
      </c>
      <c r="AK44" s="1077">
        <f>'03 食事申込書'!P46</f>
        <v>0</v>
      </c>
      <c r="AL44" s="1075">
        <f>'03 食事申込書'!Q46</f>
        <v>0</v>
      </c>
      <c r="AM44" s="1076" t="s">
        <v>3214</v>
      </c>
      <c r="AN44" s="1077">
        <f>'03 食事申込書'!S46</f>
        <v>0</v>
      </c>
      <c r="AO44" s="1075">
        <f>'03 食事申込書'!T46</f>
        <v>0</v>
      </c>
      <c r="AP44" s="1076" t="s">
        <v>3214</v>
      </c>
      <c r="AQ44" s="1077">
        <f>'03 食事申込書'!V46</f>
        <v>0</v>
      </c>
      <c r="AR44" s="1078">
        <f>'03 食事申込書'!W46</f>
        <v>0</v>
      </c>
      <c r="AS44" s="1079" t="s">
        <v>3221</v>
      </c>
      <c r="AT44" s="1080">
        <f>'03 食事申込書'!Y46</f>
        <v>0</v>
      </c>
      <c r="AU44" s="1081" t="s">
        <v>3222</v>
      </c>
      <c r="AV44" s="226"/>
      <c r="AW44" s="226"/>
      <c r="AX44" s="226"/>
      <c r="AY44" s="226"/>
      <c r="AZ44" s="226"/>
      <c r="BA44" s="226"/>
      <c r="BB44" s="2551"/>
      <c r="BC44" s="2427"/>
      <c r="BD44" s="2401"/>
      <c r="BE44" s="2464"/>
      <c r="BF44" s="2464"/>
      <c r="BG44" s="2464"/>
      <c r="BH44" s="2464"/>
      <c r="BI44" s="443"/>
      <c r="BJ44" s="444"/>
      <c r="BK44" s="2465"/>
      <c r="BL44" s="2466"/>
      <c r="BM44" s="432"/>
      <c r="BN44" s="433"/>
      <c r="BO44" s="432"/>
      <c r="BP44" s="433"/>
      <c r="BQ44" s="2466"/>
      <c r="BR44" s="2466"/>
      <c r="BS44" s="2466"/>
      <c r="BT44" s="2466"/>
      <c r="BU44" s="2474"/>
      <c r="BV44" s="2475"/>
      <c r="BW44" s="501"/>
      <c r="BX44" s="232"/>
      <c r="BY44" s="231"/>
      <c r="BZ44" s="231"/>
      <c r="CA44" s="231"/>
      <c r="CB44" s="195"/>
      <c r="CC44" s="194"/>
      <c r="CD44" s="195"/>
      <c r="CE44" s="195"/>
      <c r="CF44" s="194"/>
      <c r="CG44" s="195"/>
      <c r="CH44" s="195"/>
      <c r="CI44" s="194"/>
      <c r="CJ44" s="195"/>
      <c r="CK44" s="195"/>
      <c r="CL44" s="194"/>
      <c r="CM44" s="224"/>
      <c r="CN44" s="227"/>
      <c r="CO44" s="227"/>
      <c r="CP44" s="227"/>
      <c r="CQ44" s="194"/>
      <c r="CR44" s="227"/>
      <c r="CS44" s="227"/>
      <c r="CT44" s="225"/>
      <c r="CU44" s="226"/>
      <c r="CV44" s="226"/>
      <c r="CW44" s="226"/>
      <c r="CX44" s="226"/>
      <c r="CY44" s="19"/>
      <c r="CZ44" s="19"/>
      <c r="DA44" s="19"/>
      <c r="DB44" s="23" t="s">
        <v>2913</v>
      </c>
      <c r="DC44" s="19">
        <v>90</v>
      </c>
      <c r="DD44" s="19"/>
      <c r="DE44" s="84"/>
      <c r="DF44" s="84"/>
      <c r="DG44" s="84"/>
      <c r="DH44" s="83"/>
      <c r="DI44" s="83"/>
      <c r="DJ44" s="83"/>
      <c r="DK44" s="83"/>
      <c r="DL44" s="83"/>
      <c r="DM44" s="83"/>
    </row>
    <row r="45" spans="1:117" ht="27" customHeight="1" thickBot="1">
      <c r="A45" s="2413"/>
      <c r="B45" s="2427"/>
      <c r="C45" s="2402"/>
      <c r="D45" s="2373" t="s">
        <v>555</v>
      </c>
      <c r="E45" s="2374"/>
      <c r="F45" s="2374"/>
      <c r="G45" s="2374"/>
      <c r="H45" s="2375"/>
      <c r="I45" s="445">
        <f>SUM(I38:I41)</f>
        <v>0</v>
      </c>
      <c r="J45" s="2489">
        <f>J38*H38+J39*H39+J40*H40+J41*H41</f>
        <v>0</v>
      </c>
      <c r="K45" s="2487"/>
      <c r="L45" s="446">
        <f>L38*$H$38+L39*$H$39+L40*$H$40+L41*$H$41</f>
        <v>0</v>
      </c>
      <c r="M45" s="446">
        <f>M38*$H$38+M39*$H$39+M40*$H$40+M41*$H$41</f>
        <v>0</v>
      </c>
      <c r="N45" s="446">
        <f>N38*$H$38+N39*$H$39+N40*$H$40+N41*$H$41</f>
        <v>0</v>
      </c>
      <c r="O45" s="446">
        <f>O38*$H$38+O39*$H$39+O40*$H$40+O41*$H$41</f>
        <v>0</v>
      </c>
      <c r="P45" s="2486">
        <f>P38*$H$38+P39*$H$39+P40*$H$40+P41*$H$41</f>
        <v>0</v>
      </c>
      <c r="Q45" s="2487"/>
      <c r="R45" s="2486">
        <f>R38*$H$38+R39*$H$39+R40*$H$40+R41*$H$41</f>
        <v>0</v>
      </c>
      <c r="S45" s="2487"/>
      <c r="T45" s="2490">
        <f>IF(COUNTIF(T38:U41,"人数を再確認！"),"人数を再確認！",SUM(T38:U41))</f>
        <v>0</v>
      </c>
      <c r="U45" s="2490"/>
      <c r="V45" s="22"/>
      <c r="W45" s="232"/>
      <c r="X45" s="231"/>
      <c r="Y45" s="231"/>
      <c r="Z45" s="231"/>
      <c r="AA45" s="195"/>
      <c r="AB45" s="194"/>
      <c r="AC45" s="195"/>
      <c r="AD45" s="195"/>
      <c r="AE45" s="194"/>
      <c r="AF45" s="195"/>
      <c r="AG45" s="195"/>
      <c r="AH45" s="194"/>
      <c r="AI45" s="195"/>
      <c r="AJ45" s="195"/>
      <c r="AK45" s="194"/>
      <c r="AL45" s="224"/>
      <c r="AM45" s="227"/>
      <c r="AN45" s="227"/>
      <c r="AO45" s="227"/>
      <c r="AP45" s="194"/>
      <c r="AQ45" s="227"/>
      <c r="AR45" s="227"/>
      <c r="AS45" s="225"/>
      <c r="AT45" s="226"/>
      <c r="AU45" s="226"/>
      <c r="AV45" s="226"/>
      <c r="AW45" s="226"/>
      <c r="AX45" s="226"/>
      <c r="AY45" s="226"/>
      <c r="AZ45" s="226"/>
      <c r="BA45" s="226"/>
      <c r="BB45" s="2551"/>
      <c r="BC45" s="2427"/>
      <c r="BD45" s="2402"/>
      <c r="BE45" s="2373" t="s">
        <v>555</v>
      </c>
      <c r="BF45" s="2374"/>
      <c r="BG45" s="2374"/>
      <c r="BH45" s="2374"/>
      <c r="BI45" s="2375"/>
      <c r="BJ45" s="445">
        <f>SUM(BJ38:BJ41)</f>
        <v>3</v>
      </c>
      <c r="BK45" s="2489">
        <f>BK38*BI38+BK39*BI39+BK40*BI40+BK41*BI41</f>
        <v>0</v>
      </c>
      <c r="BL45" s="2487"/>
      <c r="BM45" s="446">
        <f>BM38*$H$38+BM39*$H$39+BM40*$H$40+BM41*$H$41</f>
        <v>0</v>
      </c>
      <c r="BN45" s="446">
        <f>BN38*$H$38+BN39*$H$39+BN40*$H$40+BN41*$H$41</f>
        <v>0</v>
      </c>
      <c r="BO45" s="446">
        <f>BO38*$H$38+BO39*$H$39+BO40*$H$40+BO41*$H$41</f>
        <v>0</v>
      </c>
      <c r="BP45" s="446">
        <f>BP38*$H$38+BP39*$H$39+BP40*$H$40+BP41*$H$41</f>
        <v>700</v>
      </c>
      <c r="BQ45" s="2486">
        <f>BQ38*$H$38+BQ39*$H$39+BQ40*$H$40+BQ41*$H$41</f>
        <v>350</v>
      </c>
      <c r="BR45" s="2487"/>
      <c r="BS45" s="2486">
        <f>BS38*$H$38+BS39*$H$39+BS40*$H$40+BS41*$H$41</f>
        <v>0</v>
      </c>
      <c r="BT45" s="2487"/>
      <c r="BU45" s="2545">
        <f>SUM(BU38:BV41)</f>
        <v>1050</v>
      </c>
      <c r="BV45" s="2545"/>
      <c r="BW45" s="501"/>
      <c r="BX45" s="232"/>
      <c r="BY45" s="231"/>
      <c r="BZ45" s="231"/>
      <c r="CA45" s="231"/>
      <c r="CB45" s="195"/>
      <c r="CC45" s="194"/>
      <c r="CD45" s="195"/>
      <c r="CE45" s="195"/>
      <c r="CF45" s="194"/>
      <c r="CG45" s="195"/>
      <c r="CH45" s="195"/>
      <c r="CI45" s="194"/>
      <c r="CJ45" s="195"/>
      <c r="CK45" s="195"/>
      <c r="CL45" s="194"/>
      <c r="CM45" s="224"/>
      <c r="CN45" s="227"/>
      <c r="CO45" s="227"/>
      <c r="CP45" s="227"/>
      <c r="CQ45" s="194"/>
      <c r="CR45" s="227"/>
      <c r="CS45" s="227"/>
      <c r="CT45" s="225"/>
      <c r="CU45" s="226"/>
      <c r="CV45" s="226"/>
      <c r="CW45" s="226"/>
      <c r="CX45" s="226"/>
      <c r="CY45" s="19"/>
      <c r="CZ45" s="19"/>
      <c r="DA45" s="19"/>
      <c r="DB45" s="23" t="s">
        <v>2914</v>
      </c>
      <c r="DC45" s="19">
        <v>90</v>
      </c>
      <c r="DD45" s="19"/>
      <c r="DE45" s="84"/>
      <c r="DF45" s="84"/>
      <c r="DG45" s="84"/>
      <c r="DH45" s="83"/>
      <c r="DI45" s="83"/>
      <c r="DJ45" s="83"/>
      <c r="DK45" s="83"/>
      <c r="DL45" s="83"/>
      <c r="DM45" s="83"/>
    </row>
    <row r="46" spans="1:117" ht="27" customHeight="1" thickTop="1">
      <c r="A46" s="2415"/>
      <c r="B46" s="2429"/>
      <c r="C46" s="2376" t="s">
        <v>556</v>
      </c>
      <c r="D46" s="2377"/>
      <c r="E46" s="2377"/>
      <c r="F46" s="2377"/>
      <c r="G46" s="2377"/>
      <c r="H46" s="2378"/>
      <c r="I46" s="447">
        <f>I37+I45</f>
        <v>0</v>
      </c>
      <c r="J46" s="2476">
        <f>J37+J45</f>
        <v>0</v>
      </c>
      <c r="K46" s="2477"/>
      <c r="L46" s="448">
        <f>L37+L45</f>
        <v>0</v>
      </c>
      <c r="M46" s="448">
        <f>M37+M45</f>
        <v>0</v>
      </c>
      <c r="N46" s="448">
        <f>N37+N45</f>
        <v>0</v>
      </c>
      <c r="O46" s="448">
        <f>O37+O45</f>
        <v>0</v>
      </c>
      <c r="P46" s="2478">
        <f>P37+P45</f>
        <v>0</v>
      </c>
      <c r="Q46" s="2479"/>
      <c r="R46" s="2478">
        <f>R37+R45</f>
        <v>0</v>
      </c>
      <c r="S46" s="2479"/>
      <c r="T46" s="2488">
        <f>IFERROR(T37+T45,"人数を再確認！")</f>
        <v>0</v>
      </c>
      <c r="U46" s="2488"/>
      <c r="V46" s="78"/>
      <c r="W46" s="232"/>
      <c r="X46" s="231"/>
      <c r="Y46" s="231"/>
      <c r="Z46" s="231"/>
      <c r="AA46" s="195"/>
      <c r="AB46" s="194"/>
      <c r="AC46" s="195"/>
      <c r="AD46" s="195"/>
      <c r="AE46" s="194"/>
      <c r="AF46" s="195"/>
      <c r="AG46" s="195"/>
      <c r="AH46" s="194"/>
      <c r="AI46" s="195"/>
      <c r="AJ46" s="195"/>
      <c r="AK46" s="194"/>
      <c r="AL46" s="224"/>
      <c r="AM46" s="227"/>
      <c r="AN46" s="227"/>
      <c r="AO46" s="227"/>
      <c r="AP46" s="194"/>
      <c r="AQ46" s="227"/>
      <c r="AR46" s="227"/>
      <c r="AS46" s="225"/>
      <c r="AT46" s="226"/>
      <c r="AU46" s="226"/>
      <c r="AV46" s="226"/>
      <c r="AW46" s="226"/>
      <c r="AX46" s="226"/>
      <c r="AY46" s="226"/>
      <c r="AZ46" s="226"/>
      <c r="BA46" s="226"/>
      <c r="BB46" s="2552"/>
      <c r="BC46" s="2429"/>
      <c r="BD46" s="2376" t="s">
        <v>556</v>
      </c>
      <c r="BE46" s="2377"/>
      <c r="BF46" s="2377"/>
      <c r="BG46" s="2377"/>
      <c r="BH46" s="2377"/>
      <c r="BI46" s="2378"/>
      <c r="BJ46" s="447">
        <f>BJ37+BJ45</f>
        <v>111</v>
      </c>
      <c r="BK46" s="2476">
        <f>BK37+BK45</f>
        <v>29700</v>
      </c>
      <c r="BL46" s="2477"/>
      <c r="BM46" s="448">
        <f>BM37+BM45</f>
        <v>2310</v>
      </c>
      <c r="BN46" s="448">
        <f>BN37+BN45</f>
        <v>0</v>
      </c>
      <c r="BO46" s="448">
        <f>BO37+BO45</f>
        <v>0</v>
      </c>
      <c r="BP46" s="448">
        <f>BP37+BP45</f>
        <v>700</v>
      </c>
      <c r="BQ46" s="2478">
        <f>BQ37+BQ45</f>
        <v>350</v>
      </c>
      <c r="BR46" s="2479"/>
      <c r="BS46" s="2478">
        <f>BS37+BS45</f>
        <v>0</v>
      </c>
      <c r="BT46" s="2479"/>
      <c r="BU46" s="2553">
        <f>BU37+BU45</f>
        <v>33060</v>
      </c>
      <c r="BV46" s="2553"/>
      <c r="BW46" s="509"/>
      <c r="BX46" s="232"/>
      <c r="BY46" s="231"/>
      <c r="BZ46" s="231"/>
      <c r="CA46" s="231"/>
      <c r="CB46" s="195"/>
      <c r="CC46" s="194"/>
      <c r="CD46" s="195"/>
      <c r="CE46" s="195"/>
      <c r="CF46" s="194"/>
      <c r="CG46" s="195"/>
      <c r="CH46" s="195"/>
      <c r="CI46" s="194"/>
      <c r="CJ46" s="195"/>
      <c r="CK46" s="195"/>
      <c r="CL46" s="194"/>
      <c r="CM46" s="224"/>
      <c r="CN46" s="227"/>
      <c r="CO46" s="227"/>
      <c r="CP46" s="227"/>
      <c r="CQ46" s="194"/>
      <c r="CR46" s="227"/>
      <c r="CS46" s="227"/>
      <c r="CT46" s="225"/>
      <c r="CU46" s="226"/>
      <c r="CV46" s="226"/>
      <c r="CW46" s="226"/>
      <c r="CX46" s="226"/>
      <c r="CY46" s="19"/>
      <c r="CZ46" s="19"/>
      <c r="DA46" s="19"/>
      <c r="DB46" s="23" t="s">
        <v>2915</v>
      </c>
      <c r="DC46" s="19">
        <v>130</v>
      </c>
      <c r="DD46" s="19"/>
      <c r="DE46" s="84"/>
      <c r="DF46" s="84"/>
      <c r="DG46" s="84"/>
      <c r="DH46" s="83"/>
      <c r="DI46" s="83"/>
      <c r="DJ46" s="83"/>
      <c r="DK46" s="83"/>
      <c r="DL46" s="83"/>
      <c r="DM46" s="83"/>
    </row>
    <row r="47" spans="1:117" ht="27" customHeight="1">
      <c r="A47" s="2412" t="s">
        <v>2854</v>
      </c>
      <c r="B47" s="2412"/>
      <c r="C47" s="2412"/>
      <c r="D47" s="2412"/>
      <c r="E47" s="2412"/>
      <c r="F47" s="2412"/>
      <c r="G47" s="2412"/>
      <c r="H47" s="2412"/>
      <c r="I47" s="2412"/>
      <c r="J47" s="2412"/>
      <c r="K47" s="2412"/>
      <c r="L47" s="2412"/>
      <c r="M47" s="2412"/>
      <c r="N47" s="2412"/>
      <c r="O47" s="2412"/>
      <c r="P47" s="2412"/>
      <c r="Q47" s="2412"/>
      <c r="R47" s="2412"/>
      <c r="S47" s="2412"/>
      <c r="T47" s="2412"/>
      <c r="U47" s="2412"/>
      <c r="V47" s="25"/>
      <c r="W47" s="232"/>
      <c r="X47" s="231"/>
      <c r="Y47" s="231"/>
      <c r="Z47" s="231"/>
      <c r="AA47" s="195"/>
      <c r="AB47" s="194"/>
      <c r="AC47" s="195"/>
      <c r="AD47" s="195"/>
      <c r="AE47" s="194"/>
      <c r="AF47" s="195"/>
      <c r="AG47" s="195"/>
      <c r="AH47" s="194"/>
      <c r="AI47" s="195"/>
      <c r="AJ47" s="195"/>
      <c r="AK47" s="194"/>
      <c r="AL47" s="224"/>
      <c r="AM47" s="227"/>
      <c r="AN47" s="227"/>
      <c r="AO47" s="227"/>
      <c r="AP47" s="194"/>
      <c r="AQ47" s="227"/>
      <c r="AR47" s="227"/>
      <c r="AS47" s="225"/>
      <c r="AT47" s="226"/>
      <c r="AU47" s="226"/>
      <c r="AV47" s="226"/>
      <c r="AW47" s="226"/>
      <c r="AX47" s="226"/>
      <c r="AY47" s="226"/>
      <c r="AZ47" s="226"/>
      <c r="BA47" s="226"/>
      <c r="BB47" s="2550" t="s">
        <v>2854</v>
      </c>
      <c r="BC47" s="2550"/>
      <c r="BD47" s="2550"/>
      <c r="BE47" s="2550"/>
      <c r="BF47" s="2550"/>
      <c r="BG47" s="2550"/>
      <c r="BH47" s="2550"/>
      <c r="BI47" s="2550"/>
      <c r="BJ47" s="2550"/>
      <c r="BK47" s="2550"/>
      <c r="BL47" s="2550"/>
      <c r="BM47" s="2550"/>
      <c r="BN47" s="2550"/>
      <c r="BO47" s="2550"/>
      <c r="BP47" s="2550"/>
      <c r="BQ47" s="2550"/>
      <c r="BR47" s="2550"/>
      <c r="BS47" s="2550"/>
      <c r="BT47" s="2550"/>
      <c r="BU47" s="2550"/>
      <c r="BV47" s="2550"/>
      <c r="BW47" s="510"/>
      <c r="BX47" s="232"/>
      <c r="BY47" s="231"/>
      <c r="BZ47" s="231"/>
      <c r="CA47" s="231"/>
      <c r="CB47" s="195"/>
      <c r="CC47" s="194"/>
      <c r="CD47" s="195"/>
      <c r="CE47" s="195"/>
      <c r="CF47" s="194"/>
      <c r="CG47" s="195"/>
      <c r="CH47" s="195"/>
      <c r="CI47" s="194"/>
      <c r="CJ47" s="195"/>
      <c r="CK47" s="195"/>
      <c r="CL47" s="194"/>
      <c r="CM47" s="224"/>
      <c r="CN47" s="227"/>
      <c r="CO47" s="227"/>
      <c r="CP47" s="227"/>
      <c r="CQ47" s="194"/>
      <c r="CR47" s="227"/>
      <c r="CS47" s="227"/>
      <c r="CT47" s="225"/>
      <c r="CU47" s="226"/>
      <c r="CV47" s="226"/>
      <c r="CW47" s="226"/>
      <c r="CX47" s="226"/>
      <c r="CY47" s="19"/>
      <c r="CZ47" s="19"/>
      <c r="DA47" s="19"/>
      <c r="DB47" s="23" t="s">
        <v>2916</v>
      </c>
      <c r="DC47" s="19">
        <v>130</v>
      </c>
      <c r="DD47" s="19"/>
      <c r="DE47" s="84"/>
      <c r="DF47" s="84"/>
      <c r="DG47" s="84"/>
      <c r="DH47" s="83"/>
      <c r="DI47" s="83"/>
      <c r="DJ47" s="83"/>
      <c r="DK47" s="83"/>
      <c r="DL47" s="83"/>
      <c r="DM47" s="83"/>
    </row>
    <row r="48" spans="1:117" ht="23.25" customHeight="1">
      <c r="A48" s="124"/>
      <c r="B48" s="124"/>
      <c r="C48" s="124"/>
      <c r="D48" s="124"/>
      <c r="E48" s="124"/>
      <c r="F48" s="124"/>
      <c r="G48" s="124"/>
      <c r="H48" s="124"/>
      <c r="I48" s="124"/>
      <c r="J48" s="124"/>
      <c r="K48" s="124"/>
      <c r="L48" s="124"/>
      <c r="M48" s="124"/>
      <c r="N48" s="124"/>
      <c r="O48" s="124"/>
      <c r="P48" s="125"/>
      <c r="Q48" s="125"/>
      <c r="R48" s="125"/>
      <c r="S48" s="125"/>
      <c r="T48" s="125"/>
      <c r="U48" s="125"/>
      <c r="V48" s="92"/>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75"/>
      <c r="BC48" s="15"/>
      <c r="BD48" s="802"/>
      <c r="BE48" s="802"/>
      <c r="BF48" s="801"/>
      <c r="BG48" s="802"/>
      <c r="BH48" s="802"/>
      <c r="BI48" s="808"/>
      <c r="BJ48" s="802"/>
      <c r="BK48" s="813"/>
      <c r="BL48" s="813"/>
      <c r="BM48" s="813"/>
      <c r="BN48" s="83"/>
      <c r="BO48" s="83"/>
      <c r="BP48" s="83"/>
      <c r="BQ48" s="83"/>
      <c r="BR48" s="83"/>
      <c r="BS48" s="83"/>
      <c r="BT48" s="83"/>
      <c r="BU48" s="83"/>
      <c r="BV48" s="83"/>
      <c r="CY48" s="84"/>
      <c r="CZ48" s="84"/>
      <c r="DA48" s="84"/>
      <c r="DB48" s="23" t="s">
        <v>2919</v>
      </c>
      <c r="DC48" s="19">
        <v>130</v>
      </c>
      <c r="DD48" s="84"/>
      <c r="DE48" s="84"/>
      <c r="DF48" s="84"/>
      <c r="DG48" s="84"/>
      <c r="DH48" s="83"/>
      <c r="DI48" s="83"/>
      <c r="DJ48" s="83"/>
      <c r="DK48" s="83"/>
      <c r="DL48" s="83"/>
      <c r="DM48" s="83"/>
    </row>
    <row r="49" spans="1:117" ht="15" customHeight="1">
      <c r="A49" s="124"/>
      <c r="B49" s="124"/>
      <c r="C49" s="124"/>
      <c r="D49" s="124"/>
      <c r="E49" s="124"/>
      <c r="F49" s="124"/>
      <c r="G49" s="124"/>
      <c r="H49" s="124"/>
      <c r="I49" s="124"/>
      <c r="J49" s="124"/>
      <c r="K49" s="124"/>
      <c r="L49" s="124"/>
      <c r="M49" s="124"/>
      <c r="N49" s="124"/>
      <c r="O49" s="124"/>
      <c r="P49" s="125"/>
      <c r="Q49" s="125"/>
      <c r="R49" s="125"/>
      <c r="S49" s="125"/>
      <c r="T49" s="125"/>
      <c r="U49" s="125"/>
      <c r="V49" s="87"/>
      <c r="W49" s="126"/>
      <c r="X49" s="126"/>
      <c r="Y49" s="126"/>
      <c r="Z49" s="126"/>
      <c r="AA49" s="126"/>
      <c r="AB49" s="126"/>
      <c r="AC49" s="126"/>
      <c r="AD49" s="126"/>
      <c r="AE49" s="126"/>
      <c r="AF49" s="126"/>
      <c r="AG49" s="126"/>
      <c r="AK49" s="126"/>
      <c r="AL49" s="126"/>
      <c r="AM49" s="126"/>
      <c r="AN49" s="126"/>
      <c r="AO49" s="126"/>
      <c r="AP49" s="126"/>
      <c r="AQ49" s="126"/>
      <c r="AR49" s="126"/>
      <c r="AS49" s="126"/>
      <c r="AT49" s="126"/>
      <c r="AU49" s="126"/>
      <c r="AV49" s="126"/>
      <c r="AW49" s="126"/>
      <c r="AX49" s="126"/>
      <c r="AY49" s="126"/>
      <c r="AZ49" s="126"/>
      <c r="BA49" s="126"/>
      <c r="BB49" s="17"/>
      <c r="BC49" s="15"/>
      <c r="BD49" s="802"/>
      <c r="BE49" s="802"/>
      <c r="BF49" s="808" t="s">
        <v>102</v>
      </c>
      <c r="BG49" s="802"/>
      <c r="BH49" s="801"/>
      <c r="BI49" s="813" t="s">
        <v>186</v>
      </c>
      <c r="BJ49" s="802" t="s">
        <v>562</v>
      </c>
      <c r="BK49" s="802" t="s">
        <v>563</v>
      </c>
      <c r="BL49" s="810"/>
      <c r="BM49" s="810"/>
      <c r="BN49" s="84"/>
      <c r="BO49" s="84"/>
      <c r="BP49" s="84"/>
      <c r="BQ49" s="84"/>
      <c r="BR49" s="84"/>
      <c r="BS49" s="84"/>
      <c r="BT49" s="84"/>
      <c r="BU49" s="83"/>
      <c r="BV49" s="83"/>
      <c r="CY49" s="84"/>
      <c r="CZ49" s="84"/>
      <c r="DA49" s="84"/>
      <c r="DB49" s="18" t="s">
        <v>102</v>
      </c>
      <c r="DC49" s="19"/>
      <c r="DD49" s="84"/>
      <c r="DE49" s="84"/>
      <c r="DF49" s="84"/>
      <c r="DG49" s="84"/>
      <c r="DH49" s="83"/>
      <c r="DI49" s="83"/>
      <c r="DJ49" s="83"/>
      <c r="DK49" s="83"/>
      <c r="DL49" s="83"/>
      <c r="DM49" s="83"/>
    </row>
    <row r="50" spans="1:117" ht="30" customHeight="1">
      <c r="A50" s="127"/>
      <c r="B50" s="127"/>
      <c r="C50" s="127"/>
      <c r="D50" s="127"/>
      <c r="E50" s="128"/>
      <c r="F50" s="128"/>
      <c r="G50" s="128"/>
      <c r="H50" s="128"/>
      <c r="I50" s="128"/>
      <c r="J50" s="128"/>
      <c r="K50" s="128"/>
      <c r="L50" s="128"/>
      <c r="M50" s="128"/>
      <c r="N50" s="127"/>
      <c r="O50" s="127"/>
      <c r="P50" s="127"/>
      <c r="Q50" s="129"/>
      <c r="R50" s="129"/>
      <c r="S50" s="129"/>
      <c r="T50" s="129"/>
      <c r="U50" s="129"/>
      <c r="V50" s="87"/>
      <c r="W50" s="130"/>
      <c r="X50" s="131"/>
      <c r="Y50" s="131"/>
      <c r="Z50" s="131"/>
      <c r="AA50" s="131"/>
      <c r="AB50" s="131"/>
      <c r="AC50" s="131"/>
      <c r="AD50" s="93"/>
      <c r="AE50" s="132"/>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94"/>
      <c r="BB50" s="17"/>
      <c r="BC50" s="15"/>
      <c r="BD50" s="802"/>
      <c r="BE50" s="802"/>
      <c r="BF50" s="801" t="s">
        <v>103</v>
      </c>
      <c r="BG50" s="802">
        <v>90</v>
      </c>
      <c r="BH50" s="801"/>
      <c r="BI50" s="810" t="s">
        <v>557</v>
      </c>
      <c r="BJ50" s="873">
        <f>SUMIFS($AQ$43:$AQ$47,$X$43:$X$47,"カレーライス")*2</f>
        <v>0</v>
      </c>
      <c r="BK50" s="813"/>
      <c r="BL50" s="813"/>
      <c r="BM50" s="813"/>
      <c r="BN50" s="84"/>
      <c r="BO50" s="84"/>
      <c r="BP50" s="84"/>
      <c r="BQ50" s="84"/>
      <c r="BR50" s="84"/>
      <c r="BS50" s="84"/>
      <c r="BT50" s="84"/>
      <c r="BU50" s="83"/>
      <c r="BV50" s="83"/>
      <c r="CY50" s="84"/>
      <c r="CZ50" s="84"/>
      <c r="DA50" s="84"/>
      <c r="DB50" s="23" t="s">
        <v>3080</v>
      </c>
      <c r="DC50" s="19">
        <v>90</v>
      </c>
      <c r="DD50" s="84"/>
      <c r="DE50" s="84"/>
      <c r="DF50" s="84"/>
      <c r="DG50" s="84"/>
      <c r="DH50" s="83"/>
      <c r="DI50" s="83"/>
      <c r="DJ50" s="83"/>
      <c r="DK50" s="83"/>
      <c r="DL50" s="83"/>
      <c r="DM50" s="83"/>
    </row>
    <row r="51" spans="1:117" ht="27" customHeight="1">
      <c r="A51" s="127"/>
      <c r="B51" s="127"/>
      <c r="C51" s="127"/>
      <c r="D51" s="127"/>
      <c r="E51" s="134"/>
      <c r="F51" s="134"/>
      <c r="G51" s="95"/>
      <c r="H51" s="96"/>
      <c r="I51" s="95"/>
      <c r="J51" s="96"/>
      <c r="K51" s="95"/>
      <c r="L51" s="95"/>
      <c r="M51" s="96"/>
      <c r="N51" s="95"/>
      <c r="O51" s="96"/>
      <c r="P51" s="95"/>
      <c r="Q51" s="97"/>
      <c r="R51" s="98"/>
      <c r="S51" s="95"/>
      <c r="T51" s="98"/>
      <c r="U51" s="99"/>
      <c r="V51" s="87"/>
      <c r="BB51" s="17"/>
      <c r="BC51" s="15"/>
      <c r="BD51" s="802"/>
      <c r="BE51" s="802"/>
      <c r="BF51" s="801" t="s">
        <v>245</v>
      </c>
      <c r="BG51" s="802">
        <v>600</v>
      </c>
      <c r="BH51" s="801"/>
      <c r="BI51" s="808" t="s">
        <v>558</v>
      </c>
      <c r="BJ51" s="873">
        <f>SUMIFS($AQ$43:$AQ$47,$Y$43:$Y$47,"牛丼")*2</f>
        <v>0</v>
      </c>
      <c r="BK51" s="813"/>
      <c r="BL51" s="813"/>
      <c r="BM51" s="813"/>
      <c r="BN51" s="84"/>
      <c r="BO51" s="84"/>
      <c r="BP51" s="84"/>
      <c r="BQ51" s="84"/>
      <c r="BR51" s="84"/>
      <c r="BS51" s="84"/>
      <c r="BT51" s="84"/>
      <c r="BU51" s="83"/>
      <c r="BV51" s="83"/>
      <c r="CY51" s="84"/>
      <c r="CZ51" s="84"/>
      <c r="DA51" s="84"/>
      <c r="DB51" s="23" t="s">
        <v>2921</v>
      </c>
      <c r="DC51" s="19">
        <v>500</v>
      </c>
      <c r="DD51" s="84"/>
      <c r="DE51" s="84"/>
      <c r="DF51" s="84"/>
      <c r="DG51" s="84"/>
      <c r="DH51" s="83"/>
      <c r="DI51" s="83"/>
      <c r="DJ51" s="83"/>
      <c r="DK51" s="83"/>
      <c r="DL51" s="83"/>
      <c r="DM51" s="83"/>
    </row>
    <row r="52" spans="1:117" ht="27"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5"/>
      <c r="X52" s="136"/>
      <c r="Y52" s="100"/>
      <c r="Z52" s="101"/>
      <c r="AA52" s="131"/>
      <c r="AB52" s="131"/>
      <c r="AC52" s="131"/>
      <c r="AD52" s="102"/>
      <c r="AE52" s="103"/>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04"/>
      <c r="BB52" s="17"/>
      <c r="BC52" s="15"/>
      <c r="BD52" s="802"/>
      <c r="BE52" s="802"/>
      <c r="BF52" s="801" t="s">
        <v>104</v>
      </c>
      <c r="BG52" s="802">
        <v>600</v>
      </c>
      <c r="BH52" s="801"/>
      <c r="BI52" s="808" t="s">
        <v>559</v>
      </c>
      <c r="BJ52" s="873">
        <f>SUMIFS($AQ$43:$AQ$47,$Y$43:$Y$47,"豚汁")*2</f>
        <v>0</v>
      </c>
      <c r="BK52" s="813"/>
      <c r="BL52" s="813"/>
      <c r="BM52" s="813"/>
      <c r="BN52" s="84"/>
      <c r="BO52" s="84"/>
      <c r="BP52" s="84"/>
      <c r="BQ52" s="84"/>
      <c r="BR52" s="84"/>
      <c r="BS52" s="84"/>
      <c r="BT52" s="84"/>
      <c r="BU52" s="83"/>
      <c r="BV52" s="83"/>
      <c r="CY52" s="84"/>
      <c r="CZ52" s="84"/>
      <c r="DA52" s="84"/>
      <c r="DB52" s="23" t="s">
        <v>104</v>
      </c>
      <c r="DC52" s="19">
        <v>600</v>
      </c>
      <c r="DD52" s="84"/>
      <c r="DE52" s="84"/>
      <c r="DF52" s="84"/>
      <c r="DG52" s="84"/>
      <c r="DH52" s="83"/>
      <c r="DI52" s="83"/>
      <c r="DJ52" s="83"/>
      <c r="DK52" s="83"/>
      <c r="DL52" s="83"/>
      <c r="DM52" s="83"/>
    </row>
    <row r="53" spans="1:117" ht="27"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5"/>
      <c r="X53" s="136"/>
      <c r="Y53" s="100"/>
      <c r="Z53" s="101"/>
      <c r="AA53" s="131"/>
      <c r="AB53" s="131"/>
      <c r="AC53" s="131"/>
      <c r="AD53" s="102"/>
      <c r="AE53" s="103"/>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04"/>
      <c r="BB53" s="76"/>
      <c r="BC53" s="15"/>
      <c r="BD53" s="802"/>
      <c r="BE53" s="802"/>
      <c r="BF53" s="801" t="s">
        <v>105</v>
      </c>
      <c r="BG53" s="802">
        <v>600</v>
      </c>
      <c r="BH53" s="801"/>
      <c r="BI53" s="808" t="s">
        <v>561</v>
      </c>
      <c r="BJ53" s="873">
        <f>SUMIFS($AQ$43:$AQ$47,$X$43:$X$47,"焼きそば")</f>
        <v>0</v>
      </c>
      <c r="BK53" s="813"/>
      <c r="BL53" s="813"/>
      <c r="BM53" s="813"/>
      <c r="BN53" s="84"/>
      <c r="BO53" s="84"/>
      <c r="BP53" s="84"/>
      <c r="BQ53" s="84"/>
      <c r="BR53" s="84"/>
      <c r="BS53" s="84"/>
      <c r="BT53" s="84"/>
      <c r="BU53" s="83"/>
      <c r="BV53" s="83"/>
      <c r="CY53" s="84"/>
      <c r="CZ53" s="84"/>
      <c r="DA53" s="84"/>
      <c r="DB53" s="23" t="s">
        <v>105</v>
      </c>
      <c r="DC53" s="19">
        <v>600</v>
      </c>
      <c r="DD53" s="84"/>
      <c r="DE53" s="84"/>
      <c r="DF53" s="84"/>
      <c r="DG53" s="84"/>
      <c r="DH53" s="83"/>
      <c r="DI53" s="83"/>
      <c r="DJ53" s="83"/>
      <c r="DK53" s="83"/>
      <c r="DL53" s="83"/>
      <c r="DM53" s="83"/>
    </row>
    <row r="54" spans="1:117" ht="27"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5"/>
      <c r="X54" s="136"/>
      <c r="Y54" s="100"/>
      <c r="Z54" s="101"/>
      <c r="AA54" s="131"/>
      <c r="AB54" s="131"/>
      <c r="AC54" s="131"/>
      <c r="AD54" s="102"/>
      <c r="AE54" s="103"/>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04"/>
      <c r="BB54" s="76"/>
      <c r="BC54" s="15"/>
      <c r="BD54" s="802"/>
      <c r="BE54" s="802"/>
      <c r="BF54" s="801" t="s">
        <v>247</v>
      </c>
      <c r="BG54" s="802">
        <v>600</v>
      </c>
      <c r="BH54" s="801"/>
      <c r="BI54" s="808" t="s">
        <v>560</v>
      </c>
      <c r="BJ54" s="873">
        <f>SUMIFS($AQ$43:$AQ$47,$X$43:$X$47,"ホットドッグ")/2</f>
        <v>0</v>
      </c>
      <c r="BK54" s="813"/>
      <c r="BL54" s="813"/>
      <c r="BM54" s="813"/>
      <c r="BN54" s="84"/>
      <c r="BO54" s="84"/>
      <c r="BP54" s="84"/>
      <c r="BQ54" s="84"/>
      <c r="BR54" s="84"/>
      <c r="BS54" s="84"/>
      <c r="BT54" s="84"/>
      <c r="BU54" s="83"/>
      <c r="BV54" s="83"/>
      <c r="CY54" s="84"/>
      <c r="CZ54" s="84"/>
      <c r="DA54" s="84"/>
      <c r="DB54" s="23" t="s">
        <v>247</v>
      </c>
      <c r="DC54" s="19">
        <v>600</v>
      </c>
      <c r="DD54" s="84"/>
      <c r="DE54" s="84"/>
      <c r="DF54" s="84"/>
      <c r="DG54" s="84"/>
      <c r="DH54" s="83"/>
      <c r="DI54" s="83"/>
      <c r="DJ54" s="83"/>
      <c r="DK54" s="83"/>
      <c r="DL54" s="83"/>
      <c r="DM54" s="83"/>
    </row>
    <row r="55" spans="1:117" ht="27"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5"/>
      <c r="X55" s="136"/>
      <c r="Y55" s="100"/>
      <c r="Z55" s="101"/>
      <c r="AA55" s="131"/>
      <c r="AB55" s="131"/>
      <c r="AC55" s="131"/>
      <c r="AD55" s="102"/>
      <c r="AE55" s="103"/>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04"/>
      <c r="BB55" s="76"/>
      <c r="BC55" s="15"/>
      <c r="BD55" s="802"/>
      <c r="BE55" s="802"/>
      <c r="BF55" s="801" t="s">
        <v>106</v>
      </c>
      <c r="BG55" s="802">
        <v>600</v>
      </c>
      <c r="BH55" s="801"/>
      <c r="BI55" s="2597" t="s">
        <v>144</v>
      </c>
      <c r="BJ55" s="2597"/>
      <c r="BK55" s="873">
        <f>SUMIFS($AQ$43:$AQ$47,$X$43:$X$47,"ジンギスカン")</f>
        <v>0</v>
      </c>
      <c r="BL55" s="813"/>
      <c r="BM55" s="813"/>
      <c r="BN55" s="84"/>
      <c r="BO55" s="84"/>
      <c r="BP55" s="84"/>
      <c r="BQ55" s="84"/>
      <c r="BR55" s="84"/>
      <c r="BS55" s="84"/>
      <c r="BT55" s="84"/>
      <c r="BU55" s="83"/>
      <c r="BV55" s="83"/>
      <c r="CY55" s="84"/>
      <c r="CZ55" s="84"/>
      <c r="DA55" s="84"/>
      <c r="DB55" s="23" t="s">
        <v>106</v>
      </c>
      <c r="DC55" s="19">
        <v>600</v>
      </c>
      <c r="DD55" s="84"/>
      <c r="DE55" s="84"/>
      <c r="DF55" s="84"/>
      <c r="DG55" s="84"/>
      <c r="DH55" s="83"/>
      <c r="DI55" s="83"/>
      <c r="DJ55" s="83"/>
      <c r="DK55" s="83"/>
      <c r="DL55" s="83"/>
      <c r="DM55" s="83"/>
    </row>
    <row r="56" spans="1:117" ht="27"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5"/>
      <c r="X56" s="136"/>
      <c r="Y56" s="100"/>
      <c r="Z56" s="101"/>
      <c r="AA56" s="131"/>
      <c r="AB56" s="131"/>
      <c r="AC56" s="131"/>
      <c r="AD56" s="102"/>
      <c r="AE56" s="103"/>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04"/>
      <c r="BB56" s="77"/>
      <c r="BC56" s="15"/>
      <c r="BD56" s="802"/>
      <c r="BE56" s="802"/>
      <c r="BF56" s="801" t="s">
        <v>246</v>
      </c>
      <c r="BG56" s="802">
        <v>750</v>
      </c>
      <c r="BH56" s="801"/>
      <c r="BI56" s="874" t="s">
        <v>2882</v>
      </c>
      <c r="BJ56" s="813">
        <f>SUMIFS($AQ$43:$AQ$47,$X$43:$X$47,"カレーライス")*-1</f>
        <v>0</v>
      </c>
      <c r="BK56" s="813"/>
      <c r="BL56" s="813"/>
      <c r="BM56" s="813"/>
      <c r="BN56" s="84"/>
      <c r="BO56" s="84"/>
      <c r="BP56" s="84"/>
      <c r="BQ56" s="84"/>
      <c r="BR56" s="84"/>
      <c r="BS56" s="84"/>
      <c r="BT56" s="84"/>
      <c r="BU56" s="83"/>
      <c r="BV56" s="83"/>
      <c r="CY56" s="84"/>
      <c r="CZ56" s="84"/>
      <c r="DA56" s="84"/>
      <c r="DB56" s="23" t="s">
        <v>246</v>
      </c>
      <c r="DC56" s="19">
        <v>750</v>
      </c>
      <c r="DD56" s="84"/>
      <c r="DE56" s="84"/>
      <c r="DF56" s="84"/>
      <c r="DG56" s="84"/>
      <c r="DH56" s="83"/>
      <c r="DI56" s="83"/>
      <c r="DJ56" s="83"/>
      <c r="DK56" s="83"/>
      <c r="DL56" s="83"/>
      <c r="DM56" s="83"/>
    </row>
    <row r="57" spans="1:117" ht="27"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5"/>
      <c r="X57" s="136"/>
      <c r="Y57" s="100"/>
      <c r="Z57" s="101"/>
      <c r="AA57" s="131"/>
      <c r="AB57" s="131"/>
      <c r="AC57" s="131"/>
      <c r="AD57" s="102"/>
      <c r="AE57" s="103"/>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04"/>
      <c r="BB57" s="17"/>
      <c r="BC57" s="15"/>
      <c r="BD57" s="802"/>
      <c r="BE57" s="802"/>
      <c r="BF57" s="801" t="s">
        <v>107</v>
      </c>
      <c r="BG57" s="802">
        <v>100</v>
      </c>
      <c r="BH57" s="802"/>
      <c r="BI57" s="808" t="s">
        <v>121</v>
      </c>
      <c r="BJ57" s="802">
        <f>SUM(BJ50:BJ54,BJ56)</f>
        <v>0</v>
      </c>
      <c r="BK57" s="813">
        <f>BK55</f>
        <v>0</v>
      </c>
      <c r="BL57" s="813"/>
      <c r="BM57" s="813"/>
      <c r="BN57" s="84"/>
      <c r="BO57" s="84"/>
      <c r="BP57" s="84"/>
      <c r="BQ57" s="84"/>
      <c r="BR57" s="84"/>
      <c r="BS57" s="84"/>
      <c r="BT57" s="84"/>
      <c r="BU57" s="83"/>
      <c r="BV57" s="83"/>
      <c r="CY57" s="84"/>
      <c r="CZ57" s="84"/>
      <c r="DA57" s="84"/>
      <c r="DB57" s="23" t="s">
        <v>107</v>
      </c>
      <c r="DC57" s="19">
        <v>100</v>
      </c>
      <c r="DD57" s="84"/>
      <c r="DE57" s="84"/>
      <c r="DF57" s="84"/>
      <c r="DG57" s="84"/>
      <c r="DH57" s="83"/>
      <c r="DI57" s="83"/>
      <c r="DJ57" s="83"/>
      <c r="DK57" s="83"/>
      <c r="DL57" s="83"/>
      <c r="DM57" s="83"/>
    </row>
    <row r="58" spans="1:117" ht="27" customHeight="1">
      <c r="A58" s="105"/>
      <c r="B58" s="106"/>
      <c r="C58" s="106"/>
      <c r="D58" s="106"/>
      <c r="E58" s="106"/>
      <c r="F58" s="106"/>
      <c r="G58" s="91"/>
      <c r="H58" s="91"/>
      <c r="I58" s="91"/>
      <c r="J58" s="91"/>
      <c r="K58" s="91"/>
      <c r="L58" s="91"/>
      <c r="M58" s="91"/>
      <c r="N58" s="91"/>
      <c r="O58" s="91"/>
      <c r="P58" s="91"/>
      <c r="Q58" s="91"/>
      <c r="R58" s="107"/>
      <c r="S58" s="139"/>
      <c r="T58" s="139"/>
      <c r="U58" s="86"/>
      <c r="V58" s="87"/>
      <c r="W58" s="135"/>
      <c r="X58" s="136"/>
      <c r="Y58" s="100"/>
      <c r="Z58" s="101"/>
      <c r="AA58" s="131"/>
      <c r="AB58" s="131"/>
      <c r="AC58" s="131"/>
      <c r="AD58" s="102"/>
      <c r="AE58" s="103"/>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04"/>
      <c r="BB58" s="17"/>
      <c r="BC58" s="15"/>
      <c r="BD58" s="802"/>
      <c r="BE58" s="802"/>
      <c r="BF58" s="801" t="s">
        <v>248</v>
      </c>
      <c r="BG58" s="802">
        <v>50</v>
      </c>
      <c r="BH58" s="802"/>
      <c r="BI58" s="808"/>
      <c r="BJ58" s="802"/>
      <c r="BK58" s="813"/>
      <c r="BL58" s="813"/>
      <c r="BM58" s="813"/>
      <c r="BN58" s="84"/>
      <c r="BO58" s="84"/>
      <c r="BP58" s="84"/>
      <c r="BQ58" s="84"/>
      <c r="BR58" s="84"/>
      <c r="BS58" s="84"/>
      <c r="BT58" s="84"/>
      <c r="BU58" s="83"/>
      <c r="BV58" s="83"/>
      <c r="CY58" s="84"/>
      <c r="CZ58" s="84"/>
      <c r="DA58" s="84"/>
      <c r="DB58" s="23" t="s">
        <v>248</v>
      </c>
      <c r="DC58" s="19">
        <v>50</v>
      </c>
      <c r="DD58" s="84"/>
      <c r="DE58" s="84"/>
      <c r="DF58" s="84"/>
      <c r="DG58" s="84"/>
      <c r="DH58" s="83"/>
      <c r="DI58" s="83"/>
      <c r="DJ58" s="83"/>
      <c r="DK58" s="83"/>
      <c r="DL58" s="83"/>
      <c r="DM58" s="83"/>
    </row>
    <row r="59" spans="1:117" ht="27" customHeight="1">
      <c r="A59" s="140"/>
      <c r="B59" s="140"/>
      <c r="C59" s="141"/>
      <c r="D59" s="141"/>
      <c r="E59" s="141"/>
      <c r="F59" s="141"/>
      <c r="G59" s="142"/>
      <c r="H59" s="142"/>
      <c r="I59" s="142"/>
      <c r="J59" s="142"/>
      <c r="K59" s="142"/>
      <c r="L59" s="142"/>
      <c r="M59" s="142"/>
      <c r="N59" s="142"/>
      <c r="O59" s="142"/>
      <c r="P59" s="142"/>
      <c r="Q59" s="142"/>
      <c r="R59" s="108"/>
      <c r="S59" s="108"/>
      <c r="T59" s="109"/>
      <c r="U59" s="86"/>
      <c r="V59" s="87"/>
      <c r="W59" s="135"/>
      <c r="X59" s="136"/>
      <c r="Y59" s="100"/>
      <c r="Z59" s="101"/>
      <c r="AA59" s="131"/>
      <c r="AB59" s="131"/>
      <c r="AC59" s="131"/>
      <c r="AD59" s="102"/>
      <c r="AE59" s="103"/>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04"/>
      <c r="BB59" s="17"/>
      <c r="BC59" s="15"/>
      <c r="BD59" s="802"/>
      <c r="BE59" s="802"/>
      <c r="BF59" s="801" t="s">
        <v>249</v>
      </c>
      <c r="BG59" s="802">
        <v>70</v>
      </c>
      <c r="BH59" s="802"/>
      <c r="BI59" s="808"/>
      <c r="BJ59" s="802"/>
      <c r="BK59" s="813"/>
      <c r="BL59" s="813"/>
      <c r="BM59" s="813"/>
      <c r="BN59" s="84"/>
      <c r="BO59" s="84"/>
      <c r="BP59" s="84"/>
      <c r="BQ59" s="84"/>
      <c r="BR59" s="84"/>
      <c r="BS59" s="84"/>
      <c r="BT59" s="84"/>
      <c r="BU59" s="83"/>
      <c r="BV59" s="83"/>
      <c r="CY59" s="84"/>
      <c r="CZ59" s="84"/>
      <c r="DA59" s="84"/>
      <c r="DB59" s="23" t="s">
        <v>249</v>
      </c>
      <c r="DC59" s="19">
        <v>70</v>
      </c>
      <c r="DD59" s="84"/>
      <c r="DE59" s="84"/>
      <c r="DF59" s="84"/>
      <c r="DG59" s="84"/>
      <c r="DH59" s="83"/>
      <c r="DI59" s="83"/>
      <c r="DJ59" s="83"/>
      <c r="DK59" s="83"/>
      <c r="DL59" s="83"/>
      <c r="DM59" s="83"/>
    </row>
    <row r="60" spans="1:117" ht="27" customHeight="1">
      <c r="A60" s="140"/>
      <c r="B60" s="140"/>
      <c r="C60" s="141"/>
      <c r="D60" s="141"/>
      <c r="E60" s="141"/>
      <c r="F60" s="141"/>
      <c r="G60" s="142"/>
      <c r="H60" s="142"/>
      <c r="I60" s="142"/>
      <c r="J60" s="142"/>
      <c r="K60" s="142"/>
      <c r="L60" s="142"/>
      <c r="M60" s="142"/>
      <c r="N60" s="142"/>
      <c r="O60" s="142"/>
      <c r="P60" s="142"/>
      <c r="Q60" s="142"/>
      <c r="R60" s="108"/>
      <c r="S60" s="108"/>
      <c r="T60" s="109"/>
      <c r="U60" s="86"/>
      <c r="V60" s="87"/>
      <c r="W60" s="135"/>
      <c r="X60" s="136"/>
      <c r="Y60" s="100"/>
      <c r="Z60" s="101"/>
      <c r="AA60" s="131"/>
      <c r="AB60" s="131"/>
      <c r="AC60" s="131"/>
      <c r="AD60" s="102"/>
      <c r="AE60" s="103"/>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04"/>
      <c r="BB60" s="17"/>
      <c r="BC60" s="15"/>
      <c r="BD60" s="802"/>
      <c r="BE60" s="802"/>
      <c r="BF60" s="801" t="s">
        <v>251</v>
      </c>
      <c r="BG60" s="802">
        <v>110</v>
      </c>
      <c r="BH60" s="802"/>
      <c r="BI60" s="808"/>
      <c r="BJ60" s="802"/>
      <c r="BK60" s="813"/>
      <c r="BL60" s="813"/>
      <c r="BM60" s="813"/>
      <c r="BN60" s="84"/>
      <c r="BO60" s="84"/>
      <c r="BP60" s="84"/>
      <c r="BQ60" s="84"/>
      <c r="BR60" s="84"/>
      <c r="BS60" s="84"/>
      <c r="BT60" s="84"/>
      <c r="BU60" s="83"/>
      <c r="BV60" s="83"/>
      <c r="CY60" s="84"/>
      <c r="CZ60" s="84"/>
      <c r="DA60" s="84"/>
      <c r="DB60" s="23" t="s">
        <v>251</v>
      </c>
      <c r="DC60" s="19">
        <v>110</v>
      </c>
      <c r="DD60" s="84"/>
      <c r="DE60" s="84"/>
      <c r="DF60" s="84"/>
      <c r="DG60" s="84"/>
      <c r="DH60" s="83"/>
      <c r="DI60" s="83"/>
      <c r="DJ60" s="83"/>
      <c r="DK60" s="83"/>
      <c r="DL60" s="83"/>
      <c r="DM60" s="83"/>
    </row>
    <row r="61" spans="1:117" ht="27" customHeight="1">
      <c r="A61" s="140"/>
      <c r="B61" s="140"/>
      <c r="C61" s="141"/>
      <c r="D61" s="141"/>
      <c r="E61" s="141"/>
      <c r="F61" s="141"/>
      <c r="G61" s="142"/>
      <c r="H61" s="142"/>
      <c r="I61" s="142"/>
      <c r="J61" s="142"/>
      <c r="K61" s="142"/>
      <c r="L61" s="142"/>
      <c r="M61" s="142"/>
      <c r="N61" s="142"/>
      <c r="O61" s="142"/>
      <c r="P61" s="142"/>
      <c r="Q61" s="142"/>
      <c r="R61" s="108"/>
      <c r="S61" s="108"/>
      <c r="T61" s="109"/>
      <c r="U61" s="86"/>
      <c r="V61" s="87"/>
      <c r="W61" s="135"/>
      <c r="X61" s="136"/>
      <c r="Y61" s="100"/>
      <c r="Z61" s="101"/>
      <c r="AA61" s="131"/>
      <c r="AB61" s="131"/>
      <c r="AC61" s="131"/>
      <c r="AD61" s="102"/>
      <c r="AE61" s="103"/>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04"/>
      <c r="BB61" s="17"/>
      <c r="BC61" s="15"/>
      <c r="BD61" s="802"/>
      <c r="BE61" s="802"/>
      <c r="BF61" s="801"/>
      <c r="BG61" s="802"/>
      <c r="BH61" s="802"/>
      <c r="BI61" s="808"/>
      <c r="BJ61" s="802"/>
      <c r="BK61" s="813"/>
      <c r="BL61" s="813"/>
      <c r="BM61" s="813"/>
      <c r="BN61" s="83"/>
      <c r="BO61" s="83"/>
      <c r="BP61" s="83"/>
      <c r="BQ61" s="83"/>
      <c r="BR61" s="83"/>
      <c r="BS61" s="83"/>
      <c r="BT61" s="83"/>
      <c r="BU61" s="83"/>
      <c r="BV61" s="83"/>
      <c r="CY61" s="83"/>
      <c r="CZ61" s="83"/>
      <c r="DA61" s="83"/>
      <c r="DB61" s="23" t="s">
        <v>245</v>
      </c>
      <c r="DC61" s="19">
        <v>600</v>
      </c>
      <c r="DD61" s="83"/>
      <c r="DE61" s="83"/>
      <c r="DF61" s="83"/>
      <c r="DG61" s="83"/>
      <c r="DH61" s="83"/>
      <c r="DI61" s="83"/>
      <c r="DJ61" s="83"/>
      <c r="DK61" s="83"/>
      <c r="DL61" s="83"/>
      <c r="DM61" s="83"/>
    </row>
    <row r="62" spans="1:117" ht="27" customHeight="1">
      <c r="A62" s="140"/>
      <c r="B62" s="140"/>
      <c r="C62" s="141"/>
      <c r="D62" s="141"/>
      <c r="E62" s="141"/>
      <c r="F62" s="141"/>
      <c r="G62" s="142"/>
      <c r="H62" s="142"/>
      <c r="I62" s="142"/>
      <c r="J62" s="142"/>
      <c r="K62" s="142"/>
      <c r="L62" s="142"/>
      <c r="M62" s="142"/>
      <c r="N62" s="142"/>
      <c r="O62" s="142"/>
      <c r="P62" s="142"/>
      <c r="Q62" s="142"/>
      <c r="R62" s="108"/>
      <c r="S62" s="108"/>
      <c r="T62" s="109"/>
      <c r="U62" s="86"/>
      <c r="V62" s="87"/>
      <c r="W62" s="135"/>
      <c r="X62" s="136"/>
      <c r="Y62" s="100"/>
      <c r="Z62" s="101"/>
      <c r="AA62" s="131"/>
      <c r="AB62" s="131"/>
      <c r="AC62" s="131"/>
      <c r="AD62" s="102"/>
      <c r="AE62" s="103"/>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04"/>
      <c r="BB62" s="17"/>
      <c r="BC62" s="15"/>
      <c r="BD62" s="802"/>
      <c r="BE62" s="802"/>
      <c r="BF62" s="808"/>
      <c r="BG62" s="802"/>
      <c r="BH62" s="802"/>
      <c r="BI62" s="808"/>
      <c r="BJ62" s="802"/>
      <c r="BK62" s="813"/>
      <c r="BL62" s="813"/>
      <c r="BM62" s="813"/>
      <c r="BN62" s="83"/>
      <c r="BO62" s="83"/>
      <c r="BP62" s="83"/>
      <c r="BQ62" s="83"/>
      <c r="BR62" s="83"/>
      <c r="BS62" s="83"/>
      <c r="BT62" s="83"/>
      <c r="BU62" s="83"/>
      <c r="BV62" s="83"/>
      <c r="CY62" s="83"/>
      <c r="CZ62" s="83"/>
      <c r="DA62" s="83"/>
      <c r="DB62" s="23" t="s">
        <v>106</v>
      </c>
      <c r="DC62" s="19">
        <v>500</v>
      </c>
      <c r="DD62" s="83"/>
      <c r="DE62" s="83"/>
      <c r="DF62" s="83"/>
      <c r="DG62" s="83"/>
      <c r="DH62" s="83"/>
      <c r="DI62" s="83"/>
      <c r="DJ62" s="83"/>
      <c r="DK62" s="83"/>
      <c r="DL62" s="83"/>
      <c r="DM62" s="83"/>
    </row>
    <row r="63" spans="1:117" ht="27" customHeight="1">
      <c r="A63" s="140"/>
      <c r="B63" s="140"/>
      <c r="C63" s="141"/>
      <c r="D63" s="141"/>
      <c r="E63" s="141"/>
      <c r="F63" s="141"/>
      <c r="G63" s="142"/>
      <c r="H63" s="142"/>
      <c r="I63" s="142"/>
      <c r="J63" s="142"/>
      <c r="K63" s="142"/>
      <c r="L63" s="142"/>
      <c r="M63" s="142"/>
      <c r="N63" s="142"/>
      <c r="O63" s="142"/>
      <c r="P63" s="142"/>
      <c r="Q63" s="142"/>
      <c r="R63" s="108"/>
      <c r="S63" s="108"/>
      <c r="T63" s="109"/>
      <c r="U63" s="88"/>
      <c r="V63" s="87"/>
      <c r="W63" s="135"/>
      <c r="X63" s="136"/>
      <c r="Y63" s="100"/>
      <c r="Z63" s="101"/>
      <c r="AA63" s="131"/>
      <c r="AB63" s="131"/>
      <c r="AC63" s="131"/>
      <c r="AD63" s="102"/>
      <c r="AE63" s="103"/>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04"/>
      <c r="BB63" s="17"/>
      <c r="BC63" s="15"/>
      <c r="BD63" s="802"/>
      <c r="BE63" s="802"/>
      <c r="BF63" s="801"/>
      <c r="BG63" s="802"/>
      <c r="BH63" s="802"/>
      <c r="BI63" s="808"/>
      <c r="BJ63" s="802"/>
      <c r="BK63" s="813"/>
      <c r="BL63" s="813"/>
      <c r="BM63" s="813"/>
      <c r="BN63" s="83"/>
      <c r="BO63" s="83"/>
      <c r="BP63" s="83"/>
      <c r="BQ63" s="83"/>
      <c r="BR63" s="83"/>
      <c r="BS63" s="83"/>
      <c r="BT63" s="83"/>
      <c r="BU63" s="83"/>
      <c r="BV63" s="83"/>
      <c r="CY63" s="83"/>
      <c r="CZ63" s="83"/>
      <c r="DA63" s="83"/>
      <c r="DB63" s="83"/>
      <c r="DC63" s="83"/>
      <c r="DD63" s="83"/>
      <c r="DE63" s="83"/>
      <c r="DF63" s="83"/>
      <c r="DG63" s="83"/>
      <c r="DH63" s="83"/>
      <c r="DI63" s="83"/>
      <c r="DJ63" s="83"/>
      <c r="DK63" s="83"/>
      <c r="DL63" s="83"/>
      <c r="DM63" s="83"/>
    </row>
    <row r="64" spans="1:117" ht="27" customHeight="1">
      <c r="A64" s="143"/>
      <c r="B64" s="143"/>
      <c r="C64" s="143"/>
      <c r="D64" s="143"/>
      <c r="E64" s="143"/>
      <c r="F64" s="143"/>
      <c r="G64" s="143"/>
      <c r="H64" s="143"/>
      <c r="I64" s="143"/>
      <c r="J64" s="143"/>
      <c r="K64" s="143"/>
      <c r="L64" s="143"/>
      <c r="M64" s="143"/>
      <c r="N64" s="143"/>
      <c r="O64" s="143"/>
      <c r="P64" s="143"/>
      <c r="Q64" s="143"/>
      <c r="R64" s="143"/>
      <c r="S64" s="143"/>
      <c r="T64" s="143"/>
      <c r="U64" s="143"/>
      <c r="V64" s="87"/>
      <c r="W64" s="135"/>
      <c r="X64" s="136"/>
      <c r="Y64" s="100"/>
      <c r="Z64" s="101"/>
      <c r="AA64" s="131"/>
      <c r="AB64" s="131"/>
      <c r="AC64" s="131"/>
      <c r="AD64" s="102"/>
      <c r="AE64" s="103"/>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04"/>
      <c r="BB64" s="17"/>
      <c r="BC64" s="15"/>
      <c r="BD64" s="15"/>
      <c r="BE64" s="15"/>
      <c r="BF64" s="23"/>
      <c r="BG64" s="19"/>
      <c r="BH64" s="15"/>
      <c r="BI64" s="16"/>
      <c r="BJ64" s="15"/>
      <c r="BK64" s="83"/>
      <c r="BL64" s="83"/>
      <c r="BM64" s="83"/>
      <c r="BN64" s="83"/>
      <c r="BO64" s="83"/>
      <c r="BP64" s="83"/>
      <c r="BQ64" s="83"/>
      <c r="BR64" s="83"/>
      <c r="BS64" s="83"/>
      <c r="BT64" s="83"/>
      <c r="BU64" s="83"/>
      <c r="BV64" s="83"/>
      <c r="CY64" s="83"/>
      <c r="CZ64" s="83"/>
      <c r="DA64" s="83"/>
      <c r="DB64" s="83"/>
      <c r="DC64" s="83"/>
      <c r="DD64" s="83"/>
      <c r="DE64" s="83"/>
      <c r="DF64" s="83"/>
      <c r="DG64" s="83"/>
      <c r="DH64" s="83"/>
      <c r="DI64" s="83"/>
      <c r="DJ64" s="83"/>
      <c r="DK64" s="83"/>
      <c r="DL64" s="83"/>
      <c r="DM64" s="83"/>
    </row>
    <row r="65" spans="1:117" ht="27" customHeight="1">
      <c r="A65" s="143"/>
      <c r="B65" s="143"/>
      <c r="C65" s="143"/>
      <c r="D65" s="143"/>
      <c r="E65" s="143"/>
      <c r="F65" s="143"/>
      <c r="G65" s="143"/>
      <c r="H65" s="143"/>
      <c r="I65" s="143"/>
      <c r="J65" s="143"/>
      <c r="K65" s="143"/>
      <c r="L65" s="143"/>
      <c r="M65" s="143"/>
      <c r="N65" s="143"/>
      <c r="O65" s="143"/>
      <c r="P65" s="143"/>
      <c r="Q65" s="143"/>
      <c r="R65" s="143"/>
      <c r="S65" s="143"/>
      <c r="T65" s="143"/>
      <c r="U65" s="143"/>
      <c r="V65" s="87"/>
      <c r="W65" s="135"/>
      <c r="X65" s="136"/>
      <c r="Y65" s="100"/>
      <c r="Z65" s="101"/>
      <c r="AA65" s="131"/>
      <c r="AB65" s="131"/>
      <c r="AC65" s="131"/>
      <c r="AD65" s="102"/>
      <c r="AE65" s="103"/>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04"/>
      <c r="BB65" s="17"/>
      <c r="BC65" s="15"/>
      <c r="BD65" s="15"/>
      <c r="BE65" s="15"/>
      <c r="BF65" s="23"/>
      <c r="BG65" s="19"/>
      <c r="BH65" s="15"/>
      <c r="BI65" s="16"/>
      <c r="BJ65" s="15"/>
      <c r="BK65" s="83"/>
      <c r="BL65" s="83"/>
      <c r="BM65" s="83"/>
      <c r="BN65" s="83"/>
      <c r="BO65" s="83"/>
      <c r="BP65" s="83"/>
      <c r="BQ65" s="83"/>
      <c r="BR65" s="83"/>
      <c r="BS65" s="83"/>
      <c r="BT65" s="83"/>
      <c r="BU65" s="83"/>
      <c r="BV65" s="83"/>
      <c r="CY65" s="83"/>
      <c r="CZ65" s="83"/>
      <c r="DA65" s="83"/>
      <c r="DB65" s="83"/>
      <c r="DC65" s="83"/>
      <c r="DD65" s="83"/>
      <c r="DE65" s="83"/>
      <c r="DF65" s="83"/>
      <c r="DG65" s="83"/>
      <c r="DH65" s="83"/>
      <c r="DI65" s="83"/>
      <c r="DJ65" s="83"/>
      <c r="DK65" s="83"/>
      <c r="DL65" s="83"/>
      <c r="DM65" s="83"/>
    </row>
    <row r="66" spans="1:117" ht="27" customHeight="1">
      <c r="A66" s="143"/>
      <c r="B66" s="143"/>
      <c r="C66" s="143"/>
      <c r="D66" s="143"/>
      <c r="E66" s="143"/>
      <c r="F66" s="143"/>
      <c r="G66" s="143"/>
      <c r="H66" s="143"/>
      <c r="I66" s="143"/>
      <c r="J66" s="143"/>
      <c r="K66" s="143"/>
      <c r="L66" s="143"/>
      <c r="M66" s="143"/>
      <c r="N66" s="143"/>
      <c r="O66" s="143"/>
      <c r="P66" s="143"/>
      <c r="Q66" s="143"/>
      <c r="R66" s="143"/>
      <c r="S66" s="143"/>
      <c r="T66" s="143"/>
      <c r="U66" s="143"/>
      <c r="V66" s="87"/>
      <c r="W66" s="135"/>
      <c r="X66" s="136"/>
      <c r="Y66" s="100"/>
      <c r="Z66" s="101"/>
      <c r="AA66" s="131"/>
      <c r="AB66" s="131"/>
      <c r="AC66" s="131"/>
      <c r="AD66" s="102"/>
      <c r="AE66" s="103"/>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04"/>
      <c r="BB66" s="17"/>
      <c r="BC66" s="15"/>
      <c r="BD66" s="15"/>
      <c r="BE66" s="15"/>
      <c r="BF66" s="23"/>
      <c r="BG66" s="19"/>
      <c r="BH66" s="15"/>
      <c r="BI66" s="16"/>
      <c r="BJ66" s="15"/>
      <c r="BK66" s="83"/>
      <c r="BL66" s="83"/>
      <c r="BM66" s="83"/>
      <c r="BN66" s="83"/>
      <c r="BO66" s="83"/>
      <c r="BP66" s="83"/>
      <c r="BQ66" s="83"/>
      <c r="BR66" s="83"/>
      <c r="BS66" s="83"/>
      <c r="BT66" s="83"/>
      <c r="BU66" s="83"/>
      <c r="BV66" s="83"/>
      <c r="CY66" s="83"/>
      <c r="CZ66" s="83"/>
      <c r="DA66" s="83"/>
      <c r="DB66" s="83"/>
      <c r="DC66" s="83"/>
      <c r="DD66" s="83"/>
      <c r="DE66" s="83"/>
      <c r="DF66" s="83"/>
      <c r="DG66" s="83"/>
      <c r="DH66" s="83"/>
      <c r="DI66" s="83"/>
      <c r="DJ66" s="83"/>
      <c r="DK66" s="83"/>
      <c r="DL66" s="83"/>
      <c r="DM66" s="83"/>
    </row>
    <row r="67" spans="1:117" ht="27" customHeight="1">
      <c r="A67" s="143"/>
      <c r="B67" s="143"/>
      <c r="C67" s="143"/>
      <c r="D67" s="143"/>
      <c r="E67" s="143"/>
      <c r="F67" s="143"/>
      <c r="G67" s="143"/>
      <c r="H67" s="143"/>
      <c r="I67" s="143"/>
      <c r="J67" s="143"/>
      <c r="K67" s="143"/>
      <c r="L67" s="143"/>
      <c r="M67" s="143"/>
      <c r="N67" s="143"/>
      <c r="O67" s="143"/>
      <c r="P67" s="143"/>
      <c r="Q67" s="143"/>
      <c r="R67" s="143"/>
      <c r="S67" s="143"/>
      <c r="T67" s="143"/>
      <c r="U67" s="143"/>
      <c r="V67" s="87"/>
      <c r="W67" s="135"/>
      <c r="X67" s="136"/>
      <c r="Y67" s="100"/>
      <c r="Z67" s="101"/>
      <c r="AA67" s="131"/>
      <c r="AB67" s="131"/>
      <c r="AC67" s="131"/>
      <c r="AD67" s="102"/>
      <c r="AE67" s="103"/>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04"/>
      <c r="BB67" s="17"/>
      <c r="BC67" s="15"/>
      <c r="BD67" s="15"/>
      <c r="BE67" s="15"/>
      <c r="BF67" s="23"/>
      <c r="BG67" s="19"/>
      <c r="BH67" s="15"/>
      <c r="BI67" s="16"/>
      <c r="BJ67" s="15"/>
      <c r="BK67" s="83"/>
      <c r="BL67" s="83"/>
      <c r="BM67" s="83"/>
      <c r="BN67" s="83"/>
      <c r="BO67" s="83"/>
      <c r="BP67" s="83"/>
      <c r="BQ67" s="83"/>
      <c r="BR67" s="83"/>
      <c r="BS67" s="83"/>
      <c r="BT67" s="83"/>
      <c r="BU67" s="83"/>
      <c r="BV67" s="83"/>
      <c r="CY67" s="83"/>
      <c r="CZ67" s="83"/>
      <c r="DA67" s="83"/>
      <c r="DB67" s="83"/>
      <c r="DC67" s="83"/>
      <c r="DD67" s="83"/>
      <c r="DE67" s="83"/>
      <c r="DF67" s="83"/>
      <c r="DG67" s="83"/>
      <c r="DH67" s="83"/>
      <c r="DI67" s="83"/>
      <c r="DJ67" s="83"/>
      <c r="DK67" s="83"/>
      <c r="DL67" s="83"/>
      <c r="DM67" s="83"/>
    </row>
    <row r="68" spans="1:117" ht="27" customHeight="1">
      <c r="A68" s="144"/>
      <c r="B68" s="135"/>
      <c r="C68" s="135"/>
      <c r="D68" s="135"/>
      <c r="E68" s="135"/>
      <c r="F68" s="135"/>
      <c r="G68" s="135"/>
      <c r="H68" s="110"/>
      <c r="I68" s="132"/>
      <c r="J68" s="145"/>
      <c r="K68" s="146"/>
      <c r="L68" s="145"/>
      <c r="M68" s="145"/>
      <c r="N68" s="147"/>
      <c r="O68" s="135"/>
      <c r="P68" s="147"/>
      <c r="Q68" s="135"/>
      <c r="R68" s="147"/>
      <c r="S68" s="135"/>
      <c r="T68" s="148"/>
      <c r="U68" s="148"/>
      <c r="V68" s="87"/>
      <c r="W68" s="135"/>
      <c r="X68" s="136"/>
      <c r="Y68" s="100"/>
      <c r="Z68" s="101"/>
      <c r="AA68" s="131"/>
      <c r="AB68" s="131"/>
      <c r="AC68" s="131"/>
      <c r="AD68" s="102"/>
      <c r="AE68" s="103"/>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04"/>
      <c r="BB68" s="17"/>
      <c r="BC68" s="15"/>
      <c r="BD68" s="15"/>
      <c r="BE68" s="15"/>
      <c r="BF68" s="23"/>
      <c r="BG68" s="19"/>
      <c r="BH68" s="15"/>
      <c r="BI68" s="16"/>
      <c r="BJ68" s="15"/>
      <c r="BK68" s="83"/>
      <c r="BL68" s="83"/>
      <c r="BM68" s="83"/>
      <c r="BN68" s="83"/>
      <c r="BO68" s="83"/>
      <c r="BP68" s="83"/>
      <c r="BQ68" s="83"/>
      <c r="BR68" s="83"/>
      <c r="BS68" s="83"/>
      <c r="BT68" s="83"/>
      <c r="BU68" s="83"/>
      <c r="BV68" s="83"/>
      <c r="CY68" s="83"/>
      <c r="CZ68" s="83"/>
      <c r="DA68" s="83"/>
      <c r="DB68" s="83"/>
      <c r="DC68" s="83"/>
      <c r="DD68" s="83"/>
      <c r="DE68" s="83"/>
      <c r="DF68" s="83"/>
      <c r="DG68" s="83"/>
      <c r="DH68" s="83"/>
      <c r="DI68" s="83"/>
      <c r="DJ68" s="83"/>
      <c r="DK68" s="83"/>
      <c r="DL68" s="83"/>
      <c r="DM68" s="83"/>
    </row>
    <row r="69" spans="1:117" ht="27" customHeight="1">
      <c r="A69" s="144"/>
      <c r="B69" s="135"/>
      <c r="C69" s="135"/>
      <c r="D69" s="135"/>
      <c r="E69" s="135"/>
      <c r="F69" s="135"/>
      <c r="G69" s="135"/>
      <c r="H69" s="110"/>
      <c r="I69" s="132"/>
      <c r="J69" s="135"/>
      <c r="K69" s="135"/>
      <c r="L69" s="135"/>
      <c r="M69" s="135"/>
      <c r="N69" s="135"/>
      <c r="O69" s="135"/>
      <c r="P69" s="135"/>
      <c r="Q69" s="135"/>
      <c r="R69" s="135"/>
      <c r="S69" s="135"/>
      <c r="T69" s="149"/>
      <c r="U69" s="149"/>
      <c r="V69" s="87"/>
      <c r="W69" s="135"/>
      <c r="X69" s="136"/>
      <c r="Y69" s="100"/>
      <c r="Z69" s="101"/>
      <c r="AA69" s="131"/>
      <c r="AB69" s="131"/>
      <c r="AC69" s="131"/>
      <c r="AD69" s="102"/>
      <c r="AE69" s="103"/>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04"/>
      <c r="BB69" s="17"/>
      <c r="BC69" s="15"/>
      <c r="BD69" s="15"/>
      <c r="BE69" s="15"/>
      <c r="BF69" s="23"/>
      <c r="BG69" s="19"/>
      <c r="BH69" s="15"/>
      <c r="BI69" s="16"/>
      <c r="BJ69" s="15"/>
      <c r="BK69" s="83"/>
      <c r="BL69" s="83"/>
      <c r="BM69" s="83"/>
      <c r="BN69" s="83"/>
      <c r="BO69" s="83"/>
      <c r="BP69" s="83"/>
      <c r="BQ69" s="83"/>
      <c r="BR69" s="83"/>
      <c r="BS69" s="83"/>
      <c r="BT69" s="83"/>
      <c r="BU69" s="83"/>
      <c r="BV69" s="83"/>
      <c r="CY69" s="83"/>
      <c r="CZ69" s="83"/>
      <c r="DA69" s="83"/>
      <c r="DB69" s="83"/>
      <c r="DC69" s="83"/>
      <c r="DD69" s="83"/>
      <c r="DE69" s="83"/>
      <c r="DF69" s="83"/>
      <c r="DG69" s="83"/>
      <c r="DH69" s="83"/>
      <c r="DI69" s="83"/>
      <c r="DJ69" s="83"/>
      <c r="DK69" s="83"/>
      <c r="DL69" s="83"/>
      <c r="DM69" s="83"/>
    </row>
    <row r="70" spans="1:117" ht="27" customHeight="1">
      <c r="A70" s="144"/>
      <c r="B70" s="150"/>
      <c r="C70" s="145"/>
      <c r="D70" s="146"/>
      <c r="E70" s="146"/>
      <c r="F70" s="146"/>
      <c r="G70" s="146"/>
      <c r="H70" s="111"/>
      <c r="I70" s="112"/>
      <c r="J70" s="151"/>
      <c r="K70" s="151"/>
      <c r="L70" s="151"/>
      <c r="M70" s="151"/>
      <c r="N70" s="151"/>
      <c r="O70" s="151"/>
      <c r="P70" s="151"/>
      <c r="Q70" s="151"/>
      <c r="R70" s="151"/>
      <c r="S70" s="151"/>
      <c r="T70" s="115"/>
      <c r="U70" s="115"/>
      <c r="V70" s="87"/>
      <c r="W70" s="135"/>
      <c r="X70" s="136"/>
      <c r="Y70" s="100"/>
      <c r="Z70" s="100"/>
      <c r="AA70" s="100"/>
      <c r="AB70" s="100"/>
      <c r="AC70" s="100"/>
      <c r="AD70" s="100"/>
      <c r="AE70" s="100"/>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04"/>
      <c r="BB70" s="17"/>
      <c r="BC70" s="15"/>
      <c r="BD70" s="15"/>
      <c r="BE70" s="15"/>
      <c r="BF70" s="23"/>
      <c r="BG70" s="19"/>
      <c r="BH70" s="15"/>
      <c r="BI70" s="16"/>
      <c r="BJ70" s="15"/>
      <c r="BK70" s="83"/>
      <c r="BL70" s="83"/>
      <c r="BM70" s="83"/>
      <c r="BN70" s="83"/>
      <c r="BO70" s="83"/>
      <c r="BP70" s="83"/>
      <c r="BQ70" s="83"/>
      <c r="BR70" s="83"/>
      <c r="BS70" s="83"/>
      <c r="BT70" s="83"/>
      <c r="BU70" s="83"/>
      <c r="BV70" s="83"/>
      <c r="CY70" s="83"/>
      <c r="CZ70" s="83"/>
      <c r="DA70" s="83"/>
      <c r="DB70" s="83"/>
      <c r="DC70" s="83"/>
      <c r="DD70" s="83"/>
      <c r="DE70" s="83"/>
      <c r="DF70" s="83"/>
      <c r="DG70" s="83"/>
      <c r="DH70" s="83"/>
      <c r="DI70" s="83"/>
      <c r="DJ70" s="83"/>
      <c r="DK70" s="83"/>
      <c r="DL70" s="83"/>
      <c r="DM70" s="83"/>
    </row>
    <row r="71" spans="1:117" ht="27" customHeight="1">
      <c r="A71" s="144"/>
      <c r="B71" s="150"/>
      <c r="C71" s="152"/>
      <c r="D71" s="152"/>
      <c r="E71" s="152"/>
      <c r="F71" s="152"/>
      <c r="G71" s="152"/>
      <c r="H71" s="111"/>
      <c r="I71" s="113"/>
      <c r="J71" s="153"/>
      <c r="K71" s="153"/>
      <c r="L71" s="153"/>
      <c r="M71" s="153"/>
      <c r="N71" s="153"/>
      <c r="O71" s="153"/>
      <c r="P71" s="153"/>
      <c r="Q71" s="153"/>
      <c r="R71" s="153"/>
      <c r="S71" s="153"/>
      <c r="T71" s="115"/>
      <c r="U71" s="115"/>
      <c r="V71" s="87"/>
      <c r="W71" s="135"/>
      <c r="X71" s="136"/>
      <c r="Y71" s="133"/>
      <c r="Z71" s="133"/>
      <c r="AA71" s="133"/>
      <c r="AB71" s="133"/>
      <c r="AC71" s="133"/>
      <c r="AD71" s="114"/>
      <c r="AE71" s="103"/>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15"/>
      <c r="BB71" s="17"/>
      <c r="BC71" s="15"/>
      <c r="BD71" s="15"/>
      <c r="BE71" s="15"/>
      <c r="BF71" s="18"/>
      <c r="BG71" s="19"/>
      <c r="BH71" s="15"/>
      <c r="BI71" s="16"/>
      <c r="BJ71" s="15"/>
      <c r="BK71" s="83"/>
      <c r="BL71" s="83"/>
      <c r="BM71" s="83"/>
      <c r="BN71" s="83"/>
      <c r="BO71" s="83"/>
      <c r="BP71" s="83"/>
      <c r="BQ71" s="83"/>
      <c r="BR71" s="83"/>
      <c r="BS71" s="83"/>
      <c r="BT71" s="83"/>
      <c r="BU71" s="83"/>
      <c r="BV71" s="83"/>
      <c r="CY71" s="83"/>
      <c r="CZ71" s="83"/>
      <c r="DA71" s="83"/>
      <c r="DB71" s="83"/>
      <c r="DC71" s="83"/>
      <c r="DD71" s="83"/>
      <c r="DE71" s="83"/>
      <c r="DF71" s="83"/>
      <c r="DG71" s="83"/>
      <c r="DH71" s="83"/>
      <c r="DI71" s="83"/>
      <c r="DJ71" s="83"/>
      <c r="DK71" s="83"/>
      <c r="DL71" s="83"/>
      <c r="DM71" s="83"/>
    </row>
    <row r="72" spans="1:117" ht="27" customHeight="1">
      <c r="A72" s="144"/>
      <c r="B72" s="150"/>
      <c r="C72" s="152"/>
      <c r="D72" s="152"/>
      <c r="E72" s="152"/>
      <c r="F72" s="152"/>
      <c r="G72" s="152"/>
      <c r="H72" s="111"/>
      <c r="I72" s="113"/>
      <c r="J72" s="153"/>
      <c r="K72" s="153"/>
      <c r="L72" s="153"/>
      <c r="M72" s="153"/>
      <c r="N72" s="153"/>
      <c r="O72" s="153"/>
      <c r="P72" s="153"/>
      <c r="Q72" s="153"/>
      <c r="R72" s="153"/>
      <c r="S72" s="153"/>
      <c r="T72" s="115"/>
      <c r="U72" s="115"/>
      <c r="V72" s="87"/>
      <c r="W72" s="135"/>
      <c r="X72" s="136"/>
      <c r="Y72" s="154"/>
      <c r="Z72" s="154"/>
      <c r="AA72" s="154"/>
      <c r="AB72" s="154"/>
      <c r="AC72" s="154"/>
      <c r="AD72" s="94"/>
      <c r="AE72" s="103"/>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15"/>
      <c r="BB72" s="17"/>
      <c r="BC72" s="15"/>
      <c r="BD72" s="15"/>
      <c r="BE72" s="15"/>
      <c r="BF72" s="23"/>
      <c r="BG72" s="19"/>
      <c r="BH72" s="15"/>
      <c r="BI72" s="16"/>
      <c r="BJ72" s="15"/>
      <c r="CY72" s="83"/>
      <c r="CZ72" s="83"/>
      <c r="DA72" s="83"/>
      <c r="DB72" s="83"/>
      <c r="DC72" s="83"/>
      <c r="DD72" s="83"/>
      <c r="DE72" s="83"/>
      <c r="DF72" s="83"/>
      <c r="DG72" s="83"/>
      <c r="DH72" s="83"/>
      <c r="DI72" s="83"/>
      <c r="DJ72" s="83"/>
      <c r="DK72" s="83"/>
      <c r="DL72" s="83"/>
      <c r="DM72" s="83"/>
    </row>
    <row r="73" spans="1:117" ht="27" customHeight="1">
      <c r="A73" s="144"/>
      <c r="B73" s="150"/>
      <c r="C73" s="155"/>
      <c r="D73" s="155"/>
      <c r="E73" s="155"/>
      <c r="F73" s="155"/>
      <c r="G73" s="155"/>
      <c r="H73" s="111"/>
      <c r="I73" s="113"/>
      <c r="J73" s="153"/>
      <c r="K73" s="153"/>
      <c r="L73" s="153"/>
      <c r="M73" s="153"/>
      <c r="N73" s="153"/>
      <c r="O73" s="153"/>
      <c r="P73" s="153"/>
      <c r="Q73" s="153"/>
      <c r="R73" s="153"/>
      <c r="S73" s="153"/>
      <c r="T73" s="115"/>
      <c r="U73" s="115"/>
      <c r="V73" s="87"/>
      <c r="W73" s="135"/>
      <c r="X73" s="136"/>
      <c r="Y73" s="154"/>
      <c r="Z73" s="154"/>
      <c r="AA73" s="154"/>
      <c r="AB73" s="154"/>
      <c r="AC73" s="154"/>
      <c r="AD73" s="94"/>
      <c r="AE73" s="103"/>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15"/>
      <c r="BB73" s="17"/>
      <c r="BC73" s="15"/>
      <c r="BD73" s="15"/>
      <c r="BE73" s="15"/>
      <c r="BF73" s="23"/>
      <c r="BG73" s="19"/>
      <c r="BH73" s="15"/>
      <c r="BI73" s="16"/>
      <c r="BJ73" s="15"/>
      <c r="CY73" s="83"/>
      <c r="CZ73" s="83"/>
      <c r="DA73" s="83"/>
      <c r="DB73" s="83"/>
      <c r="DC73" s="83"/>
      <c r="DD73" s="83"/>
      <c r="DE73" s="83"/>
      <c r="DF73" s="83"/>
      <c r="DG73" s="83"/>
      <c r="DH73" s="83"/>
      <c r="DI73" s="83"/>
      <c r="DJ73" s="83"/>
      <c r="DK73" s="83"/>
      <c r="DL73" s="83"/>
      <c r="DM73" s="83"/>
    </row>
    <row r="74" spans="1:117" ht="27" customHeight="1">
      <c r="A74" s="144"/>
      <c r="B74" s="150"/>
      <c r="C74" s="155"/>
      <c r="D74" s="155"/>
      <c r="E74" s="155"/>
      <c r="F74" s="155"/>
      <c r="G74" s="155"/>
      <c r="H74" s="111"/>
      <c r="I74" s="113"/>
      <c r="J74" s="153"/>
      <c r="K74" s="153"/>
      <c r="L74" s="153"/>
      <c r="M74" s="153"/>
      <c r="N74" s="153"/>
      <c r="O74" s="153"/>
      <c r="P74" s="153"/>
      <c r="Q74" s="153"/>
      <c r="R74" s="153"/>
      <c r="S74" s="153"/>
      <c r="T74" s="115"/>
      <c r="U74" s="115"/>
      <c r="V74" s="87"/>
      <c r="W74" s="135"/>
      <c r="X74" s="136"/>
      <c r="Y74" s="133"/>
      <c r="Z74" s="133"/>
      <c r="AA74" s="133"/>
      <c r="AB74" s="133"/>
      <c r="AC74" s="133"/>
      <c r="AD74" s="118"/>
      <c r="AE74" s="119"/>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15"/>
      <c r="BB74" s="17"/>
      <c r="BC74" s="15"/>
      <c r="BD74" s="15"/>
      <c r="BE74" s="15"/>
      <c r="BF74" s="23"/>
      <c r="BG74" s="19"/>
      <c r="BH74" s="15"/>
      <c r="BI74" s="16"/>
      <c r="BJ74" s="15"/>
      <c r="CY74" s="83"/>
      <c r="CZ74" s="83"/>
      <c r="DA74" s="83"/>
      <c r="DB74" s="83"/>
      <c r="DC74" s="83"/>
      <c r="DD74" s="83"/>
      <c r="DE74" s="83"/>
      <c r="DF74" s="83"/>
      <c r="DG74" s="83"/>
      <c r="DH74" s="83"/>
      <c r="DI74" s="83"/>
      <c r="DJ74" s="83"/>
      <c r="DK74" s="83"/>
      <c r="DL74" s="83"/>
      <c r="DM74" s="83"/>
    </row>
    <row r="75" spans="1:117" ht="27" customHeight="1">
      <c r="A75" s="144"/>
      <c r="B75" s="150"/>
      <c r="C75" s="145"/>
      <c r="D75" s="146"/>
      <c r="E75" s="146"/>
      <c r="F75" s="146"/>
      <c r="G75" s="146"/>
      <c r="H75" s="111"/>
      <c r="I75" s="113"/>
      <c r="J75" s="153"/>
      <c r="K75" s="153"/>
      <c r="L75" s="153"/>
      <c r="M75" s="153"/>
      <c r="N75" s="153"/>
      <c r="O75" s="153"/>
      <c r="P75" s="153"/>
      <c r="Q75" s="153"/>
      <c r="R75" s="153"/>
      <c r="S75" s="153"/>
      <c r="T75" s="115"/>
      <c r="U75" s="115"/>
      <c r="V75" s="87"/>
      <c r="W75" s="135"/>
      <c r="X75" s="136"/>
      <c r="Y75" s="133"/>
      <c r="Z75" s="133"/>
      <c r="AA75" s="133"/>
      <c r="AB75" s="133"/>
      <c r="AC75" s="133"/>
      <c r="AD75" s="118"/>
      <c r="AE75" s="119"/>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15"/>
      <c r="BB75" s="17"/>
      <c r="BC75" s="15"/>
      <c r="BD75" s="15"/>
      <c r="BE75" s="15"/>
      <c r="BF75" s="23"/>
      <c r="BG75" s="19"/>
      <c r="BH75" s="15"/>
      <c r="BI75" s="16"/>
      <c r="BJ75" s="15"/>
      <c r="CY75" s="83"/>
      <c r="CZ75" s="83"/>
      <c r="DA75" s="83"/>
      <c r="DB75" s="83"/>
      <c r="DC75" s="83"/>
      <c r="DD75" s="83"/>
      <c r="DE75" s="83"/>
      <c r="DF75" s="83"/>
      <c r="DG75" s="83"/>
      <c r="DH75" s="83"/>
      <c r="DI75" s="83"/>
      <c r="DJ75" s="83"/>
      <c r="DK75" s="83"/>
      <c r="DL75" s="83"/>
      <c r="DM75" s="83"/>
    </row>
    <row r="76" spans="1:117" ht="27" customHeight="1">
      <c r="A76" s="144"/>
      <c r="B76" s="150"/>
      <c r="C76" s="156"/>
      <c r="D76" s="156"/>
      <c r="E76" s="156"/>
      <c r="F76" s="156"/>
      <c r="G76" s="156"/>
      <c r="H76" s="156"/>
      <c r="I76" s="156"/>
      <c r="J76" s="157"/>
      <c r="K76" s="157"/>
      <c r="L76" s="157"/>
      <c r="M76" s="157"/>
      <c r="N76" s="157"/>
      <c r="O76" s="157"/>
      <c r="P76" s="157"/>
      <c r="Q76" s="157"/>
      <c r="R76" s="157"/>
      <c r="S76" s="157"/>
      <c r="T76" s="157"/>
      <c r="U76" s="157"/>
      <c r="V76" s="87"/>
      <c r="W76" s="135"/>
      <c r="X76" s="136"/>
      <c r="Y76" s="133"/>
      <c r="Z76" s="133"/>
      <c r="AA76" s="133"/>
      <c r="AB76" s="133"/>
      <c r="AC76" s="133"/>
      <c r="AD76" s="118"/>
      <c r="AE76" s="119"/>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15"/>
      <c r="BB76" s="17"/>
      <c r="BC76" s="15"/>
      <c r="BD76" s="15"/>
      <c r="BE76" s="15"/>
      <c r="BF76" s="23"/>
      <c r="BG76" s="19"/>
      <c r="BH76" s="15"/>
      <c r="BI76" s="16"/>
      <c r="BJ76" s="15"/>
      <c r="CY76" s="83"/>
      <c r="CZ76" s="83"/>
      <c r="DA76" s="83"/>
      <c r="DB76" s="83"/>
      <c r="DC76" s="83"/>
      <c r="DD76" s="83"/>
      <c r="DE76" s="83"/>
      <c r="DF76" s="83"/>
      <c r="DG76" s="83"/>
      <c r="DH76" s="83"/>
      <c r="DI76" s="83"/>
      <c r="DJ76" s="83"/>
      <c r="DK76" s="83"/>
      <c r="DL76" s="83"/>
      <c r="DM76" s="83"/>
    </row>
    <row r="77" spans="1:117" ht="27" customHeight="1">
      <c r="A77" s="144"/>
      <c r="B77" s="158"/>
      <c r="C77" s="159"/>
      <c r="D77" s="139"/>
      <c r="E77" s="139"/>
      <c r="F77" s="139"/>
      <c r="G77" s="139"/>
      <c r="H77" s="116"/>
      <c r="I77" s="113"/>
      <c r="J77" s="153"/>
      <c r="K77" s="153"/>
      <c r="L77" s="153"/>
      <c r="M77" s="153"/>
      <c r="N77" s="153"/>
      <c r="O77" s="153"/>
      <c r="P77" s="153"/>
      <c r="Q77" s="153"/>
      <c r="R77" s="153"/>
      <c r="S77" s="153"/>
      <c r="T77" s="115"/>
      <c r="U77" s="115"/>
      <c r="V77" s="87"/>
      <c r="W77" s="135"/>
      <c r="X77" s="136"/>
      <c r="Y77" s="133"/>
      <c r="Z77" s="133"/>
      <c r="AA77" s="133"/>
      <c r="AB77" s="133"/>
      <c r="AC77" s="133"/>
      <c r="AD77" s="118"/>
      <c r="AE77" s="119"/>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15"/>
      <c r="BB77" s="17"/>
      <c r="BC77" s="15"/>
      <c r="BD77" s="15"/>
      <c r="BE77" s="15"/>
      <c r="BF77" s="18"/>
      <c r="BG77" s="19"/>
      <c r="BH77" s="15"/>
      <c r="BI77" s="16"/>
      <c r="BJ77" s="15"/>
      <c r="CY77" s="83"/>
      <c r="CZ77" s="83"/>
      <c r="DA77" s="83"/>
      <c r="DB77" s="83"/>
      <c r="DC77" s="83"/>
      <c r="DD77" s="83"/>
      <c r="DE77" s="83"/>
      <c r="DF77" s="83"/>
      <c r="DG77" s="83"/>
      <c r="DH77" s="83"/>
      <c r="DI77" s="83"/>
      <c r="DJ77" s="83"/>
      <c r="DK77" s="83"/>
      <c r="DL77" s="83"/>
      <c r="DM77" s="83"/>
    </row>
    <row r="78" spans="1:117" ht="27" customHeight="1">
      <c r="A78" s="144"/>
      <c r="B78" s="158"/>
      <c r="C78" s="159"/>
      <c r="D78" s="139"/>
      <c r="E78" s="139"/>
      <c r="F78" s="139"/>
      <c r="G78" s="139"/>
      <c r="H78" s="117"/>
      <c r="I78" s="113"/>
      <c r="J78" s="153"/>
      <c r="K78" s="153"/>
      <c r="L78" s="153"/>
      <c r="M78" s="153"/>
      <c r="N78" s="153"/>
      <c r="O78" s="153"/>
      <c r="P78" s="153"/>
      <c r="Q78" s="153"/>
      <c r="R78" s="153"/>
      <c r="S78" s="153"/>
      <c r="T78" s="115"/>
      <c r="U78" s="115"/>
      <c r="V78" s="87"/>
      <c r="W78" s="135"/>
      <c r="X78" s="136"/>
      <c r="Y78" s="133"/>
      <c r="Z78" s="133"/>
      <c r="AA78" s="133"/>
      <c r="AB78" s="133"/>
      <c r="AC78" s="133"/>
      <c r="AD78" s="118"/>
      <c r="AE78" s="119"/>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15"/>
      <c r="BB78" s="17"/>
      <c r="BC78" s="15"/>
      <c r="BD78" s="15"/>
      <c r="BE78" s="15"/>
      <c r="BF78" s="23"/>
      <c r="BG78" s="19"/>
      <c r="BH78" s="15"/>
      <c r="BI78" s="16"/>
      <c r="BJ78" s="15"/>
      <c r="CY78" s="83"/>
      <c r="CZ78" s="83"/>
      <c r="DA78" s="83"/>
      <c r="DB78" s="83"/>
      <c r="DC78" s="83"/>
      <c r="DD78" s="83"/>
      <c r="DE78" s="83"/>
      <c r="DF78" s="83"/>
      <c r="DG78" s="83"/>
      <c r="DH78" s="83"/>
      <c r="DI78" s="83"/>
      <c r="DJ78" s="83"/>
      <c r="DK78" s="83"/>
      <c r="DL78" s="83"/>
      <c r="DM78" s="83"/>
    </row>
    <row r="79" spans="1:117" ht="27" customHeight="1">
      <c r="A79" s="144"/>
      <c r="B79" s="158"/>
      <c r="C79" s="159"/>
      <c r="D79" s="139"/>
      <c r="E79" s="139"/>
      <c r="F79" s="139"/>
      <c r="G79" s="139"/>
      <c r="H79" s="117"/>
      <c r="I79" s="113"/>
      <c r="J79" s="153"/>
      <c r="K79" s="153"/>
      <c r="L79" s="153"/>
      <c r="M79" s="153"/>
      <c r="N79" s="153"/>
      <c r="O79" s="153"/>
      <c r="P79" s="153"/>
      <c r="Q79" s="153"/>
      <c r="R79" s="153"/>
      <c r="S79" s="153"/>
      <c r="T79" s="115"/>
      <c r="U79" s="115"/>
      <c r="V79" s="87"/>
      <c r="W79" s="135"/>
      <c r="X79" s="136"/>
      <c r="Y79" s="133"/>
      <c r="Z79" s="133"/>
      <c r="AA79" s="133"/>
      <c r="AB79" s="133"/>
      <c r="AC79" s="133"/>
      <c r="AD79" s="118"/>
      <c r="AE79" s="119"/>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15"/>
      <c r="BB79" s="17"/>
      <c r="BC79" s="15"/>
      <c r="BD79" s="15"/>
      <c r="BE79" s="15"/>
      <c r="BF79" s="23"/>
      <c r="BG79" s="19"/>
      <c r="BH79" s="15"/>
      <c r="BI79" s="16"/>
      <c r="BJ79" s="15"/>
      <c r="CY79" s="83"/>
      <c r="CZ79" s="83"/>
      <c r="DA79" s="83"/>
      <c r="DB79" s="83"/>
      <c r="DC79" s="83"/>
      <c r="DD79" s="83"/>
      <c r="DE79" s="83"/>
      <c r="DF79" s="83"/>
      <c r="DG79" s="83"/>
      <c r="DH79" s="83"/>
      <c r="DI79" s="83"/>
      <c r="DJ79" s="83"/>
      <c r="DK79" s="83"/>
      <c r="DL79" s="83"/>
      <c r="DM79" s="83"/>
    </row>
    <row r="80" spans="1:117" ht="27" customHeight="1">
      <c r="A80" s="144"/>
      <c r="B80" s="158"/>
      <c r="C80" s="159"/>
      <c r="D80" s="139"/>
      <c r="E80" s="139"/>
      <c r="F80" s="139"/>
      <c r="G80" s="139"/>
      <c r="H80" s="117"/>
      <c r="I80" s="113"/>
      <c r="J80" s="153"/>
      <c r="K80" s="153"/>
      <c r="L80" s="153"/>
      <c r="M80" s="153"/>
      <c r="N80" s="153"/>
      <c r="O80" s="153"/>
      <c r="P80" s="153"/>
      <c r="Q80" s="153"/>
      <c r="R80" s="153"/>
      <c r="S80" s="153"/>
      <c r="T80" s="115"/>
      <c r="U80" s="115"/>
      <c r="V80" s="87"/>
      <c r="W80" s="135"/>
      <c r="X80" s="136"/>
      <c r="Y80" s="133"/>
      <c r="Z80" s="133"/>
      <c r="AA80" s="133"/>
      <c r="AB80" s="133"/>
      <c r="AC80" s="133"/>
      <c r="AD80" s="118"/>
      <c r="AE80" s="119"/>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15"/>
      <c r="BB80" s="17"/>
      <c r="BC80" s="15"/>
      <c r="BD80" s="15"/>
      <c r="BE80" s="15"/>
      <c r="BF80" s="23"/>
      <c r="BG80" s="19"/>
      <c r="BH80" s="15"/>
      <c r="BI80" s="16"/>
      <c r="BJ80" s="15"/>
      <c r="CY80" s="83"/>
      <c r="CZ80" s="83"/>
      <c r="DA80" s="83"/>
      <c r="DB80" s="83"/>
      <c r="DC80" s="83"/>
      <c r="DD80" s="83"/>
      <c r="DE80" s="83"/>
      <c r="DF80" s="83"/>
      <c r="DG80" s="83"/>
      <c r="DH80" s="83"/>
      <c r="DI80" s="83"/>
      <c r="DJ80" s="83"/>
      <c r="DK80" s="83"/>
      <c r="DL80" s="83"/>
      <c r="DM80" s="83"/>
    </row>
    <row r="81" spans="1:117" ht="27" customHeight="1">
      <c r="A81" s="144"/>
      <c r="B81" s="158"/>
      <c r="C81" s="159"/>
      <c r="D81" s="147"/>
      <c r="E81" s="147"/>
      <c r="F81" s="135"/>
      <c r="G81" s="135"/>
      <c r="H81" s="117"/>
      <c r="I81" s="113"/>
      <c r="J81" s="153"/>
      <c r="K81" s="153"/>
      <c r="L81" s="153"/>
      <c r="M81" s="153"/>
      <c r="N81" s="153"/>
      <c r="O81" s="153"/>
      <c r="P81" s="153"/>
      <c r="Q81" s="153"/>
      <c r="R81" s="153"/>
      <c r="S81" s="153"/>
      <c r="T81" s="115"/>
      <c r="U81" s="115"/>
      <c r="V81" s="87"/>
      <c r="W81" s="135"/>
      <c r="X81" s="136"/>
      <c r="Y81" s="133"/>
      <c r="Z81" s="133"/>
      <c r="AA81" s="133"/>
      <c r="AB81" s="133"/>
      <c r="AC81" s="133"/>
      <c r="AD81" s="118"/>
      <c r="AE81" s="119"/>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15"/>
      <c r="BB81" s="17"/>
      <c r="BC81" s="15"/>
      <c r="BD81" s="15"/>
      <c r="BE81" s="15"/>
      <c r="BF81" s="23"/>
      <c r="BG81" s="19"/>
      <c r="BH81" s="15"/>
      <c r="BI81" s="16"/>
      <c r="BJ81" s="15"/>
      <c r="CY81" s="83"/>
      <c r="CZ81" s="83"/>
      <c r="DA81" s="83"/>
      <c r="DB81" s="83"/>
      <c r="DC81" s="83"/>
      <c r="DD81" s="83"/>
      <c r="DE81" s="83"/>
      <c r="DF81" s="83"/>
      <c r="DG81" s="83"/>
      <c r="DH81" s="83"/>
      <c r="DI81" s="83"/>
      <c r="DJ81" s="83"/>
      <c r="DK81" s="83"/>
      <c r="DL81" s="83"/>
      <c r="DM81" s="83"/>
    </row>
    <row r="82" spans="1:117" ht="27" customHeight="1">
      <c r="A82" s="144"/>
      <c r="B82" s="158"/>
      <c r="C82" s="159"/>
      <c r="D82" s="147"/>
      <c r="E82" s="147"/>
      <c r="F82" s="135"/>
      <c r="G82" s="135"/>
      <c r="H82" s="117"/>
      <c r="I82" s="113"/>
      <c r="J82" s="153"/>
      <c r="K82" s="153"/>
      <c r="L82" s="153"/>
      <c r="M82" s="153"/>
      <c r="N82" s="153"/>
      <c r="O82" s="153"/>
      <c r="P82" s="153"/>
      <c r="Q82" s="153"/>
      <c r="R82" s="153"/>
      <c r="S82" s="153"/>
      <c r="T82" s="115"/>
      <c r="U82" s="115"/>
      <c r="V82" s="87"/>
      <c r="W82" s="135"/>
      <c r="X82" s="136"/>
      <c r="Y82" s="133"/>
      <c r="Z82" s="133"/>
      <c r="AA82" s="133"/>
      <c r="AB82" s="133"/>
      <c r="AC82" s="133"/>
      <c r="AD82" s="118"/>
      <c r="AE82" s="119"/>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20"/>
      <c r="BB82" s="17"/>
      <c r="BC82" s="15"/>
      <c r="BD82" s="15"/>
      <c r="BE82" s="15"/>
      <c r="BF82" s="23"/>
      <c r="BG82" s="19"/>
      <c r="BH82" s="15"/>
      <c r="BI82" s="16"/>
      <c r="BJ82" s="15"/>
      <c r="CY82" s="83"/>
      <c r="CZ82" s="83"/>
      <c r="DA82" s="83"/>
      <c r="DB82" s="83"/>
      <c r="DC82" s="83"/>
      <c r="DD82" s="83"/>
      <c r="DE82" s="83"/>
      <c r="DF82" s="83"/>
      <c r="DG82" s="83"/>
      <c r="DH82" s="83"/>
      <c r="DI82" s="83"/>
      <c r="DJ82" s="83"/>
      <c r="DK82" s="83"/>
      <c r="DL82" s="83"/>
      <c r="DM82" s="83"/>
    </row>
    <row r="83" spans="1:117" ht="27" customHeight="1">
      <c r="A83" s="144"/>
      <c r="B83" s="158"/>
      <c r="C83" s="159"/>
      <c r="D83" s="135"/>
      <c r="E83" s="135"/>
      <c r="F83" s="135"/>
      <c r="G83" s="135"/>
      <c r="H83" s="116"/>
      <c r="I83" s="113"/>
      <c r="J83" s="153"/>
      <c r="K83" s="153"/>
      <c r="L83" s="153"/>
      <c r="M83" s="153"/>
      <c r="N83" s="153"/>
      <c r="O83" s="153"/>
      <c r="P83" s="153"/>
      <c r="Q83" s="153"/>
      <c r="R83" s="153"/>
      <c r="S83" s="153"/>
      <c r="T83" s="115"/>
      <c r="U83" s="115"/>
      <c r="V83" s="87"/>
      <c r="W83" s="135"/>
      <c r="X83" s="136"/>
      <c r="Y83" s="133"/>
      <c r="Z83" s="133"/>
      <c r="AA83" s="133"/>
      <c r="AB83" s="133"/>
      <c r="AC83" s="133"/>
      <c r="AD83" s="118"/>
      <c r="AE83" s="103"/>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15"/>
      <c r="BB83" s="17"/>
      <c r="BC83" s="15"/>
      <c r="BD83" s="15"/>
      <c r="BE83" s="15"/>
      <c r="BF83" s="23"/>
      <c r="BG83" s="19"/>
      <c r="BH83" s="15"/>
      <c r="BI83" s="16"/>
      <c r="BJ83" s="15"/>
      <c r="CY83" s="83"/>
      <c r="CZ83" s="83"/>
      <c r="DA83" s="83"/>
      <c r="DB83" s="83"/>
      <c r="DC83" s="83"/>
      <c r="DD83" s="83"/>
      <c r="DE83" s="83"/>
      <c r="DF83" s="83"/>
      <c r="DG83" s="83"/>
      <c r="DH83" s="83"/>
      <c r="DI83" s="83"/>
      <c r="DJ83" s="83"/>
      <c r="DK83" s="83"/>
      <c r="DL83" s="83"/>
      <c r="DM83" s="83"/>
    </row>
    <row r="84" spans="1:117" ht="27" customHeight="1">
      <c r="A84" s="144"/>
      <c r="B84" s="158"/>
      <c r="C84" s="159"/>
      <c r="D84" s="135"/>
      <c r="E84" s="135"/>
      <c r="F84" s="135"/>
      <c r="G84" s="135"/>
      <c r="H84" s="117"/>
      <c r="I84" s="113"/>
      <c r="J84" s="153"/>
      <c r="K84" s="153"/>
      <c r="L84" s="153"/>
      <c r="M84" s="153"/>
      <c r="N84" s="153"/>
      <c r="O84" s="153"/>
      <c r="P84" s="153"/>
      <c r="Q84" s="153"/>
      <c r="R84" s="153"/>
      <c r="S84" s="153"/>
      <c r="T84" s="115"/>
      <c r="U84" s="115"/>
      <c r="V84" s="87"/>
      <c r="W84" s="135"/>
      <c r="X84" s="136"/>
      <c r="Y84" s="133"/>
      <c r="Z84" s="133"/>
      <c r="AA84" s="133"/>
      <c r="AB84" s="133"/>
      <c r="AC84" s="133"/>
      <c r="AD84" s="121"/>
      <c r="AE84" s="103"/>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15"/>
      <c r="BB84" s="17"/>
      <c r="BC84" s="15"/>
      <c r="BD84" s="19"/>
      <c r="BE84" s="19"/>
      <c r="BF84" s="23"/>
      <c r="BG84" s="19"/>
      <c r="BH84" s="19"/>
      <c r="BI84" s="18"/>
      <c r="BJ84" s="19"/>
      <c r="CY84" s="83"/>
      <c r="CZ84" s="83"/>
      <c r="DA84" s="83"/>
      <c r="DB84" s="83"/>
      <c r="DC84" s="83"/>
      <c r="DD84" s="83"/>
      <c r="DE84" s="83"/>
      <c r="DF84" s="83"/>
      <c r="DG84" s="83"/>
      <c r="DH84" s="83"/>
      <c r="DI84" s="83"/>
      <c r="DJ84" s="83"/>
      <c r="DK84" s="83"/>
      <c r="DL84" s="83"/>
      <c r="DM84" s="83"/>
    </row>
    <row r="85" spans="1:117" ht="27" customHeight="1">
      <c r="A85" s="144"/>
      <c r="B85" s="158"/>
      <c r="C85" s="159"/>
      <c r="D85" s="135"/>
      <c r="E85" s="135"/>
      <c r="F85" s="135"/>
      <c r="G85" s="135"/>
      <c r="H85" s="116"/>
      <c r="I85" s="113"/>
      <c r="J85" s="153"/>
      <c r="K85" s="153"/>
      <c r="L85" s="153"/>
      <c r="M85" s="153"/>
      <c r="N85" s="153"/>
      <c r="O85" s="153"/>
      <c r="P85" s="153"/>
      <c r="Q85" s="153"/>
      <c r="R85" s="153"/>
      <c r="S85" s="153"/>
      <c r="T85" s="115"/>
      <c r="U85" s="115"/>
      <c r="V85" s="87"/>
      <c r="W85" s="135"/>
      <c r="X85" s="136"/>
      <c r="Y85" s="100"/>
      <c r="Z85" s="100"/>
      <c r="AA85" s="100"/>
      <c r="AB85" s="100"/>
      <c r="AC85" s="100"/>
      <c r="AD85" s="100"/>
      <c r="AE85" s="100"/>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7"/>
      <c r="BC85" s="15"/>
      <c r="BD85" s="15"/>
      <c r="BE85" s="15"/>
      <c r="BF85" s="16"/>
      <c r="BG85" s="15"/>
      <c r="BH85" s="15"/>
      <c r="BI85" s="16"/>
      <c r="BJ85" s="15"/>
      <c r="CY85" s="83"/>
      <c r="CZ85" s="83"/>
      <c r="DA85" s="83"/>
      <c r="DB85" s="83"/>
      <c r="DC85" s="83"/>
      <c r="DD85" s="83"/>
      <c r="DE85" s="83"/>
      <c r="DF85" s="83"/>
      <c r="DG85" s="83"/>
      <c r="DH85" s="83"/>
      <c r="DI85" s="83"/>
      <c r="DJ85" s="83"/>
      <c r="DK85" s="83"/>
      <c r="DL85" s="83"/>
      <c r="DM85" s="83"/>
    </row>
    <row r="86" spans="1:117" ht="27" customHeight="1">
      <c r="A86" s="144"/>
      <c r="B86" s="158"/>
      <c r="C86" s="159"/>
      <c r="D86" s="135"/>
      <c r="E86" s="135"/>
      <c r="F86" s="135"/>
      <c r="G86" s="135"/>
      <c r="H86" s="117"/>
      <c r="I86" s="113"/>
      <c r="J86" s="153"/>
      <c r="K86" s="153"/>
      <c r="L86" s="153"/>
      <c r="M86" s="153"/>
      <c r="N86" s="153"/>
      <c r="O86" s="153"/>
      <c r="P86" s="153"/>
      <c r="Q86" s="153"/>
      <c r="R86" s="153"/>
      <c r="S86" s="153"/>
      <c r="T86" s="115"/>
      <c r="U86" s="115"/>
      <c r="V86" s="87"/>
      <c r="W86" s="134"/>
      <c r="X86" s="134"/>
      <c r="Y86" s="134"/>
      <c r="Z86" s="134"/>
      <c r="AA86" s="134"/>
      <c r="AB86" s="134"/>
      <c r="AC86" s="134"/>
      <c r="AD86" s="134"/>
      <c r="AE86" s="134"/>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7"/>
      <c r="BC86" s="15"/>
      <c r="BD86" s="15"/>
      <c r="BE86" s="15"/>
      <c r="BF86" s="16"/>
      <c r="BG86" s="15"/>
      <c r="BH86" s="15"/>
      <c r="BI86" s="16"/>
      <c r="BJ86" s="15"/>
      <c r="CY86" s="83"/>
      <c r="CZ86" s="83"/>
      <c r="DA86" s="83"/>
      <c r="DB86" s="83"/>
      <c r="DC86" s="83"/>
      <c r="DD86" s="83"/>
      <c r="DE86" s="83"/>
      <c r="DF86" s="83"/>
      <c r="DG86" s="83"/>
      <c r="DH86" s="83"/>
      <c r="DI86" s="83"/>
      <c r="DJ86" s="83"/>
      <c r="DK86" s="83"/>
      <c r="DL86" s="83"/>
      <c r="DM86" s="83"/>
    </row>
    <row r="87" spans="1:117" ht="27" customHeight="1">
      <c r="A87" s="144"/>
      <c r="B87" s="158"/>
      <c r="C87" s="159"/>
      <c r="D87" s="135"/>
      <c r="E87" s="135"/>
      <c r="F87" s="135"/>
      <c r="G87" s="135"/>
      <c r="H87" s="117"/>
      <c r="I87" s="113"/>
      <c r="J87" s="153"/>
      <c r="K87" s="153"/>
      <c r="L87" s="153"/>
      <c r="M87" s="153"/>
      <c r="N87" s="153"/>
      <c r="O87" s="153"/>
      <c r="P87" s="153"/>
      <c r="Q87" s="153"/>
      <c r="R87" s="153"/>
      <c r="S87" s="153"/>
      <c r="T87" s="115"/>
      <c r="U87" s="115"/>
      <c r="V87" s="87"/>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17"/>
      <c r="BC87" s="15"/>
      <c r="BD87" s="15"/>
      <c r="BE87" s="15"/>
      <c r="BH87" s="15"/>
      <c r="BI87" s="16"/>
      <c r="BJ87" s="15"/>
      <c r="CY87" s="83"/>
      <c r="CZ87" s="83"/>
      <c r="DA87" s="83"/>
      <c r="DB87" s="83"/>
      <c r="DC87" s="83"/>
      <c r="DD87" s="83"/>
      <c r="DE87" s="83"/>
      <c r="DF87" s="83"/>
      <c r="DG87" s="83"/>
      <c r="DH87" s="83"/>
      <c r="DI87" s="83"/>
      <c r="DJ87" s="83"/>
      <c r="DK87" s="83"/>
      <c r="DL87" s="83"/>
      <c r="DM87" s="83"/>
    </row>
    <row r="88" spans="1:117" ht="27" customHeight="1">
      <c r="A88" s="144"/>
      <c r="B88" s="158"/>
      <c r="C88" s="159"/>
      <c r="D88" s="135"/>
      <c r="E88" s="135"/>
      <c r="F88" s="135"/>
      <c r="G88" s="135"/>
      <c r="H88" s="117"/>
      <c r="I88" s="113"/>
      <c r="J88" s="153"/>
      <c r="K88" s="153"/>
      <c r="L88" s="153"/>
      <c r="M88" s="153"/>
      <c r="N88" s="153"/>
      <c r="O88" s="153"/>
      <c r="P88" s="153"/>
      <c r="Q88" s="153"/>
      <c r="R88" s="153"/>
      <c r="S88" s="153"/>
      <c r="T88" s="115"/>
      <c r="U88" s="115"/>
      <c r="V88" s="87"/>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17"/>
      <c r="BC88" s="15"/>
      <c r="BD88" s="15"/>
      <c r="BE88" s="15"/>
      <c r="BH88" s="15"/>
      <c r="BI88" s="16"/>
      <c r="BJ88" s="15"/>
      <c r="CY88" s="83"/>
      <c r="CZ88" s="83"/>
      <c r="DA88" s="83"/>
      <c r="DB88" s="83"/>
      <c r="DC88" s="83"/>
      <c r="DD88" s="83"/>
      <c r="DE88" s="83"/>
      <c r="DF88" s="83"/>
      <c r="DG88" s="83"/>
      <c r="DH88" s="83"/>
      <c r="DI88" s="83"/>
      <c r="DJ88" s="83"/>
      <c r="DK88" s="83"/>
      <c r="DL88" s="83"/>
      <c r="DM88" s="83"/>
    </row>
    <row r="89" spans="1:117" ht="27" customHeight="1">
      <c r="A89" s="144"/>
      <c r="B89" s="158"/>
      <c r="C89" s="159"/>
      <c r="D89" s="147"/>
      <c r="E89" s="147"/>
      <c r="F89" s="135"/>
      <c r="G89" s="135"/>
      <c r="H89" s="117"/>
      <c r="I89" s="113"/>
      <c r="J89" s="153"/>
      <c r="K89" s="153"/>
      <c r="L89" s="153"/>
      <c r="M89" s="153"/>
      <c r="N89" s="153"/>
      <c r="O89" s="153"/>
      <c r="P89" s="153"/>
      <c r="Q89" s="153"/>
      <c r="R89" s="153"/>
      <c r="S89" s="153"/>
      <c r="T89" s="115"/>
      <c r="U89" s="115"/>
      <c r="V89" s="87"/>
      <c r="W89" s="160"/>
      <c r="X89" s="135"/>
      <c r="Y89" s="161"/>
      <c r="Z89" s="135"/>
      <c r="AA89" s="135"/>
      <c r="AB89" s="135"/>
      <c r="AC89" s="162"/>
      <c r="AD89" s="135"/>
      <c r="AE89" s="135"/>
      <c r="AF89" s="161"/>
      <c r="AG89" s="135"/>
      <c r="AH89" s="135"/>
      <c r="AI89" s="135"/>
      <c r="AJ89" s="135"/>
      <c r="AK89" s="161"/>
      <c r="AL89" s="135"/>
      <c r="AM89" s="135"/>
      <c r="AN89" s="161"/>
      <c r="AO89" s="135"/>
      <c r="AP89" s="135"/>
      <c r="AQ89" s="161"/>
      <c r="AR89" s="161"/>
      <c r="AS89" s="161"/>
      <c r="AT89" s="161"/>
      <c r="AU89" s="161"/>
      <c r="AV89" s="161"/>
      <c r="AW89" s="161"/>
      <c r="AX89" s="161"/>
      <c r="AY89" s="161"/>
      <c r="AZ89" s="161"/>
      <c r="BA89" s="89"/>
      <c r="BB89" s="17"/>
      <c r="BC89" s="15"/>
      <c r="BD89" s="15"/>
      <c r="BE89" s="15"/>
      <c r="BH89" s="15"/>
      <c r="BI89" s="16"/>
      <c r="BJ89" s="15"/>
      <c r="CY89" s="83"/>
      <c r="CZ89" s="83"/>
      <c r="DA89" s="83"/>
      <c r="DB89" s="83"/>
      <c r="DC89" s="83"/>
      <c r="DD89" s="83"/>
      <c r="DE89" s="83"/>
      <c r="DF89" s="83"/>
      <c r="DG89" s="83"/>
      <c r="DH89" s="83"/>
      <c r="DI89" s="83"/>
      <c r="DJ89" s="83"/>
      <c r="DK89" s="83"/>
      <c r="DL89" s="83"/>
      <c r="DM89" s="83"/>
    </row>
    <row r="90" spans="1:117" ht="27" customHeight="1">
      <c r="A90" s="144"/>
      <c r="B90" s="158"/>
      <c r="C90" s="159"/>
      <c r="D90" s="147"/>
      <c r="E90" s="147"/>
      <c r="F90" s="135"/>
      <c r="G90" s="135"/>
      <c r="H90" s="117"/>
      <c r="I90" s="113"/>
      <c r="J90" s="153"/>
      <c r="K90" s="153"/>
      <c r="L90" s="153"/>
      <c r="M90" s="153"/>
      <c r="N90" s="153"/>
      <c r="O90" s="153"/>
      <c r="P90" s="153"/>
      <c r="Q90" s="153"/>
      <c r="R90" s="153"/>
      <c r="S90" s="153"/>
      <c r="T90" s="115"/>
      <c r="U90" s="115"/>
      <c r="V90" s="87"/>
      <c r="W90" s="135"/>
      <c r="X90" s="135"/>
      <c r="Y90" s="133"/>
      <c r="Z90" s="135"/>
      <c r="AA90" s="135"/>
      <c r="AB90" s="135"/>
      <c r="AC90" s="123"/>
      <c r="AD90" s="95"/>
      <c r="AE90" s="123"/>
      <c r="AF90" s="123"/>
      <c r="AG90" s="95"/>
      <c r="AH90" s="123"/>
      <c r="AI90" s="123"/>
      <c r="AJ90" s="123"/>
      <c r="AK90" s="123"/>
      <c r="AL90" s="95"/>
      <c r="AM90" s="123"/>
      <c r="AN90" s="123"/>
      <c r="AO90" s="95"/>
      <c r="AP90" s="112"/>
      <c r="AQ90" s="163"/>
      <c r="AR90" s="163"/>
      <c r="AS90" s="95"/>
      <c r="AT90" s="163"/>
      <c r="AU90" s="163"/>
      <c r="AV90" s="163"/>
      <c r="AW90" s="163"/>
      <c r="AX90" s="95"/>
      <c r="AY90" s="95"/>
      <c r="AZ90" s="95"/>
      <c r="BA90" s="87"/>
      <c r="BB90" s="17"/>
      <c r="BC90" s="15"/>
      <c r="BD90" s="15"/>
      <c r="BE90" s="15"/>
      <c r="BH90" s="15"/>
      <c r="BI90" s="16"/>
      <c r="BJ90" s="15"/>
      <c r="CY90" s="83"/>
      <c r="CZ90" s="83"/>
      <c r="DA90" s="83"/>
      <c r="DB90" s="83"/>
      <c r="DC90" s="83"/>
      <c r="DD90" s="83"/>
      <c r="DE90" s="83"/>
      <c r="DF90" s="83"/>
      <c r="DG90" s="83"/>
      <c r="DH90" s="83"/>
      <c r="DI90" s="83"/>
      <c r="DJ90" s="83"/>
      <c r="DK90" s="83"/>
      <c r="DL90" s="83"/>
      <c r="DM90" s="83"/>
    </row>
    <row r="91" spans="1:117" ht="27" customHeight="1">
      <c r="A91" s="144"/>
      <c r="B91" s="158"/>
      <c r="C91" s="159"/>
      <c r="D91" s="135"/>
      <c r="E91" s="135"/>
      <c r="F91" s="135"/>
      <c r="G91" s="135"/>
      <c r="H91" s="116"/>
      <c r="I91" s="113"/>
      <c r="J91" s="153"/>
      <c r="K91" s="153"/>
      <c r="L91" s="153"/>
      <c r="M91" s="153"/>
      <c r="N91" s="153"/>
      <c r="O91" s="153"/>
      <c r="P91" s="153"/>
      <c r="Q91" s="153"/>
      <c r="R91" s="153"/>
      <c r="S91" s="153"/>
      <c r="T91" s="115"/>
      <c r="U91" s="115"/>
      <c r="V91" s="87"/>
      <c r="W91" s="135"/>
      <c r="X91" s="135"/>
      <c r="Y91" s="133"/>
      <c r="Z91" s="135"/>
      <c r="AA91" s="135"/>
      <c r="AB91" s="135"/>
      <c r="AC91" s="123"/>
      <c r="AD91" s="95"/>
      <c r="AE91" s="123"/>
      <c r="AF91" s="123"/>
      <c r="AG91" s="95"/>
      <c r="AH91" s="123"/>
      <c r="AI91" s="123"/>
      <c r="AJ91" s="123"/>
      <c r="AK91" s="123"/>
      <c r="AL91" s="95"/>
      <c r="AM91" s="123"/>
      <c r="AN91" s="123"/>
      <c r="AO91" s="95"/>
      <c r="AP91" s="112"/>
      <c r="AQ91" s="163"/>
      <c r="AR91" s="163"/>
      <c r="AS91" s="95"/>
      <c r="AT91" s="163"/>
      <c r="AU91" s="163"/>
      <c r="AV91" s="163"/>
      <c r="AW91" s="163"/>
      <c r="AX91" s="95"/>
      <c r="AY91" s="95"/>
      <c r="AZ91" s="95"/>
      <c r="BA91" s="87"/>
      <c r="BB91" s="17"/>
      <c r="BC91" s="15"/>
      <c r="BD91" s="15"/>
      <c r="BE91" s="15"/>
      <c r="BH91" s="15"/>
      <c r="BI91" s="16"/>
      <c r="BJ91" s="15"/>
      <c r="CY91" s="83"/>
      <c r="CZ91" s="83"/>
      <c r="DA91" s="83"/>
      <c r="DB91" s="83"/>
      <c r="DC91" s="83"/>
      <c r="DD91" s="83"/>
      <c r="DE91" s="83"/>
      <c r="DF91" s="83"/>
      <c r="DG91" s="83"/>
      <c r="DH91" s="83"/>
      <c r="DI91" s="83"/>
      <c r="DJ91" s="83"/>
      <c r="DK91" s="83"/>
      <c r="DL91" s="83"/>
      <c r="DM91" s="83"/>
    </row>
    <row r="92" spans="1:117" ht="27" customHeight="1">
      <c r="A92" s="144"/>
      <c r="B92" s="158"/>
      <c r="C92" s="159"/>
      <c r="D92" s="135"/>
      <c r="E92" s="135"/>
      <c r="F92" s="135"/>
      <c r="G92" s="135"/>
      <c r="H92" s="117"/>
      <c r="I92" s="113"/>
      <c r="J92" s="153"/>
      <c r="K92" s="153"/>
      <c r="L92" s="153"/>
      <c r="M92" s="153"/>
      <c r="N92" s="153"/>
      <c r="O92" s="153"/>
      <c r="P92" s="153"/>
      <c r="Q92" s="153"/>
      <c r="R92" s="153"/>
      <c r="S92" s="153"/>
      <c r="T92" s="115"/>
      <c r="U92" s="115"/>
      <c r="V92" s="87"/>
      <c r="W92" s="135"/>
      <c r="X92" s="135"/>
      <c r="Y92" s="133"/>
      <c r="Z92" s="135"/>
      <c r="AA92" s="135"/>
      <c r="AB92" s="135"/>
      <c r="AC92" s="123"/>
      <c r="AD92" s="95"/>
      <c r="AE92" s="123"/>
      <c r="AF92" s="123"/>
      <c r="AG92" s="95"/>
      <c r="AH92" s="123"/>
      <c r="AI92" s="123"/>
      <c r="AJ92" s="123"/>
      <c r="AK92" s="123"/>
      <c r="AL92" s="95"/>
      <c r="AM92" s="123"/>
      <c r="AN92" s="123"/>
      <c r="AO92" s="95"/>
      <c r="AP92" s="112"/>
      <c r="AQ92" s="163"/>
      <c r="AR92" s="163"/>
      <c r="AS92" s="95"/>
      <c r="AT92" s="163"/>
      <c r="AU92" s="163"/>
      <c r="AV92" s="163"/>
      <c r="AW92" s="163"/>
      <c r="AX92" s="95"/>
      <c r="AY92" s="95"/>
      <c r="AZ92" s="95"/>
      <c r="BA92" s="87"/>
      <c r="BB92" s="17"/>
      <c r="BC92" s="15"/>
      <c r="BD92" s="15"/>
      <c r="BE92" s="15"/>
      <c r="BH92" s="15"/>
      <c r="BI92" s="16"/>
      <c r="BJ92" s="15"/>
      <c r="CY92" s="83"/>
      <c r="CZ92" s="83"/>
      <c r="DA92" s="83"/>
      <c r="DB92" s="83"/>
      <c r="DC92" s="83"/>
      <c r="DD92" s="83"/>
      <c r="DE92" s="83"/>
      <c r="DF92" s="83"/>
      <c r="DG92" s="83"/>
      <c r="DH92" s="83"/>
      <c r="DI92" s="83"/>
      <c r="DJ92" s="83"/>
      <c r="DK92" s="83"/>
      <c r="DL92" s="83"/>
      <c r="DM92" s="83"/>
    </row>
    <row r="93" spans="1:117" ht="27" customHeight="1">
      <c r="A93" s="144"/>
      <c r="B93" s="158"/>
      <c r="C93" s="156"/>
      <c r="D93" s="156"/>
      <c r="E93" s="156"/>
      <c r="F93" s="156"/>
      <c r="G93" s="156"/>
      <c r="H93" s="156"/>
      <c r="I93" s="156"/>
      <c r="J93" s="115"/>
      <c r="K93" s="115"/>
      <c r="L93" s="115"/>
      <c r="M93" s="115"/>
      <c r="N93" s="115"/>
      <c r="O93" s="115"/>
      <c r="P93" s="115"/>
      <c r="Q93" s="115"/>
      <c r="R93" s="115"/>
      <c r="S93" s="115"/>
      <c r="T93" s="115"/>
      <c r="U93" s="115"/>
      <c r="V93" s="90"/>
      <c r="W93" s="135"/>
      <c r="X93" s="135"/>
      <c r="Y93" s="133"/>
      <c r="Z93" s="135"/>
      <c r="AA93" s="135"/>
      <c r="AB93" s="135"/>
      <c r="AC93" s="123"/>
      <c r="AD93" s="95"/>
      <c r="AE93" s="123"/>
      <c r="AF93" s="123"/>
      <c r="AG93" s="95"/>
      <c r="AH93" s="123"/>
      <c r="AI93" s="123"/>
      <c r="AJ93" s="123"/>
      <c r="AK93" s="123"/>
      <c r="AL93" s="95"/>
      <c r="AM93" s="123"/>
      <c r="AN93" s="123"/>
      <c r="AO93" s="95"/>
      <c r="AP93" s="112"/>
      <c r="AQ93" s="163"/>
      <c r="AR93" s="163"/>
      <c r="AS93" s="95"/>
      <c r="AT93" s="163"/>
      <c r="AU93" s="163"/>
      <c r="AV93" s="163"/>
      <c r="AW93" s="163"/>
      <c r="AX93" s="95"/>
      <c r="AY93" s="95"/>
      <c r="AZ93" s="95"/>
      <c r="BA93" s="87"/>
      <c r="BB93" s="17"/>
      <c r="BC93" s="15"/>
      <c r="BD93" s="15"/>
      <c r="BE93" s="15"/>
      <c r="BH93" s="15"/>
      <c r="BI93" s="16"/>
      <c r="BJ93" s="15"/>
      <c r="CY93" s="83"/>
      <c r="CZ93" s="83"/>
      <c r="DA93" s="83"/>
      <c r="DB93" s="83"/>
      <c r="DC93" s="83"/>
      <c r="DD93" s="83"/>
      <c r="DE93" s="83"/>
      <c r="DF93" s="83"/>
      <c r="DG93" s="83"/>
      <c r="DH93" s="83"/>
      <c r="DI93" s="83"/>
      <c r="DJ93" s="83"/>
      <c r="DK93" s="83"/>
      <c r="DL93" s="83"/>
      <c r="DM93" s="83"/>
    </row>
    <row r="94" spans="1:117" ht="27" customHeight="1">
      <c r="A94" s="91"/>
      <c r="B94" s="91"/>
      <c r="C94" s="91"/>
      <c r="D94" s="91"/>
      <c r="E94" s="91"/>
      <c r="F94" s="91"/>
      <c r="G94" s="91"/>
      <c r="H94" s="91"/>
      <c r="I94" s="91"/>
      <c r="J94" s="91"/>
      <c r="K94" s="91"/>
      <c r="L94" s="91"/>
      <c r="M94" s="91"/>
      <c r="N94" s="91"/>
      <c r="O94" s="91"/>
      <c r="P94" s="91"/>
      <c r="Q94" s="91"/>
      <c r="R94" s="91"/>
      <c r="S94" s="91"/>
      <c r="T94" s="91"/>
      <c r="U94" s="91"/>
      <c r="V94" s="91"/>
      <c r="W94" s="135"/>
      <c r="X94" s="135"/>
      <c r="Y94" s="133"/>
      <c r="Z94" s="135"/>
      <c r="AA94" s="135"/>
      <c r="AB94" s="135"/>
      <c r="AC94" s="123"/>
      <c r="AD94" s="95"/>
      <c r="AE94" s="123"/>
      <c r="AF94" s="123"/>
      <c r="AG94" s="95"/>
      <c r="AH94" s="123"/>
      <c r="AI94" s="123"/>
      <c r="AJ94" s="123"/>
      <c r="AK94" s="123"/>
      <c r="AL94" s="95"/>
      <c r="AM94" s="123"/>
      <c r="AN94" s="123"/>
      <c r="AO94" s="95"/>
      <c r="AP94" s="112"/>
      <c r="AQ94" s="163"/>
      <c r="AR94" s="163"/>
      <c r="AS94" s="95"/>
      <c r="AT94" s="163"/>
      <c r="AU94" s="163"/>
      <c r="AV94" s="163"/>
      <c r="AW94" s="163"/>
      <c r="AX94" s="95"/>
      <c r="AY94" s="95"/>
      <c r="AZ94" s="95"/>
      <c r="BA94" s="87"/>
      <c r="BB94" s="17"/>
      <c r="BC94" s="15"/>
      <c r="BD94" s="15"/>
      <c r="BE94" s="15"/>
      <c r="BH94" s="15"/>
      <c r="BI94" s="16"/>
      <c r="BJ94" s="15"/>
      <c r="CY94" s="83"/>
      <c r="CZ94" s="83"/>
      <c r="DA94" s="83"/>
      <c r="DB94" s="83"/>
      <c r="DC94" s="83"/>
      <c r="DD94" s="83"/>
      <c r="DE94" s="83"/>
      <c r="DF94" s="83"/>
      <c r="DG94" s="83"/>
      <c r="DH94" s="83"/>
      <c r="DI94" s="83"/>
      <c r="DJ94" s="83"/>
      <c r="DK94" s="83"/>
      <c r="DL94" s="83"/>
      <c r="DM94" s="83"/>
    </row>
  </sheetData>
  <sheetProtection algorithmName="SHA-512" hashValue="/ZsqLdysFEjsUUuPlRhZJPHB0qvITDyW2j8M1/N6TlxMzqaWLJkGv7hHe0Ae/vjYGjBf+Wn+yUCqrTd7OgAsWQ==" saltValue="OTJ62m04r5fcK85QmS3wKA==" spinCount="100000" sheet="1" selectLockedCells="1"/>
  <mergeCells count="872">
    <mergeCell ref="Y43:AB43"/>
    <mergeCell ref="Y44:AB44"/>
    <mergeCell ref="AU36:AW36"/>
    <mergeCell ref="AX36:AZ36"/>
    <mergeCell ref="AU37:AW37"/>
    <mergeCell ref="AX37:AZ37"/>
    <mergeCell ref="AU38:AW38"/>
    <mergeCell ref="AU39:AW39"/>
    <mergeCell ref="AX39:AZ39"/>
    <mergeCell ref="W41:AA41"/>
    <mergeCell ref="W42:X42"/>
    <mergeCell ref="Y42:AB42"/>
    <mergeCell ref="AC42:AE42"/>
    <mergeCell ref="AF42:AH42"/>
    <mergeCell ref="AI42:AK42"/>
    <mergeCell ref="AL42:AN42"/>
    <mergeCell ref="AO42:AQ42"/>
    <mergeCell ref="AR42:AU42"/>
    <mergeCell ref="AU29:AW29"/>
    <mergeCell ref="AU30:AW30"/>
    <mergeCell ref="AU31:AW32"/>
    <mergeCell ref="AU33:AW33"/>
    <mergeCell ref="AU34:AW34"/>
    <mergeCell ref="AX22:AZ22"/>
    <mergeCell ref="AX23:AZ23"/>
    <mergeCell ref="AX24:AZ24"/>
    <mergeCell ref="AX25:AZ25"/>
    <mergeCell ref="AX26:AZ26"/>
    <mergeCell ref="AX27:AZ27"/>
    <mergeCell ref="AX28:AZ28"/>
    <mergeCell ref="AX29:AZ29"/>
    <mergeCell ref="AX30:AZ30"/>
    <mergeCell ref="AX31:AZ32"/>
    <mergeCell ref="AX33:AZ33"/>
    <mergeCell ref="AX34:AZ34"/>
    <mergeCell ref="AU21:AW21"/>
    <mergeCell ref="AX21:AZ21"/>
    <mergeCell ref="AU22:AW22"/>
    <mergeCell ref="AU23:AW23"/>
    <mergeCell ref="AU24:AW24"/>
    <mergeCell ref="AU25:AW25"/>
    <mergeCell ref="AU26:AW26"/>
    <mergeCell ref="AU27:AW27"/>
    <mergeCell ref="AU28:AW28"/>
    <mergeCell ref="AX10:AZ10"/>
    <mergeCell ref="AX11:AZ11"/>
    <mergeCell ref="AX12:AZ12"/>
    <mergeCell ref="AX13:AZ13"/>
    <mergeCell ref="AX14:AZ14"/>
    <mergeCell ref="AX15:AZ15"/>
    <mergeCell ref="AX16:AZ16"/>
    <mergeCell ref="AX17:AZ17"/>
    <mergeCell ref="AX18:AZ18"/>
    <mergeCell ref="AU10:AW10"/>
    <mergeCell ref="AU11:AW11"/>
    <mergeCell ref="AU12:AW12"/>
    <mergeCell ref="AU13:AW13"/>
    <mergeCell ref="AU14:AW14"/>
    <mergeCell ref="AU15:AW15"/>
    <mergeCell ref="AU16:AW16"/>
    <mergeCell ref="AU17:AW17"/>
    <mergeCell ref="AU18:AW18"/>
    <mergeCell ref="AU3:AW3"/>
    <mergeCell ref="AU4:AW4"/>
    <mergeCell ref="AX3:AZ3"/>
    <mergeCell ref="AX4:AZ4"/>
    <mergeCell ref="AU5:AW5"/>
    <mergeCell ref="AU6:AW6"/>
    <mergeCell ref="AU7:AW7"/>
    <mergeCell ref="AU8:AW8"/>
    <mergeCell ref="AU9:AW9"/>
    <mergeCell ref="AX5:AZ5"/>
    <mergeCell ref="AX6:AZ6"/>
    <mergeCell ref="AX7:AZ7"/>
    <mergeCell ref="AX8:AZ8"/>
    <mergeCell ref="AX9:AZ9"/>
    <mergeCell ref="CY1:DC1"/>
    <mergeCell ref="CY2:CZ2"/>
    <mergeCell ref="A3:D3"/>
    <mergeCell ref="E3:M3"/>
    <mergeCell ref="W3:W35"/>
    <mergeCell ref="X3:AC3"/>
    <mergeCell ref="AE3:AE4"/>
    <mergeCell ref="AF3:AH3"/>
    <mergeCell ref="A1:M2"/>
    <mergeCell ref="N1:O2"/>
    <mergeCell ref="P1:U2"/>
    <mergeCell ref="W1:BA2"/>
    <mergeCell ref="BB1:BV2"/>
    <mergeCell ref="BX1:CV2"/>
    <mergeCell ref="CJ3:CL3"/>
    <mergeCell ref="CM3:CO3"/>
    <mergeCell ref="CP3:CR3"/>
    <mergeCell ref="CS3:CU3"/>
    <mergeCell ref="A4:D4"/>
    <mergeCell ref="E4:F4"/>
    <mergeCell ref="CG3:CI3"/>
    <mergeCell ref="CB4:CD4"/>
    <mergeCell ref="AI3:AK3"/>
    <mergeCell ref="AL3:AN3"/>
    <mergeCell ref="AO3:AQ3"/>
    <mergeCell ref="AR3:AT3"/>
    <mergeCell ref="AI4:AK4"/>
    <mergeCell ref="BO3:BQ3"/>
    <mergeCell ref="BR3:BV3"/>
    <mergeCell ref="BX3:BX35"/>
    <mergeCell ref="BY3:CD3"/>
    <mergeCell ref="CB7:CD7"/>
    <mergeCell ref="CB8:CD8"/>
    <mergeCell ref="AL12:AN12"/>
    <mergeCell ref="AL11:AN11"/>
    <mergeCell ref="AO11:AQ11"/>
    <mergeCell ref="AR11:AT11"/>
    <mergeCell ref="BD11:BG11"/>
    <mergeCell ref="BH11:BR11"/>
    <mergeCell ref="CB11:CD11"/>
    <mergeCell ref="BB4:BE4"/>
    <mergeCell ref="BF4:BG4"/>
    <mergeCell ref="BB3:BE3"/>
    <mergeCell ref="BF3:BN3"/>
    <mergeCell ref="CB17:CD17"/>
    <mergeCell ref="BS21:BT21"/>
    <mergeCell ref="BU21:BV21"/>
    <mergeCell ref="BZ21:CF21"/>
    <mergeCell ref="AA20:AC20"/>
    <mergeCell ref="AF20:AH20"/>
    <mergeCell ref="AI20:AK20"/>
    <mergeCell ref="AL20:AN20"/>
    <mergeCell ref="AO20:AQ20"/>
    <mergeCell ref="BD13:BG13"/>
    <mergeCell ref="BD15:BG15"/>
    <mergeCell ref="AR17:AT17"/>
    <mergeCell ref="BB17:BV20"/>
    <mergeCell ref="AU19:AW19"/>
    <mergeCell ref="AU20:AW20"/>
    <mergeCell ref="AX19:AZ19"/>
    <mergeCell ref="AX20:AZ20"/>
    <mergeCell ref="A5:U8"/>
    <mergeCell ref="AA5:AC5"/>
    <mergeCell ref="AF5:AH5"/>
    <mergeCell ref="AI5:AK5"/>
    <mergeCell ref="AL5:AN5"/>
    <mergeCell ref="AO5:AQ5"/>
    <mergeCell ref="AL4:AN4"/>
    <mergeCell ref="AO4:AQ4"/>
    <mergeCell ref="AR4:AT4"/>
    <mergeCell ref="X4:X21"/>
    <mergeCell ref="G14:Q14"/>
    <mergeCell ref="AA14:AC14"/>
    <mergeCell ref="AF14:AH14"/>
    <mergeCell ref="AI14:AK14"/>
    <mergeCell ref="AL14:AN14"/>
    <mergeCell ref="C14:F14"/>
    <mergeCell ref="C16:F16"/>
    <mergeCell ref="G16:Q16"/>
    <mergeCell ref="AA16:AC16"/>
    <mergeCell ref="AF16:AH16"/>
    <mergeCell ref="AI16:AK16"/>
    <mergeCell ref="AL16:AN16"/>
    <mergeCell ref="AO15:AQ15"/>
    <mergeCell ref="AR15:AT15"/>
    <mergeCell ref="CM4:CO4"/>
    <mergeCell ref="CP4:CR4"/>
    <mergeCell ref="CB6:CD6"/>
    <mergeCell ref="CG6:CI6"/>
    <mergeCell ref="CJ6:CL6"/>
    <mergeCell ref="CM6:CO6"/>
    <mergeCell ref="CP6:CR6"/>
    <mergeCell ref="CS6:CU6"/>
    <mergeCell ref="CJ5:CL5"/>
    <mergeCell ref="CM5:CO5"/>
    <mergeCell ref="CP5:CR5"/>
    <mergeCell ref="CS5:CU5"/>
    <mergeCell ref="CS4:CU4"/>
    <mergeCell ref="CJ4:CL4"/>
    <mergeCell ref="CG4:CI4"/>
    <mergeCell ref="CB5:CD5"/>
    <mergeCell ref="CG5:CI5"/>
    <mergeCell ref="CF3:CF4"/>
    <mergeCell ref="CG7:CI7"/>
    <mergeCell ref="CJ7:CL7"/>
    <mergeCell ref="CM7:CO7"/>
    <mergeCell ref="CP7:CR7"/>
    <mergeCell ref="CS7:CU7"/>
    <mergeCell ref="AA7:AC7"/>
    <mergeCell ref="AF7:AH7"/>
    <mergeCell ref="AI7:AK7"/>
    <mergeCell ref="AL7:AN7"/>
    <mergeCell ref="AO7:AQ7"/>
    <mergeCell ref="AR7:AT7"/>
    <mergeCell ref="BY4:BY21"/>
    <mergeCell ref="AR5:AT5"/>
    <mergeCell ref="BB5:BV8"/>
    <mergeCell ref="AO9:AQ9"/>
    <mergeCell ref="AR9:AT9"/>
    <mergeCell ref="AA6:AC6"/>
    <mergeCell ref="AF6:AH6"/>
    <mergeCell ref="AI6:AK6"/>
    <mergeCell ref="AL6:AN6"/>
    <mergeCell ref="AO6:AQ6"/>
    <mergeCell ref="AR6:AT6"/>
    <mergeCell ref="AA4:AC4"/>
    <mergeCell ref="AF4:AH4"/>
    <mergeCell ref="CG8:CI8"/>
    <mergeCell ref="CJ8:CL8"/>
    <mergeCell ref="CM8:CO8"/>
    <mergeCell ref="CP8:CR8"/>
    <mergeCell ref="CS8:CU8"/>
    <mergeCell ref="AA8:AC8"/>
    <mergeCell ref="AF8:AH8"/>
    <mergeCell ref="AI8:AK8"/>
    <mergeCell ref="AL8:AN8"/>
    <mergeCell ref="AO8:AQ8"/>
    <mergeCell ref="AR8:AT8"/>
    <mergeCell ref="CP9:CR9"/>
    <mergeCell ref="CS9:CU9"/>
    <mergeCell ref="A10:B16"/>
    <mergeCell ref="C10:F10"/>
    <mergeCell ref="G10:Q10"/>
    <mergeCell ref="AA10:AC10"/>
    <mergeCell ref="AF10:AH10"/>
    <mergeCell ref="AI10:AK10"/>
    <mergeCell ref="AL10:AN10"/>
    <mergeCell ref="AO10:AQ10"/>
    <mergeCell ref="BB9:BR9"/>
    <mergeCell ref="BT9:BU9"/>
    <mergeCell ref="CB9:CD9"/>
    <mergeCell ref="CG9:CI9"/>
    <mergeCell ref="CJ9:CL9"/>
    <mergeCell ref="CM9:CO9"/>
    <mergeCell ref="A9:Q9"/>
    <mergeCell ref="S9:T9"/>
    <mergeCell ref="AA9:AC9"/>
    <mergeCell ref="AF9:AH9"/>
    <mergeCell ref="AI9:AK9"/>
    <mergeCell ref="AL9:AN9"/>
    <mergeCell ref="CJ10:CL10"/>
    <mergeCell ref="CM10:CO10"/>
    <mergeCell ref="CP10:CR10"/>
    <mergeCell ref="CS10:CU10"/>
    <mergeCell ref="CY10:CZ10"/>
    <mergeCell ref="C11:F11"/>
    <mergeCell ref="G11:Q11"/>
    <mergeCell ref="AA11:AC11"/>
    <mergeCell ref="AF11:AH11"/>
    <mergeCell ref="AI11:AK11"/>
    <mergeCell ref="AR10:AT10"/>
    <mergeCell ref="BB10:BC16"/>
    <mergeCell ref="BD10:BG10"/>
    <mergeCell ref="BH10:BR10"/>
    <mergeCell ref="CB10:CD10"/>
    <mergeCell ref="CG10:CI10"/>
    <mergeCell ref="CG11:CI11"/>
    <mergeCell ref="CJ11:CL11"/>
    <mergeCell ref="CM11:CO11"/>
    <mergeCell ref="CP11:CR11"/>
    <mergeCell ref="CS11:CU11"/>
    <mergeCell ref="C12:F12"/>
    <mergeCell ref="G12:Q12"/>
    <mergeCell ref="AA12:AC12"/>
    <mergeCell ref="AF12:AH12"/>
    <mergeCell ref="AI12:AK12"/>
    <mergeCell ref="CM12:CO12"/>
    <mergeCell ref="CP12:CR12"/>
    <mergeCell ref="CS12:CU12"/>
    <mergeCell ref="C13:F13"/>
    <mergeCell ref="G13:Q13"/>
    <mergeCell ref="AA13:AC13"/>
    <mergeCell ref="AF13:AH13"/>
    <mergeCell ref="AI13:AK13"/>
    <mergeCell ref="AL13:AN13"/>
    <mergeCell ref="AO12:AQ12"/>
    <mergeCell ref="AR12:AT12"/>
    <mergeCell ref="BD12:BG12"/>
    <mergeCell ref="BH12:BR12"/>
    <mergeCell ref="CB12:CD12"/>
    <mergeCell ref="CG12:CI12"/>
    <mergeCell ref="CJ13:CL13"/>
    <mergeCell ref="CM13:CO13"/>
    <mergeCell ref="CP13:CR13"/>
    <mergeCell ref="CS13:CU13"/>
    <mergeCell ref="BH13:BR13"/>
    <mergeCell ref="CB13:CD13"/>
    <mergeCell ref="CG13:CI13"/>
    <mergeCell ref="AO13:AQ13"/>
    <mergeCell ref="AR13:AT13"/>
    <mergeCell ref="CJ12:CL12"/>
    <mergeCell ref="CJ14:CL14"/>
    <mergeCell ref="CM14:CO14"/>
    <mergeCell ref="CP14:CR14"/>
    <mergeCell ref="CS14:CU14"/>
    <mergeCell ref="C15:F15"/>
    <mergeCell ref="G15:Q15"/>
    <mergeCell ref="AA15:AC15"/>
    <mergeCell ref="AF15:AH15"/>
    <mergeCell ref="AI15:AK15"/>
    <mergeCell ref="AL15:AN15"/>
    <mergeCell ref="AO14:AQ14"/>
    <mergeCell ref="AR14:AT14"/>
    <mergeCell ref="BD14:BG14"/>
    <mergeCell ref="BH14:BR14"/>
    <mergeCell ref="CB14:CD14"/>
    <mergeCell ref="CG14:CI14"/>
    <mergeCell ref="CJ15:CL15"/>
    <mergeCell ref="CM15:CO15"/>
    <mergeCell ref="CP15:CR15"/>
    <mergeCell ref="CS15:CU15"/>
    <mergeCell ref="BH15:BR15"/>
    <mergeCell ref="CB15:CD15"/>
    <mergeCell ref="CG15:CI15"/>
    <mergeCell ref="CJ16:CL16"/>
    <mergeCell ref="CM16:CO16"/>
    <mergeCell ref="CP16:CR16"/>
    <mergeCell ref="CS16:CU16"/>
    <mergeCell ref="A17:U20"/>
    <mergeCell ref="AA17:AC17"/>
    <mergeCell ref="AF17:AH17"/>
    <mergeCell ref="AI17:AK17"/>
    <mergeCell ref="AL17:AN17"/>
    <mergeCell ref="AO17:AQ17"/>
    <mergeCell ref="AO16:AQ16"/>
    <mergeCell ref="AR16:AT16"/>
    <mergeCell ref="BD16:BG16"/>
    <mergeCell ref="BH16:BR16"/>
    <mergeCell ref="CB16:CD16"/>
    <mergeCell ref="CG16:CI16"/>
    <mergeCell ref="CP17:CR17"/>
    <mergeCell ref="CS17:CU17"/>
    <mergeCell ref="AA18:AC18"/>
    <mergeCell ref="AF18:AH18"/>
    <mergeCell ref="AI18:AK18"/>
    <mergeCell ref="AL18:AN18"/>
    <mergeCell ref="AO18:AQ18"/>
    <mergeCell ref="AR18:AT18"/>
    <mergeCell ref="CG17:CI17"/>
    <mergeCell ref="CJ17:CL17"/>
    <mergeCell ref="CM17:CO17"/>
    <mergeCell ref="CJ18:CL18"/>
    <mergeCell ref="CM18:CO18"/>
    <mergeCell ref="CJ19:CL19"/>
    <mergeCell ref="CM19:CO19"/>
    <mergeCell ref="AR20:AT20"/>
    <mergeCell ref="CB20:CD20"/>
    <mergeCell ref="CG20:CI20"/>
    <mergeCell ref="CJ20:CL20"/>
    <mergeCell ref="CM20:CO20"/>
    <mergeCell ref="CB18:CD18"/>
    <mergeCell ref="CP18:CR18"/>
    <mergeCell ref="CS18:CU18"/>
    <mergeCell ref="AA19:AC19"/>
    <mergeCell ref="AF19:AH19"/>
    <mergeCell ref="AI19:AK19"/>
    <mergeCell ref="AL19:AN19"/>
    <mergeCell ref="AO19:AQ19"/>
    <mergeCell ref="AR19:AT19"/>
    <mergeCell ref="CB19:CD19"/>
    <mergeCell ref="CG19:CI19"/>
    <mergeCell ref="CP19:CR19"/>
    <mergeCell ref="CS19:CU19"/>
    <mergeCell ref="CG18:CI18"/>
    <mergeCell ref="CP20:CR20"/>
    <mergeCell ref="CS20:CU20"/>
    <mergeCell ref="A21:A29"/>
    <mergeCell ref="B21:G22"/>
    <mergeCell ref="I21:I22"/>
    <mergeCell ref="J21:K21"/>
    <mergeCell ref="P21:Q21"/>
    <mergeCell ref="R21:S21"/>
    <mergeCell ref="BK23:BL23"/>
    <mergeCell ref="BQ23:BR23"/>
    <mergeCell ref="BK24:BL24"/>
    <mergeCell ref="BQ24:BR24"/>
    <mergeCell ref="T21:U21"/>
    <mergeCell ref="Y21:AE21"/>
    <mergeCell ref="AF21:AH21"/>
    <mergeCell ref="AI21:AK21"/>
    <mergeCell ref="AL21:AN21"/>
    <mergeCell ref="AO21:AQ21"/>
    <mergeCell ref="BQ22:BR22"/>
    <mergeCell ref="BS22:BT22"/>
    <mergeCell ref="CP21:CR21"/>
    <mergeCell ref="CS21:CU21"/>
    <mergeCell ref="J22:K22"/>
    <mergeCell ref="P22:Q22"/>
    <mergeCell ref="BZ30:CD30"/>
    <mergeCell ref="BD29:BI29"/>
    <mergeCell ref="BK29:BL29"/>
    <mergeCell ref="BD25:BH25"/>
    <mergeCell ref="BK25:BL25"/>
    <mergeCell ref="BQ25:BR25"/>
    <mergeCell ref="BS25:BT25"/>
    <mergeCell ref="R22:S22"/>
    <mergeCell ref="CM21:CO21"/>
    <mergeCell ref="AR21:AT21"/>
    <mergeCell ref="BB21:BB29"/>
    <mergeCell ref="BC21:BH22"/>
    <mergeCell ref="BJ21:BJ22"/>
    <mergeCell ref="BK21:BL21"/>
    <mergeCell ref="BQ21:BR21"/>
    <mergeCell ref="BD27:BH27"/>
    <mergeCell ref="BK27:BL27"/>
    <mergeCell ref="BQ27:BR27"/>
    <mergeCell ref="BS27:BT27"/>
    <mergeCell ref="BD28:BH28"/>
    <mergeCell ref="BK28:BL28"/>
    <mergeCell ref="BQ28:BR28"/>
    <mergeCell ref="BS28:BT28"/>
    <mergeCell ref="BU24:BV24"/>
    <mergeCell ref="BZ24:CD24"/>
    <mergeCell ref="CG24:CI24"/>
    <mergeCell ref="CJ24:CL24"/>
    <mergeCell ref="CM24:CO24"/>
    <mergeCell ref="BU26:BV26"/>
    <mergeCell ref="BZ26:CD26"/>
    <mergeCell ref="T22:U22"/>
    <mergeCell ref="AL23:AN23"/>
    <mergeCell ref="AO23:AQ23"/>
    <mergeCell ref="AR23:AT23"/>
    <mergeCell ref="BC23:BC29"/>
    <mergeCell ref="BD23:BH23"/>
    <mergeCell ref="AL24:AN24"/>
    <mergeCell ref="AO24:AQ24"/>
    <mergeCell ref="AL22:AN22"/>
    <mergeCell ref="AO22:AQ22"/>
    <mergeCell ref="AR22:AT22"/>
    <mergeCell ref="BK22:BL22"/>
    <mergeCell ref="AR29:AT29"/>
    <mergeCell ref="AI28:AK28"/>
    <mergeCell ref="AL28:AN28"/>
    <mergeCell ref="AO28:AQ28"/>
    <mergeCell ref="AR28:AT28"/>
    <mergeCell ref="AR25:AT25"/>
    <mergeCell ref="CS24:CU24"/>
    <mergeCell ref="CS22:CU22"/>
    <mergeCell ref="BU22:BV22"/>
    <mergeCell ref="BY22:BY35"/>
    <mergeCell ref="BZ22:CD22"/>
    <mergeCell ref="CG22:CI22"/>
    <mergeCell ref="CJ22:CL22"/>
    <mergeCell ref="CM22:CO22"/>
    <mergeCell ref="BU25:BV25"/>
    <mergeCell ref="BZ25:CD25"/>
    <mergeCell ref="CS31:CU32"/>
    <mergeCell ref="BU27:BV27"/>
    <mergeCell ref="BZ27:CD27"/>
    <mergeCell ref="BU28:BV28"/>
    <mergeCell ref="BZ28:CD28"/>
    <mergeCell ref="CS27:CU27"/>
    <mergeCell ref="CS28:CU28"/>
    <mergeCell ref="CJ33:CL33"/>
    <mergeCell ref="CM33:CO33"/>
    <mergeCell ref="CP33:CR33"/>
    <mergeCell ref="CS33:CU33"/>
    <mergeCell ref="BZ33:CD33"/>
    <mergeCell ref="CG33:CI33"/>
    <mergeCell ref="CJ34:CL34"/>
    <mergeCell ref="C26:G26"/>
    <mergeCell ref="J26:K26"/>
    <mergeCell ref="P26:Q26"/>
    <mergeCell ref="R26:S26"/>
    <mergeCell ref="T26:U26"/>
    <mergeCell ref="Y26:AC26"/>
    <mergeCell ref="BD26:BH26"/>
    <mergeCell ref="BK26:BL26"/>
    <mergeCell ref="CS23:CU23"/>
    <mergeCell ref="C24:G24"/>
    <mergeCell ref="J24:K24"/>
    <mergeCell ref="P24:Q24"/>
    <mergeCell ref="R24:S24"/>
    <mergeCell ref="T24:U24"/>
    <mergeCell ref="Y24:AC24"/>
    <mergeCell ref="AF24:AH24"/>
    <mergeCell ref="AI24:AK24"/>
    <mergeCell ref="BS23:BT23"/>
    <mergeCell ref="BU23:BV23"/>
    <mergeCell ref="BZ23:CD23"/>
    <mergeCell ref="CG23:CI23"/>
    <mergeCell ref="CJ23:CL23"/>
    <mergeCell ref="CM23:CO23"/>
    <mergeCell ref="AI23:AK23"/>
    <mergeCell ref="C25:G25"/>
    <mergeCell ref="J25:K25"/>
    <mergeCell ref="P25:Q25"/>
    <mergeCell ref="R25:S25"/>
    <mergeCell ref="T25:U25"/>
    <mergeCell ref="Y25:AC25"/>
    <mergeCell ref="BS24:BT24"/>
    <mergeCell ref="AR24:AT24"/>
    <mergeCell ref="BD24:BH24"/>
    <mergeCell ref="X22:X35"/>
    <mergeCell ref="Y22:AC22"/>
    <mergeCell ref="AF22:AH22"/>
    <mergeCell ref="AI22:AK22"/>
    <mergeCell ref="BQ26:BR26"/>
    <mergeCell ref="BS26:BT26"/>
    <mergeCell ref="C28:G28"/>
    <mergeCell ref="J28:K28"/>
    <mergeCell ref="P28:Q28"/>
    <mergeCell ref="R28:S28"/>
    <mergeCell ref="T28:U28"/>
    <mergeCell ref="Y28:AC28"/>
    <mergeCell ref="C27:G27"/>
    <mergeCell ref="J27:K27"/>
    <mergeCell ref="P27:Q27"/>
    <mergeCell ref="R27:S27"/>
    <mergeCell ref="T27:U27"/>
    <mergeCell ref="Y27:AC27"/>
    <mergeCell ref="BS29:BT29"/>
    <mergeCell ref="BU29:BV29"/>
    <mergeCell ref="BZ29:CD29"/>
    <mergeCell ref="BQ30:BR30"/>
    <mergeCell ref="C29:H29"/>
    <mergeCell ref="D31:G31"/>
    <mergeCell ref="J31:K31"/>
    <mergeCell ref="P31:Q31"/>
    <mergeCell ref="R31:S31"/>
    <mergeCell ref="T31:U31"/>
    <mergeCell ref="Y31:AC31"/>
    <mergeCell ref="Y30:AC30"/>
    <mergeCell ref="Y29:AC29"/>
    <mergeCell ref="BB30:BB46"/>
    <mergeCell ref="BC30:BC46"/>
    <mergeCell ref="AD31:AD32"/>
    <mergeCell ref="AE31:AE32"/>
    <mergeCell ref="AF31:AH32"/>
    <mergeCell ref="AI31:AK32"/>
    <mergeCell ref="BZ32:CD32"/>
    <mergeCell ref="J29:K29"/>
    <mergeCell ref="A30:A46"/>
    <mergeCell ref="B30:B46"/>
    <mergeCell ref="C30:C37"/>
    <mergeCell ref="D30:G30"/>
    <mergeCell ref="J30:K30"/>
    <mergeCell ref="P30:Q30"/>
    <mergeCell ref="R30:S30"/>
    <mergeCell ref="T30:U30"/>
    <mergeCell ref="BQ29:BR29"/>
    <mergeCell ref="B23:B29"/>
    <mergeCell ref="C23:G23"/>
    <mergeCell ref="J23:K23"/>
    <mergeCell ref="P23:Q23"/>
    <mergeCell ref="R23:S23"/>
    <mergeCell ref="T23:U23"/>
    <mergeCell ref="Y23:AC23"/>
    <mergeCell ref="AF23:AH23"/>
    <mergeCell ref="AO31:AQ32"/>
    <mergeCell ref="P33:Q33"/>
    <mergeCell ref="R33:S33"/>
    <mergeCell ref="T33:U33"/>
    <mergeCell ref="Y33:AC33"/>
    <mergeCell ref="AF36:AH36"/>
    <mergeCell ref="AI36:AK36"/>
    <mergeCell ref="P29:Q29"/>
    <mergeCell ref="R29:S29"/>
    <mergeCell ref="T29:U29"/>
    <mergeCell ref="AL36:AN36"/>
    <mergeCell ref="AO36:AQ36"/>
    <mergeCell ref="AF29:AH29"/>
    <mergeCell ref="AI29:AK29"/>
    <mergeCell ref="AL29:AN29"/>
    <mergeCell ref="AO29:AQ29"/>
    <mergeCell ref="AF30:AH30"/>
    <mergeCell ref="AI30:AK30"/>
    <mergeCell ref="AL30:AN30"/>
    <mergeCell ref="AO30:AQ30"/>
    <mergeCell ref="AR30:AT30"/>
    <mergeCell ref="CV31:CV32"/>
    <mergeCell ref="CW31:CW32"/>
    <mergeCell ref="CX31:CX32"/>
    <mergeCell ref="D32:G32"/>
    <mergeCell ref="J32:K32"/>
    <mergeCell ref="P32:Q32"/>
    <mergeCell ref="R32:S32"/>
    <mergeCell ref="T32:U32"/>
    <mergeCell ref="Y32:AC32"/>
    <mergeCell ref="CE31:CE32"/>
    <mergeCell ref="CF31:CF32"/>
    <mergeCell ref="CG31:CI32"/>
    <mergeCell ref="CJ31:CL32"/>
    <mergeCell ref="CM31:CO32"/>
    <mergeCell ref="CP31:CR32"/>
    <mergeCell ref="BE31:BH31"/>
    <mergeCell ref="BK31:BL31"/>
    <mergeCell ref="BQ31:BR31"/>
    <mergeCell ref="BS31:BT31"/>
    <mergeCell ref="BU31:BV31"/>
    <mergeCell ref="BZ31:CD31"/>
    <mergeCell ref="AL31:AN32"/>
    <mergeCell ref="AR31:AT32"/>
    <mergeCell ref="BA31:BA32"/>
    <mergeCell ref="BD30:BD37"/>
    <mergeCell ref="BE30:BH30"/>
    <mergeCell ref="BK30:BL30"/>
    <mergeCell ref="BU30:BV30"/>
    <mergeCell ref="BE36:BH36"/>
    <mergeCell ref="BK36:BL36"/>
    <mergeCell ref="BQ36:BR36"/>
    <mergeCell ref="BS30:BT30"/>
    <mergeCell ref="BE32:BH32"/>
    <mergeCell ref="BK32:BL32"/>
    <mergeCell ref="BQ32:BR32"/>
    <mergeCell ref="BS32:BT32"/>
    <mergeCell ref="BE37:BI37"/>
    <mergeCell ref="BK37:BL37"/>
    <mergeCell ref="BQ37:BR37"/>
    <mergeCell ref="BS37:BT37"/>
    <mergeCell ref="BU37:BV37"/>
    <mergeCell ref="BU32:BV32"/>
    <mergeCell ref="BU33:BV33"/>
    <mergeCell ref="BQ33:BR33"/>
    <mergeCell ref="BS33:BT33"/>
    <mergeCell ref="AU35:AW35"/>
    <mergeCell ref="AX35:AZ35"/>
    <mergeCell ref="D34:G34"/>
    <mergeCell ref="J34:K34"/>
    <mergeCell ref="P34:Q34"/>
    <mergeCell ref="R34:S34"/>
    <mergeCell ref="T34:U34"/>
    <mergeCell ref="Y34:AC34"/>
    <mergeCell ref="BK33:BL33"/>
    <mergeCell ref="AF33:AH33"/>
    <mergeCell ref="AI33:AK33"/>
    <mergeCell ref="AL33:AN33"/>
    <mergeCell ref="AO33:AQ33"/>
    <mergeCell ref="AR33:AT33"/>
    <mergeCell ref="BE33:BH33"/>
    <mergeCell ref="D33:G33"/>
    <mergeCell ref="J33:K33"/>
    <mergeCell ref="CM34:CO34"/>
    <mergeCell ref="CP34:CR34"/>
    <mergeCell ref="CS34:CU34"/>
    <mergeCell ref="D35:G35"/>
    <mergeCell ref="J35:K35"/>
    <mergeCell ref="P35:Q35"/>
    <mergeCell ref="R35:S35"/>
    <mergeCell ref="T35:U35"/>
    <mergeCell ref="Y35:AE35"/>
    <mergeCell ref="BK34:BL34"/>
    <mergeCell ref="BQ34:BR34"/>
    <mergeCell ref="BS34:BT34"/>
    <mergeCell ref="BU34:BV34"/>
    <mergeCell ref="BZ34:CD34"/>
    <mergeCell ref="CG34:CI34"/>
    <mergeCell ref="AF34:AH34"/>
    <mergeCell ref="AI34:AK34"/>
    <mergeCell ref="AL34:AN34"/>
    <mergeCell ref="AO34:AQ34"/>
    <mergeCell ref="AR34:AT34"/>
    <mergeCell ref="BE34:BH34"/>
    <mergeCell ref="CJ35:CL35"/>
    <mergeCell ref="CM35:CO35"/>
    <mergeCell ref="CP35:CR35"/>
    <mergeCell ref="CS37:CU37"/>
    <mergeCell ref="CS35:CU35"/>
    <mergeCell ref="DB35:DC35"/>
    <mergeCell ref="D36:G36"/>
    <mergeCell ref="J36:K36"/>
    <mergeCell ref="P36:Q36"/>
    <mergeCell ref="R36:S36"/>
    <mergeCell ref="T36:U36"/>
    <mergeCell ref="BK35:BL35"/>
    <mergeCell ref="BQ35:BR35"/>
    <mergeCell ref="BS35:BT35"/>
    <mergeCell ref="BU35:BV35"/>
    <mergeCell ref="BZ35:CF35"/>
    <mergeCell ref="CG35:CI35"/>
    <mergeCell ref="AF35:AH35"/>
    <mergeCell ref="AI35:AK35"/>
    <mergeCell ref="AL35:AN35"/>
    <mergeCell ref="AO35:AQ35"/>
    <mergeCell ref="AR35:AT35"/>
    <mergeCell ref="BE35:BH35"/>
    <mergeCell ref="BS36:BT36"/>
    <mergeCell ref="BU36:BV36"/>
    <mergeCell ref="W36:W37"/>
    <mergeCell ref="X36:AE36"/>
    <mergeCell ref="D43:G43"/>
    <mergeCell ref="J43:K43"/>
    <mergeCell ref="CS36:CU36"/>
    <mergeCell ref="D37:H37"/>
    <mergeCell ref="J37:K37"/>
    <mergeCell ref="P37:Q37"/>
    <mergeCell ref="R37:S37"/>
    <mergeCell ref="T37:U37"/>
    <mergeCell ref="X37:AE37"/>
    <mergeCell ref="AF37:AH37"/>
    <mergeCell ref="AI37:AK37"/>
    <mergeCell ref="AL37:AN37"/>
    <mergeCell ref="BX36:BX37"/>
    <mergeCell ref="BY36:CF36"/>
    <mergeCell ref="CG36:CI36"/>
    <mergeCell ref="CJ36:CL36"/>
    <mergeCell ref="CM36:CO36"/>
    <mergeCell ref="CP36:CR36"/>
    <mergeCell ref="BY37:CF37"/>
    <mergeCell ref="CG37:CI37"/>
    <mergeCell ref="CJ37:CL37"/>
    <mergeCell ref="CM37:CO37"/>
    <mergeCell ref="AR36:AT36"/>
    <mergeCell ref="CP37:CR37"/>
    <mergeCell ref="T38:U38"/>
    <mergeCell ref="W38:W39"/>
    <mergeCell ref="X38:AE38"/>
    <mergeCell ref="AR37:AT37"/>
    <mergeCell ref="R41:S41"/>
    <mergeCell ref="T41:U41"/>
    <mergeCell ref="D40:G40"/>
    <mergeCell ref="J40:K40"/>
    <mergeCell ref="P40:Q40"/>
    <mergeCell ref="R40:S40"/>
    <mergeCell ref="T40:U40"/>
    <mergeCell ref="D41:G41"/>
    <mergeCell ref="J41:K41"/>
    <mergeCell ref="P41:Q41"/>
    <mergeCell ref="AL38:AN38"/>
    <mergeCell ref="AO38:AQ38"/>
    <mergeCell ref="AR38:AT38"/>
    <mergeCell ref="AO37:AQ37"/>
    <mergeCell ref="CS38:CU38"/>
    <mergeCell ref="BE38:BH38"/>
    <mergeCell ref="BK38:BL38"/>
    <mergeCell ref="BQ38:BR38"/>
    <mergeCell ref="D39:G39"/>
    <mergeCell ref="J39:K39"/>
    <mergeCell ref="P39:Q39"/>
    <mergeCell ref="R39:S39"/>
    <mergeCell ref="T39:U39"/>
    <mergeCell ref="X39:AE39"/>
    <mergeCell ref="BS38:BT38"/>
    <mergeCell ref="BU38:BV38"/>
    <mergeCell ref="CS39:CU39"/>
    <mergeCell ref="AR39:AT39"/>
    <mergeCell ref="BE39:BH39"/>
    <mergeCell ref="BK39:BL39"/>
    <mergeCell ref="BQ39:BR39"/>
    <mergeCell ref="BS39:BT39"/>
    <mergeCell ref="BU39:BV39"/>
    <mergeCell ref="CJ38:CL38"/>
    <mergeCell ref="AF38:AH38"/>
    <mergeCell ref="AI38:AK38"/>
    <mergeCell ref="CM39:CO39"/>
    <mergeCell ref="CP39:CR39"/>
    <mergeCell ref="BK40:BL40"/>
    <mergeCell ref="BQ40:BR40"/>
    <mergeCell ref="BS40:BT40"/>
    <mergeCell ref="BU40:BV40"/>
    <mergeCell ref="BE42:BH42"/>
    <mergeCell ref="BK42:BL42"/>
    <mergeCell ref="BQ42:BR42"/>
    <mergeCell ref="BS42:BT42"/>
    <mergeCell ref="BU42:BV42"/>
    <mergeCell ref="BX38:BX39"/>
    <mergeCell ref="BY38:CF38"/>
    <mergeCell ref="CM38:CO38"/>
    <mergeCell ref="CP38:CR38"/>
    <mergeCell ref="CG38:CI38"/>
    <mergeCell ref="BI55:BJ55"/>
    <mergeCell ref="DB42:DC42"/>
    <mergeCell ref="BE41:BH41"/>
    <mergeCell ref="BK41:BL41"/>
    <mergeCell ref="BQ41:BR41"/>
    <mergeCell ref="BS41:BT41"/>
    <mergeCell ref="BU41:BV41"/>
    <mergeCell ref="BK43:BL43"/>
    <mergeCell ref="BQ43:BR43"/>
    <mergeCell ref="BS43:BT43"/>
    <mergeCell ref="BU43:BV43"/>
    <mergeCell ref="BS44:BT44"/>
    <mergeCell ref="BU44:BV44"/>
    <mergeCell ref="BQ44:BR44"/>
    <mergeCell ref="BE45:BI45"/>
    <mergeCell ref="BK46:BL46"/>
    <mergeCell ref="BQ46:BR46"/>
    <mergeCell ref="BY39:CF39"/>
    <mergeCell ref="CG39:CI39"/>
    <mergeCell ref="CJ39:CL39"/>
    <mergeCell ref="BX40:CV40"/>
    <mergeCell ref="BE40:BH40"/>
    <mergeCell ref="BK44:BL44"/>
    <mergeCell ref="P43:Q43"/>
    <mergeCell ref="R43:S43"/>
    <mergeCell ref="T43:U43"/>
    <mergeCell ref="BE43:BH43"/>
    <mergeCell ref="D44:G44"/>
    <mergeCell ref="J44:K44"/>
    <mergeCell ref="P44:Q44"/>
    <mergeCell ref="R44:S44"/>
    <mergeCell ref="T44:U44"/>
    <mergeCell ref="BE44:BH44"/>
    <mergeCell ref="BD38:BD45"/>
    <mergeCell ref="AF39:AH39"/>
    <mergeCell ref="AI39:AK39"/>
    <mergeCell ref="AL39:AN39"/>
    <mergeCell ref="AO39:AQ39"/>
    <mergeCell ref="D42:G42"/>
    <mergeCell ref="J42:K42"/>
    <mergeCell ref="P42:Q42"/>
    <mergeCell ref="R42:S42"/>
    <mergeCell ref="T42:U42"/>
    <mergeCell ref="BS46:BT46"/>
    <mergeCell ref="BU46:BV46"/>
    <mergeCell ref="A47:U47"/>
    <mergeCell ref="BB47:BV47"/>
    <mergeCell ref="BK45:BL45"/>
    <mergeCell ref="BQ45:BR45"/>
    <mergeCell ref="BS45:BT45"/>
    <mergeCell ref="BU45:BV45"/>
    <mergeCell ref="C46:H46"/>
    <mergeCell ref="J46:K46"/>
    <mergeCell ref="P46:Q46"/>
    <mergeCell ref="R46:S46"/>
    <mergeCell ref="T46:U46"/>
    <mergeCell ref="BD46:BI46"/>
    <mergeCell ref="D45:H45"/>
    <mergeCell ref="J45:K45"/>
    <mergeCell ref="P45:Q45"/>
    <mergeCell ref="R45:S45"/>
    <mergeCell ref="T45:U45"/>
    <mergeCell ref="C38:C45"/>
    <mergeCell ref="D38:G38"/>
    <mergeCell ref="J38:K38"/>
    <mergeCell ref="P38:Q38"/>
    <mergeCell ref="R38:S38"/>
    <mergeCell ref="N3:U3"/>
    <mergeCell ref="CG27:CI27"/>
    <mergeCell ref="CJ27:CL27"/>
    <mergeCell ref="CM27:CO27"/>
    <mergeCell ref="CP27:CR27"/>
    <mergeCell ref="CG28:CI28"/>
    <mergeCell ref="CJ28:CL28"/>
    <mergeCell ref="CM28:CO28"/>
    <mergeCell ref="CP28:CR28"/>
    <mergeCell ref="AF27:AH27"/>
    <mergeCell ref="AI27:AK27"/>
    <mergeCell ref="AL27:AN27"/>
    <mergeCell ref="AO27:AQ27"/>
    <mergeCell ref="AR27:AT27"/>
    <mergeCell ref="AF28:AH28"/>
    <mergeCell ref="CP24:CR24"/>
    <mergeCell ref="CP23:CR23"/>
    <mergeCell ref="CP22:CR22"/>
    <mergeCell ref="CG21:CI21"/>
    <mergeCell ref="CJ21:CL21"/>
    <mergeCell ref="AF25:AH25"/>
    <mergeCell ref="AI25:AK25"/>
    <mergeCell ref="AL25:AN25"/>
    <mergeCell ref="AO25:AQ25"/>
    <mergeCell ref="AF26:AH26"/>
    <mergeCell ref="AI26:AK26"/>
    <mergeCell ref="AL26:AN26"/>
    <mergeCell ref="AO26:AQ26"/>
    <mergeCell ref="AR26:AT26"/>
    <mergeCell ref="CG25:CI25"/>
    <mergeCell ref="CJ25:CL25"/>
    <mergeCell ref="CM25:CO25"/>
    <mergeCell ref="CP25:CR25"/>
    <mergeCell ref="CG30:CI30"/>
    <mergeCell ref="CJ30:CL30"/>
    <mergeCell ref="CM30:CO30"/>
    <mergeCell ref="CP30:CR30"/>
    <mergeCell ref="CS30:CU30"/>
    <mergeCell ref="CS25:CU25"/>
    <mergeCell ref="CG26:CI26"/>
    <mergeCell ref="CJ26:CL26"/>
    <mergeCell ref="CM26:CO26"/>
    <mergeCell ref="CP26:CR26"/>
    <mergeCell ref="CS26:CU26"/>
    <mergeCell ref="CG29:CI29"/>
    <mergeCell ref="CJ29:CL29"/>
    <mergeCell ref="CM29:CO29"/>
    <mergeCell ref="CP29:CR29"/>
    <mergeCell ref="CS29:CU29"/>
  </mergeCells>
  <phoneticPr fontId="171"/>
  <conditionalFormatting sqref="AQ40:AR40 AM45:AM47">
    <cfRule type="cellIs" dxfId="379" priority="95" stopIfTrue="1" operator="equal">
      <formula>0</formula>
    </cfRule>
  </conditionalFormatting>
  <conditionalFormatting sqref="X45:X47 AA45:AD47 AI45:AJ47 AF45:AG47 AL45:AM47 AP45:AQ47">
    <cfRule type="cellIs" dxfId="378" priority="93" stopIfTrue="1" operator="between">
      <formula>0</formula>
      <formula>0</formula>
    </cfRule>
  </conditionalFormatting>
  <conditionalFormatting sqref="AQ45:AQ47">
    <cfRule type="cellIs" dxfId="377" priority="92" stopIfTrue="1" operator="equal">
      <formula>0</formula>
    </cfRule>
  </conditionalFormatting>
  <conditionalFormatting sqref="AV41:AZ41">
    <cfRule type="cellIs" dxfId="376" priority="91" stopIfTrue="1" operator="between">
      <formula>0</formula>
      <formula>0</formula>
    </cfRule>
  </conditionalFormatting>
  <conditionalFormatting sqref="AV41:AW41">
    <cfRule type="cellIs" dxfId="375" priority="89" stopIfTrue="1" operator="equal">
      <formula>0</formula>
    </cfRule>
  </conditionalFormatting>
  <conditionalFormatting sqref="AV41:AZ41">
    <cfRule type="cellIs" dxfId="374" priority="88" stopIfTrue="1" operator="between">
      <formula>0</formula>
      <formula>0</formula>
    </cfRule>
  </conditionalFormatting>
  <conditionalFormatting sqref="AV41:AW41">
    <cfRule type="cellIs" dxfId="373" priority="86" stopIfTrue="1" operator="equal">
      <formula>0</formula>
    </cfRule>
  </conditionalFormatting>
  <conditionalFormatting sqref="T22">
    <cfRule type="cellIs" dxfId="372" priority="84" stopIfTrue="1" operator="between">
      <formula>0</formula>
      <formula>0</formula>
    </cfRule>
  </conditionalFormatting>
  <conditionalFormatting sqref="BZ40:CG40 CI40:CJ40 CL40:CM40 CO40:CP40 CR40:CU40">
    <cfRule type="cellIs" dxfId="371" priority="83" stopIfTrue="1" operator="between">
      <formula>0</formula>
      <formula>0</formula>
    </cfRule>
  </conditionalFormatting>
  <conditionalFormatting sqref="CP40:CQ40">
    <cfRule type="cellIs" dxfId="370" priority="82" stopIfTrue="1" operator="equal">
      <formula>0</formula>
    </cfRule>
  </conditionalFormatting>
  <conditionalFormatting sqref="CS40:CT40">
    <cfRule type="cellIs" dxfId="369" priority="81" stopIfTrue="1" operator="equal">
      <formula>0</formula>
    </cfRule>
  </conditionalFormatting>
  <conditionalFormatting sqref="J45:S45 J46:P46 R46">
    <cfRule type="cellIs" dxfId="368" priority="80" stopIfTrue="1" operator="equal">
      <formula>0</formula>
    </cfRule>
  </conditionalFormatting>
  <conditionalFormatting sqref="J37:S37">
    <cfRule type="cellIs" dxfId="367" priority="79" stopIfTrue="1" operator="equal">
      <formula>0</formula>
    </cfRule>
  </conditionalFormatting>
  <conditionalFormatting sqref="S10">
    <cfRule type="expression" dxfId="366" priority="78" stopIfTrue="1">
      <formula>OR(U10=TRUE)</formula>
    </cfRule>
  </conditionalFormatting>
  <conditionalFormatting sqref="T10">
    <cfRule type="expression" dxfId="365" priority="77" stopIfTrue="1">
      <formula>OR(V10=TRUE)</formula>
    </cfRule>
  </conditionalFormatting>
  <conditionalFormatting sqref="S11">
    <cfRule type="expression" dxfId="364" priority="76" stopIfTrue="1">
      <formula>OR($U$11=TRUE)</formula>
    </cfRule>
  </conditionalFormatting>
  <conditionalFormatting sqref="T11">
    <cfRule type="expression" dxfId="363" priority="75" stopIfTrue="1">
      <formula>OR($V$11=TRUE)</formula>
    </cfRule>
  </conditionalFormatting>
  <conditionalFormatting sqref="S12">
    <cfRule type="expression" dxfId="362" priority="74" stopIfTrue="1">
      <formula>OR($U$12=TRUE)</formula>
    </cfRule>
  </conditionalFormatting>
  <conditionalFormatting sqref="T12">
    <cfRule type="expression" dxfId="361" priority="73" stopIfTrue="1">
      <formula>OR($V$12=TRUE)</formula>
    </cfRule>
  </conditionalFormatting>
  <conditionalFormatting sqref="S13">
    <cfRule type="expression" dxfId="360" priority="72" stopIfTrue="1">
      <formula>OR($U$13=TRUE)</formula>
    </cfRule>
  </conditionalFormatting>
  <conditionalFormatting sqref="T13">
    <cfRule type="expression" dxfId="359" priority="71" stopIfTrue="1">
      <formula>OR($V$13=TRUE)</formula>
    </cfRule>
  </conditionalFormatting>
  <conditionalFormatting sqref="S14">
    <cfRule type="expression" dxfId="358" priority="70" stopIfTrue="1">
      <formula>OR($U$14=TRUE)</formula>
    </cfRule>
  </conditionalFormatting>
  <conditionalFormatting sqref="T14">
    <cfRule type="expression" dxfId="357" priority="69" stopIfTrue="1">
      <formula>OR($V$14=TRUE)</formula>
    </cfRule>
  </conditionalFormatting>
  <conditionalFormatting sqref="S15">
    <cfRule type="expression" dxfId="356" priority="68" stopIfTrue="1">
      <formula>OR($U$15=TRUE)</formula>
    </cfRule>
  </conditionalFormatting>
  <conditionalFormatting sqref="T15">
    <cfRule type="expression" dxfId="355" priority="67" stopIfTrue="1">
      <formula>OR($V$15=TRUE)</formula>
    </cfRule>
  </conditionalFormatting>
  <conditionalFormatting sqref="S16">
    <cfRule type="expression" dxfId="354" priority="66" stopIfTrue="1">
      <formula>OR($U$16=TRUE)</formula>
    </cfRule>
  </conditionalFormatting>
  <conditionalFormatting sqref="T16">
    <cfRule type="expression" dxfId="353" priority="65" stopIfTrue="1">
      <formula>OR($V$16=TRUE)</formula>
    </cfRule>
  </conditionalFormatting>
  <conditionalFormatting sqref="J29:S29">
    <cfRule type="cellIs" dxfId="352" priority="64" stopIfTrue="1" operator="equal">
      <formula>0</formula>
    </cfRule>
  </conditionalFormatting>
  <conditionalFormatting sqref="AF39:AU39 AX39">
    <cfRule type="cellIs" dxfId="351" priority="58" stopIfTrue="1" operator="equal">
      <formula>0</formula>
    </cfRule>
  </conditionalFormatting>
  <conditionalFormatting sqref="BU22">
    <cfRule type="cellIs" dxfId="350" priority="55" stopIfTrue="1" operator="between">
      <formula>0</formula>
      <formula>0</formula>
    </cfRule>
  </conditionalFormatting>
  <conditionalFormatting sqref="BK45:BT45 BK46:BQ46 BS46">
    <cfRule type="cellIs" dxfId="349" priority="54" stopIfTrue="1" operator="equal">
      <formula>0</formula>
    </cfRule>
  </conditionalFormatting>
  <conditionalFormatting sqref="BK37:BT37">
    <cfRule type="cellIs" dxfId="348" priority="53" stopIfTrue="1" operator="equal">
      <formula>0</formula>
    </cfRule>
  </conditionalFormatting>
  <conditionalFormatting sqref="BK29:BT29">
    <cfRule type="cellIs" dxfId="347" priority="52" stopIfTrue="1" operator="equal">
      <formula>0</formula>
    </cfRule>
  </conditionalFormatting>
  <conditionalFormatting sqref="CG21:CX21">
    <cfRule type="cellIs" dxfId="346" priority="51" stopIfTrue="1" operator="equal">
      <formula>0</formula>
    </cfRule>
  </conditionalFormatting>
  <conditionalFormatting sqref="CM35 CJ35">
    <cfRule type="cellIs" dxfId="345" priority="50" stopIfTrue="1" operator="between">
      <formula>0</formula>
      <formula>0</formula>
    </cfRule>
  </conditionalFormatting>
  <conditionalFormatting sqref="CG38:CW38">
    <cfRule type="cellIs" dxfId="344" priority="48" stopIfTrue="1" operator="equal">
      <formula>0</formula>
    </cfRule>
  </conditionalFormatting>
  <conditionalFormatting sqref="CG21:CU21">
    <cfRule type="cellIs" dxfId="343" priority="47" stopIfTrue="1" operator="equal">
      <formula>0</formula>
    </cfRule>
  </conditionalFormatting>
  <conditionalFormatting sqref="CG35 CP35 CS35">
    <cfRule type="cellIs" dxfId="342" priority="46" stopIfTrue="1" operator="between">
      <formula>0</formula>
      <formula>0</formula>
    </cfRule>
  </conditionalFormatting>
  <conditionalFormatting sqref="CG36:CW36">
    <cfRule type="cellIs" dxfId="341" priority="45" stopIfTrue="1" operator="equal">
      <formula>0</formula>
    </cfRule>
  </conditionalFormatting>
  <conditionalFormatting sqref="CG39:CW39">
    <cfRule type="cellIs" dxfId="340" priority="44" stopIfTrue="1" operator="equal">
      <formula>0</formula>
    </cfRule>
  </conditionalFormatting>
  <conditionalFormatting sqref="CG37:CW37">
    <cfRule type="cellIs" dxfId="339" priority="43" operator="equal">
      <formula>0</formula>
    </cfRule>
  </conditionalFormatting>
  <conditionalFormatting sqref="CV35:CW35">
    <cfRule type="cellIs" dxfId="338" priority="42" operator="equal">
      <formula>0</formula>
    </cfRule>
  </conditionalFormatting>
  <conditionalFormatting sqref="CN43:CN47">
    <cfRule type="cellIs" dxfId="337" priority="41" stopIfTrue="1" operator="equal">
      <formula>0</formula>
    </cfRule>
  </conditionalFormatting>
  <conditionalFormatting sqref="CH42 BY42:BY47 CB42:CB47 CC43:CD47 CE42:CE47 CJ43:CK47 CG43:CH47 CN42 CM43:CN47 CR44:CR47 CQ43:CQ47">
    <cfRule type="cellIs" dxfId="336" priority="40" stopIfTrue="1" operator="between">
      <formula>0</formula>
      <formula>0</formula>
    </cfRule>
  </conditionalFormatting>
  <conditionalFormatting sqref="CR43:CR47">
    <cfRule type="cellIs" dxfId="335" priority="39" stopIfTrue="1" operator="equal">
      <formula>0</formula>
    </cfRule>
  </conditionalFormatting>
  <conditionalFormatting sqref="CT41:CW41 CI41:CL41 CN41:CO41 CQ41:CR41 BZ41:CG41">
    <cfRule type="cellIs" dxfId="334" priority="38" stopIfTrue="1" operator="between">
      <formula>0</formula>
      <formula>0</formula>
    </cfRule>
  </conditionalFormatting>
  <conditionalFormatting sqref="CR41:CS41">
    <cfRule type="cellIs" dxfId="333" priority="37" stopIfTrue="1" operator="equal">
      <formula>0</formula>
    </cfRule>
  </conditionalFormatting>
  <conditionalFormatting sqref="CU41:CV41">
    <cfRule type="cellIs" dxfId="332" priority="36" stopIfTrue="1" operator="equal">
      <formula>0</formula>
    </cfRule>
  </conditionalFormatting>
  <conditionalFormatting sqref="BZ41:CG41 CI41:CL41 CN41:CO41 CQ41:CR41 CT41:CW41">
    <cfRule type="cellIs" dxfId="331" priority="35" stopIfTrue="1" operator="between">
      <formula>0</formula>
      <formula>0</formula>
    </cfRule>
  </conditionalFormatting>
  <conditionalFormatting sqref="CR41:CS41">
    <cfRule type="cellIs" dxfId="330" priority="34" stopIfTrue="1" operator="equal">
      <formula>0</formula>
    </cfRule>
  </conditionalFormatting>
  <conditionalFormatting sqref="CU41:CV41">
    <cfRule type="cellIs" dxfId="329" priority="33" stopIfTrue="1" operator="equal">
      <formula>0</formula>
    </cfRule>
  </conditionalFormatting>
  <conditionalFormatting sqref="CK42">
    <cfRule type="cellIs" dxfId="328" priority="32" stopIfTrue="1" operator="between">
      <formula>0</formula>
      <formula>0</formula>
    </cfRule>
  </conditionalFormatting>
  <conditionalFormatting sqref="J23:S26">
    <cfRule type="containsBlanks" dxfId="327" priority="96">
      <formula>LEN(TRIM(J23))=0</formula>
    </cfRule>
  </conditionalFormatting>
  <conditionalFormatting sqref="J30:S33 J38:S41">
    <cfRule type="containsBlanks" dxfId="326" priority="97">
      <formula>LEN(TRIM(J30))=0</formula>
    </cfRule>
  </conditionalFormatting>
  <conditionalFormatting sqref="G10:Q16">
    <cfRule type="containsBlanks" dxfId="325" priority="98">
      <formula>LEN(TRIM(G10))=0</formula>
    </cfRule>
  </conditionalFormatting>
  <conditionalFormatting sqref="AF21:AU21 AX21 BA21">
    <cfRule type="cellIs" dxfId="324" priority="29" stopIfTrue="1" operator="equal">
      <formula>0</formula>
    </cfRule>
  </conditionalFormatting>
  <conditionalFormatting sqref="AF21:AT21">
    <cfRule type="cellIs" dxfId="323" priority="26" stopIfTrue="1" operator="equal">
      <formula>0</formula>
    </cfRule>
  </conditionalFormatting>
  <conditionalFormatting sqref="AF5:AU20 AX5:AX20">
    <cfRule type="containsBlanks" dxfId="322" priority="30">
      <formula>LEN(TRIM(AF5))=0</formula>
    </cfRule>
  </conditionalFormatting>
  <conditionalFormatting sqref="CF23:CF24">
    <cfRule type="cellIs" dxfId="321" priority="14" stopIfTrue="1" operator="between">
      <formula>0</formula>
      <formula>0</formula>
    </cfRule>
  </conditionalFormatting>
  <conditionalFormatting sqref="AE23:AE24">
    <cfRule type="cellIs" dxfId="320" priority="12" stopIfTrue="1" operator="between">
      <formula>0</formula>
      <formula>0</formula>
    </cfRule>
  </conditionalFormatting>
  <conditionalFormatting sqref="AF38:AU38 AX38:AZ38">
    <cfRule type="cellIs" dxfId="319" priority="11" stopIfTrue="1" operator="equal">
      <formula>0</formula>
    </cfRule>
  </conditionalFormatting>
  <conditionalFormatting sqref="AF35 AI35 AL35 AO35 AR35">
    <cfRule type="cellIs" dxfId="318" priority="10" stopIfTrue="1" operator="between">
      <formula>0</formula>
      <formula>0</formula>
    </cfRule>
  </conditionalFormatting>
  <conditionalFormatting sqref="AF36:AU36 AX36">
    <cfRule type="cellIs" dxfId="317" priority="9" stopIfTrue="1" operator="equal">
      <formula>0</formula>
    </cfRule>
  </conditionalFormatting>
  <conditionalFormatting sqref="AF37:AU37 AX37">
    <cfRule type="cellIs" dxfId="316" priority="8" operator="equal">
      <formula>0</formula>
    </cfRule>
  </conditionalFormatting>
  <conditionalFormatting sqref="AU35 AX35">
    <cfRule type="cellIs" dxfId="315" priority="7" operator="equal">
      <formula>0</formula>
    </cfRule>
  </conditionalFormatting>
  <conditionalFormatting sqref="AF24:AT24 AF25:AF30 AI25:AI30 AL25:AL30 AO25:AO30 AR25:AR30 AF22:AU23 AU24:AU30 AF31:AU34 AX22:AX34">
    <cfRule type="containsBlanks" dxfId="314" priority="13">
      <formula>LEN(TRIM(AF22))=0</formula>
    </cfRule>
  </conditionalFormatting>
  <conditionalFormatting sqref="X42:X44 AD42:AD43 AG42:AG43 AM42:AM43 AP42:AP43 AC44:AQ44">
    <cfRule type="cellIs" dxfId="313" priority="4" stopIfTrue="1" operator="between">
      <formula>0</formula>
      <formula>0</formula>
    </cfRule>
  </conditionalFormatting>
  <conditionalFormatting sqref="Y42 AC41:AC42 AF41:AF42 AI41:AI42 AL41:AL42 AO41:AO42 AR41:AR42">
    <cfRule type="cellIs" dxfId="312" priority="3" stopIfTrue="1" operator="between">
      <formula>0</formula>
      <formula>0</formula>
    </cfRule>
  </conditionalFormatting>
  <conditionalFormatting sqref="Y42 AC41:AC42 AF41:AF42 AI41:AI42 AL41:AL42 AO41:AO42 AR41:AR42">
    <cfRule type="cellIs" dxfId="311" priority="2" stopIfTrue="1" operator="between">
      <formula>0</formula>
      <formula>0</formula>
    </cfRule>
  </conditionalFormatting>
  <conditionalFormatting sqref="AJ42:AJ43">
    <cfRule type="cellIs" dxfId="310" priority="1" stopIfTrue="1" operator="between">
      <formula>0</formula>
      <formula>0</formula>
    </cfRule>
  </conditionalFormatting>
  <dataValidations count="17">
    <dataValidation type="list" allowBlank="1" showInputMessage="1" showErrorMessage="1" sqref="Y23:AC24 BZ23:CD24" xr:uid="{E8C02B6A-E2B6-4AA8-B37F-C8AA8232DF3B}">
      <formula1>$DE$3:$DE$14</formula1>
    </dataValidation>
    <dataValidation type="list" allowBlank="1" showInputMessage="1" showErrorMessage="1" sqref="Y72:AC73" xr:uid="{7194F2D5-C8C5-4F9D-8B16-1DDE727B5B5F}">
      <formula1>$DE$3:$DE$15</formula1>
    </dataValidation>
    <dataValidation type="whole" operator="lessThanOrEqual" allowBlank="1" showInputMessage="1" showErrorMessage="1" errorTitle="引率者割引の人数が多すぎます！！" error="引率割引は、全生徒数の20％（小数点以下切り捨て）までとなっております。残りは、一般料金区分となりますので、【利用者名簿】と【本紙】を修正してください。" sqref="J31:K31" xr:uid="{49472BF1-34C8-4AD0-9B9B-0A6E23C55AB8}">
      <formula1>I30*0.2</formula1>
    </dataValidation>
    <dataValidation type="list" allowBlank="1" showInputMessage="1" showErrorMessage="1" prompt="団体利用者の中で、小・中学生以上の人数が２０名を超える場合【団体】を選択してください" sqref="C71:G72" xr:uid="{5CCEC3AA-78F7-4498-A700-D3C585BA8188}">
      <formula1>#REF!</formula1>
    </dataValidation>
    <dataValidation allowBlank="1" showErrorMessage="1" prompt="団体利用者の中で、小・中学生以上の人数が２０名を超える場合【団体】を選択してください" sqref="C24:G25 BD24:BH25" xr:uid="{9195C56F-543B-40EC-9B31-FE3B03CC3070}"/>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J39:S39 BK39:BT39" xr:uid="{3A8B6AEB-916B-4779-8264-844932BA8DFD}">
      <formula1>$I$38*0.2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R31:S31 BS31:BT31" xr:uid="{9DBDEEF9-371A-4BB0-8EB9-E8BF0E4CF27E}">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P31:Q31 BQ31:BR31" xr:uid="{D4BB4DDA-11C8-4EB1-8020-FA8CADF20B1B}">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O31 BP31" xr:uid="{EB1C4066-3A79-4684-B373-6CCE4E2C16D9}">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N31 BO31" xr:uid="{12BA1B0F-55D1-48EB-91A0-DDA3503AA0F9}">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M31 BN31" xr:uid="{4792002A-0EF3-4CA4-BFAE-6E44C4B37628}">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L31 BM31" xr:uid="{94F77D75-0F9C-4BE3-A88F-E2DDE5F7C973}">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K31:BL31" xr:uid="{7968541D-326A-4AC0-9D9C-64E21068D0D6}">
      <formula1>BJ30*0.2</formula1>
    </dataValidation>
    <dataValidation type="custom" allowBlank="1" showInputMessage="1" showErrorMessage="1" sqref="CB5:CD5 AA5:AC5" xr:uid="{14F71A6C-8DE2-402D-9C1D-EE1B33D9571D}">
      <formula1>I30*0.2&gt;J31+L31+M31+N31+O31+P31+R31</formula1>
    </dataValidation>
    <dataValidation type="whole" operator="equal" allowBlank="1" showInputMessage="1" showErrorMessage="1" errorTitle="引率割引適用者の人数が多すぎます！" error="引率割引の適応は生徒数の２０％までとなっております。【利用者名簿】を修正してください。" sqref="V31" xr:uid="{74B00E65-AD3B-484C-A876-78900DA51DEE}">
      <formula1>0</formula1>
    </dataValidation>
    <dataValidation type="list" allowBlank="1" showInputMessage="1" showErrorMessage="1" sqref="AD80" xr:uid="{B0565D49-E357-4A9F-915B-C2C09F2F0235}">
      <formula1>$CZ$12:$CZ$13</formula1>
    </dataValidation>
    <dataValidation type="list" allowBlank="1" showInputMessage="1" showErrorMessage="1" sqref="C73:G74 BD27:BH27 C27:G27" xr:uid="{F003C0BC-5C75-4329-A7B8-B5EC1AC79C9C}">
      <formula1>$DE$25:$DE$27</formula1>
    </dataValidation>
  </dataValidations>
  <printOptions horizontalCentered="1" verticalCentered="1"/>
  <pageMargins left="0.39370078740157483" right="0.39370078740157483" top="0.39370078740157483" bottom="0.39370078740157483" header="0" footer="0"/>
  <pageSetup paperSize="9" scale="39" fitToWidth="0" orientation="landscape" r:id="rId1"/>
  <headerFooter>
    <oddFooter>&amp;R&amp;D &amp;T</oddFooter>
  </headerFooter>
  <colBreaks count="1" manualBreakCount="1">
    <brk id="5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18</xdr:col>
                    <xdr:colOff>47625</xdr:colOff>
                    <xdr:row>9</xdr:row>
                    <xdr:rowOff>19050</xdr:rowOff>
                  </from>
                  <to>
                    <xdr:col>18</xdr:col>
                    <xdr:colOff>361950</xdr:colOff>
                    <xdr:row>10</xdr:row>
                    <xdr:rowOff>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18</xdr:col>
                    <xdr:colOff>47625</xdr:colOff>
                    <xdr:row>10</xdr:row>
                    <xdr:rowOff>19050</xdr:rowOff>
                  </from>
                  <to>
                    <xdr:col>18</xdr:col>
                    <xdr:colOff>361950</xdr:colOff>
                    <xdr:row>11</xdr:row>
                    <xdr:rowOff>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18</xdr:col>
                    <xdr:colOff>47625</xdr:colOff>
                    <xdr:row>11</xdr:row>
                    <xdr:rowOff>19050</xdr:rowOff>
                  </from>
                  <to>
                    <xdr:col>18</xdr:col>
                    <xdr:colOff>361950</xdr:colOff>
                    <xdr:row>12</xdr:row>
                    <xdr:rowOff>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18</xdr:col>
                    <xdr:colOff>47625</xdr:colOff>
                    <xdr:row>12</xdr:row>
                    <xdr:rowOff>19050</xdr:rowOff>
                  </from>
                  <to>
                    <xdr:col>18</xdr:col>
                    <xdr:colOff>361950</xdr:colOff>
                    <xdr:row>13</xdr:row>
                    <xdr:rowOff>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18</xdr:col>
                    <xdr:colOff>47625</xdr:colOff>
                    <xdr:row>13</xdr:row>
                    <xdr:rowOff>19050</xdr:rowOff>
                  </from>
                  <to>
                    <xdr:col>18</xdr:col>
                    <xdr:colOff>361950</xdr:colOff>
                    <xdr:row>14</xdr:row>
                    <xdr:rowOff>0</xdr:rowOff>
                  </to>
                </anchor>
              </controlPr>
            </control>
          </mc:Choice>
        </mc:AlternateContent>
        <mc:AlternateContent xmlns:mc="http://schemas.openxmlformats.org/markup-compatibility/2006">
          <mc:Choice Requires="x14">
            <control shapeId="45062" r:id="rId9" name="Check Box 6">
              <controlPr locked="0" defaultSize="0" autoFill="0" autoLine="0" autoPict="0">
                <anchor moveWithCells="1">
                  <from>
                    <xdr:col>19</xdr:col>
                    <xdr:colOff>47625</xdr:colOff>
                    <xdr:row>9</xdr:row>
                    <xdr:rowOff>19050</xdr:rowOff>
                  </from>
                  <to>
                    <xdr:col>19</xdr:col>
                    <xdr:colOff>361950</xdr:colOff>
                    <xdr:row>10</xdr:row>
                    <xdr:rowOff>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19</xdr:col>
                    <xdr:colOff>47625</xdr:colOff>
                    <xdr:row>10</xdr:row>
                    <xdr:rowOff>19050</xdr:rowOff>
                  </from>
                  <to>
                    <xdr:col>19</xdr:col>
                    <xdr:colOff>361950</xdr:colOff>
                    <xdr:row>11</xdr:row>
                    <xdr:rowOff>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19</xdr:col>
                    <xdr:colOff>47625</xdr:colOff>
                    <xdr:row>11</xdr:row>
                    <xdr:rowOff>19050</xdr:rowOff>
                  </from>
                  <to>
                    <xdr:col>19</xdr:col>
                    <xdr:colOff>361950</xdr:colOff>
                    <xdr:row>12</xdr:row>
                    <xdr:rowOff>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19</xdr:col>
                    <xdr:colOff>47625</xdr:colOff>
                    <xdr:row>12</xdr:row>
                    <xdr:rowOff>19050</xdr:rowOff>
                  </from>
                  <to>
                    <xdr:col>19</xdr:col>
                    <xdr:colOff>361950</xdr:colOff>
                    <xdr:row>13</xdr:row>
                    <xdr:rowOff>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19</xdr:col>
                    <xdr:colOff>47625</xdr:colOff>
                    <xdr:row>13</xdr:row>
                    <xdr:rowOff>19050</xdr:rowOff>
                  </from>
                  <to>
                    <xdr:col>19</xdr:col>
                    <xdr:colOff>361950</xdr:colOff>
                    <xdr:row>14</xdr:row>
                    <xdr:rowOff>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18</xdr:col>
                    <xdr:colOff>47625</xdr:colOff>
                    <xdr:row>13</xdr:row>
                    <xdr:rowOff>19050</xdr:rowOff>
                  </from>
                  <to>
                    <xdr:col>18</xdr:col>
                    <xdr:colOff>361950</xdr:colOff>
                    <xdr:row>14</xdr:row>
                    <xdr:rowOff>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18</xdr:col>
                    <xdr:colOff>47625</xdr:colOff>
                    <xdr:row>14</xdr:row>
                    <xdr:rowOff>19050</xdr:rowOff>
                  </from>
                  <to>
                    <xdr:col>18</xdr:col>
                    <xdr:colOff>361950</xdr:colOff>
                    <xdr:row>15</xdr:row>
                    <xdr:rowOff>0</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18</xdr:col>
                    <xdr:colOff>47625</xdr:colOff>
                    <xdr:row>15</xdr:row>
                    <xdr:rowOff>19050</xdr:rowOff>
                  </from>
                  <to>
                    <xdr:col>18</xdr:col>
                    <xdr:colOff>361950</xdr:colOff>
                    <xdr:row>16</xdr:row>
                    <xdr:rowOff>0</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19</xdr:col>
                    <xdr:colOff>47625</xdr:colOff>
                    <xdr:row>13</xdr:row>
                    <xdr:rowOff>19050</xdr:rowOff>
                  </from>
                  <to>
                    <xdr:col>19</xdr:col>
                    <xdr:colOff>361950</xdr:colOff>
                    <xdr:row>14</xdr:row>
                    <xdr:rowOff>0</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19</xdr:col>
                    <xdr:colOff>47625</xdr:colOff>
                    <xdr:row>14</xdr:row>
                    <xdr:rowOff>19050</xdr:rowOff>
                  </from>
                  <to>
                    <xdr:col>19</xdr:col>
                    <xdr:colOff>361950</xdr:colOff>
                    <xdr:row>15</xdr:row>
                    <xdr:rowOff>0</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19</xdr:col>
                    <xdr:colOff>47625</xdr:colOff>
                    <xdr:row>15</xdr:row>
                    <xdr:rowOff>19050</xdr:rowOff>
                  </from>
                  <to>
                    <xdr:col>19</xdr:col>
                    <xdr:colOff>361950</xdr:colOff>
                    <xdr:row>16</xdr:row>
                    <xdr:rowOff>0</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71</xdr:col>
                    <xdr:colOff>47625</xdr:colOff>
                    <xdr:row>9</xdr:row>
                    <xdr:rowOff>47625</xdr:rowOff>
                  </from>
                  <to>
                    <xdr:col>71</xdr:col>
                    <xdr:colOff>304800</xdr:colOff>
                    <xdr:row>9</xdr:row>
                    <xdr:rowOff>333375</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71</xdr:col>
                    <xdr:colOff>47625</xdr:colOff>
                    <xdr:row>10</xdr:row>
                    <xdr:rowOff>47625</xdr:rowOff>
                  </from>
                  <to>
                    <xdr:col>71</xdr:col>
                    <xdr:colOff>304800</xdr:colOff>
                    <xdr:row>10</xdr:row>
                    <xdr:rowOff>333375</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71</xdr:col>
                    <xdr:colOff>47625</xdr:colOff>
                    <xdr:row>11</xdr:row>
                    <xdr:rowOff>47625</xdr:rowOff>
                  </from>
                  <to>
                    <xdr:col>71</xdr:col>
                    <xdr:colOff>304800</xdr:colOff>
                    <xdr:row>11</xdr:row>
                    <xdr:rowOff>333375</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71</xdr:col>
                    <xdr:colOff>47625</xdr:colOff>
                    <xdr:row>12</xdr:row>
                    <xdr:rowOff>47625</xdr:rowOff>
                  </from>
                  <to>
                    <xdr:col>71</xdr:col>
                    <xdr:colOff>304800</xdr:colOff>
                    <xdr:row>12</xdr:row>
                    <xdr:rowOff>333375</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71</xdr:col>
                    <xdr:colOff>47625</xdr:colOff>
                    <xdr:row>13</xdr:row>
                    <xdr:rowOff>47625</xdr:rowOff>
                  </from>
                  <to>
                    <xdr:col>71</xdr:col>
                    <xdr:colOff>304800</xdr:colOff>
                    <xdr:row>13</xdr:row>
                    <xdr:rowOff>333375</xdr:rowOff>
                  </to>
                </anchor>
              </controlPr>
            </control>
          </mc:Choice>
        </mc:AlternateContent>
        <mc:AlternateContent xmlns:mc="http://schemas.openxmlformats.org/markup-compatibility/2006">
          <mc:Choice Requires="x14">
            <control shapeId="45078" r:id="rId25" name="Check Box 22">
              <controlPr defaultSize="0" autoFill="0" autoLine="0" autoPict="0">
                <anchor moveWithCells="1">
                  <from>
                    <xdr:col>71</xdr:col>
                    <xdr:colOff>47625</xdr:colOff>
                    <xdr:row>14</xdr:row>
                    <xdr:rowOff>47625</xdr:rowOff>
                  </from>
                  <to>
                    <xdr:col>71</xdr:col>
                    <xdr:colOff>304800</xdr:colOff>
                    <xdr:row>14</xdr:row>
                    <xdr:rowOff>333375</xdr:rowOff>
                  </to>
                </anchor>
              </controlPr>
            </control>
          </mc:Choice>
        </mc:AlternateContent>
        <mc:AlternateContent xmlns:mc="http://schemas.openxmlformats.org/markup-compatibility/2006">
          <mc:Choice Requires="x14">
            <control shapeId="45079" r:id="rId26" name="Check Box 23">
              <controlPr defaultSize="0" autoFill="0" autoLine="0" autoPict="0">
                <anchor moveWithCells="1">
                  <from>
                    <xdr:col>71</xdr:col>
                    <xdr:colOff>47625</xdr:colOff>
                    <xdr:row>15</xdr:row>
                    <xdr:rowOff>47625</xdr:rowOff>
                  </from>
                  <to>
                    <xdr:col>71</xdr:col>
                    <xdr:colOff>304800</xdr:colOff>
                    <xdr:row>15</xdr:row>
                    <xdr:rowOff>333375</xdr:rowOff>
                  </to>
                </anchor>
              </controlPr>
            </control>
          </mc:Choice>
        </mc:AlternateContent>
        <mc:AlternateContent xmlns:mc="http://schemas.openxmlformats.org/markup-compatibility/2006">
          <mc:Choice Requires="x14">
            <control shapeId="45080" r:id="rId27" name="Check Box 24">
              <controlPr defaultSize="0" autoFill="0" autoLine="0" autoPict="0">
                <anchor moveWithCells="1">
                  <from>
                    <xdr:col>72</xdr:col>
                    <xdr:colOff>28575</xdr:colOff>
                    <xdr:row>9</xdr:row>
                    <xdr:rowOff>66675</xdr:rowOff>
                  </from>
                  <to>
                    <xdr:col>72</xdr:col>
                    <xdr:colOff>314325</xdr:colOff>
                    <xdr:row>9</xdr:row>
                    <xdr:rowOff>304800</xdr:rowOff>
                  </to>
                </anchor>
              </controlPr>
            </control>
          </mc:Choice>
        </mc:AlternateContent>
        <mc:AlternateContent xmlns:mc="http://schemas.openxmlformats.org/markup-compatibility/2006">
          <mc:Choice Requires="x14">
            <control shapeId="45081" r:id="rId28" name="Check Box 25">
              <controlPr defaultSize="0" autoFill="0" autoLine="0" autoPict="0">
                <anchor moveWithCells="1">
                  <from>
                    <xdr:col>72</xdr:col>
                    <xdr:colOff>28575</xdr:colOff>
                    <xdr:row>10</xdr:row>
                    <xdr:rowOff>66675</xdr:rowOff>
                  </from>
                  <to>
                    <xdr:col>72</xdr:col>
                    <xdr:colOff>314325</xdr:colOff>
                    <xdr:row>10</xdr:row>
                    <xdr:rowOff>304800</xdr:rowOff>
                  </to>
                </anchor>
              </controlPr>
            </control>
          </mc:Choice>
        </mc:AlternateContent>
        <mc:AlternateContent xmlns:mc="http://schemas.openxmlformats.org/markup-compatibility/2006">
          <mc:Choice Requires="x14">
            <control shapeId="45082" r:id="rId29" name="Check Box 26">
              <controlPr defaultSize="0" autoFill="0" autoLine="0" autoPict="0">
                <anchor moveWithCells="1">
                  <from>
                    <xdr:col>72</xdr:col>
                    <xdr:colOff>28575</xdr:colOff>
                    <xdr:row>11</xdr:row>
                    <xdr:rowOff>66675</xdr:rowOff>
                  </from>
                  <to>
                    <xdr:col>72</xdr:col>
                    <xdr:colOff>314325</xdr:colOff>
                    <xdr:row>11</xdr:row>
                    <xdr:rowOff>304800</xdr:rowOff>
                  </to>
                </anchor>
              </controlPr>
            </control>
          </mc:Choice>
        </mc:AlternateContent>
        <mc:AlternateContent xmlns:mc="http://schemas.openxmlformats.org/markup-compatibility/2006">
          <mc:Choice Requires="x14">
            <control shapeId="45083" r:id="rId30" name="Check Box 27">
              <controlPr defaultSize="0" autoFill="0" autoLine="0" autoPict="0">
                <anchor moveWithCells="1">
                  <from>
                    <xdr:col>72</xdr:col>
                    <xdr:colOff>28575</xdr:colOff>
                    <xdr:row>12</xdr:row>
                    <xdr:rowOff>66675</xdr:rowOff>
                  </from>
                  <to>
                    <xdr:col>72</xdr:col>
                    <xdr:colOff>314325</xdr:colOff>
                    <xdr:row>12</xdr:row>
                    <xdr:rowOff>304800</xdr:rowOff>
                  </to>
                </anchor>
              </controlPr>
            </control>
          </mc:Choice>
        </mc:AlternateContent>
        <mc:AlternateContent xmlns:mc="http://schemas.openxmlformats.org/markup-compatibility/2006">
          <mc:Choice Requires="x14">
            <control shapeId="45084" r:id="rId31" name="Check Box 28">
              <controlPr defaultSize="0" autoFill="0" autoLine="0" autoPict="0">
                <anchor moveWithCells="1">
                  <from>
                    <xdr:col>72</xdr:col>
                    <xdr:colOff>28575</xdr:colOff>
                    <xdr:row>13</xdr:row>
                    <xdr:rowOff>66675</xdr:rowOff>
                  </from>
                  <to>
                    <xdr:col>72</xdr:col>
                    <xdr:colOff>314325</xdr:colOff>
                    <xdr:row>13</xdr:row>
                    <xdr:rowOff>304800</xdr:rowOff>
                  </to>
                </anchor>
              </controlPr>
            </control>
          </mc:Choice>
        </mc:AlternateContent>
        <mc:AlternateContent xmlns:mc="http://schemas.openxmlformats.org/markup-compatibility/2006">
          <mc:Choice Requires="x14">
            <control shapeId="45085" r:id="rId32" name="Check Box 29">
              <controlPr defaultSize="0" autoFill="0" autoLine="0" autoPict="0">
                <anchor moveWithCells="1">
                  <from>
                    <xdr:col>72</xdr:col>
                    <xdr:colOff>28575</xdr:colOff>
                    <xdr:row>14</xdr:row>
                    <xdr:rowOff>66675</xdr:rowOff>
                  </from>
                  <to>
                    <xdr:col>72</xdr:col>
                    <xdr:colOff>314325</xdr:colOff>
                    <xdr:row>14</xdr:row>
                    <xdr:rowOff>304800</xdr:rowOff>
                  </to>
                </anchor>
              </controlPr>
            </control>
          </mc:Choice>
        </mc:AlternateContent>
        <mc:AlternateContent xmlns:mc="http://schemas.openxmlformats.org/markup-compatibility/2006">
          <mc:Choice Requires="x14">
            <control shapeId="45086" r:id="rId33" name="Check Box 30">
              <controlPr defaultSize="0" autoFill="0" autoLine="0" autoPict="0">
                <anchor moveWithCells="1">
                  <from>
                    <xdr:col>72</xdr:col>
                    <xdr:colOff>28575</xdr:colOff>
                    <xdr:row>15</xdr:row>
                    <xdr:rowOff>66675</xdr:rowOff>
                  </from>
                  <to>
                    <xdr:col>72</xdr:col>
                    <xdr:colOff>314325</xdr:colOff>
                    <xdr:row>15</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27</vt:i4>
      </vt:variant>
    </vt:vector>
  </HeadingPairs>
  <TitlesOfParts>
    <vt:vector size="41" baseType="lpstr">
      <vt:lpstr>※必ずはじめにお読みください※</vt:lpstr>
      <vt:lpstr>01 使用承認申請書</vt:lpstr>
      <vt:lpstr>02-1 利用計画書</vt:lpstr>
      <vt:lpstr>02-2 利用計画書 (冬季)</vt:lpstr>
      <vt:lpstr>03 食事申込書</vt:lpstr>
      <vt:lpstr>04 食物アレルギー確認書</vt:lpstr>
      <vt:lpstr>05 利用者名簿</vt:lpstr>
      <vt:lpstr>06-1　人数報告用紙（4.20～11.10用）</vt:lpstr>
      <vt:lpstr>06-2　人数報告用紙（11.11~4.19用）</vt:lpstr>
      <vt:lpstr>07 使用料減免申請書</vt:lpstr>
      <vt:lpstr>08-1 補助的指導者（使用申込書）</vt:lpstr>
      <vt:lpstr>08-2 補助的指導者（駐車カード）</vt:lpstr>
      <vt:lpstr>09 車両動向報告書 </vt:lpstr>
      <vt:lpstr>10 利用日変更（取消）報告書</vt:lpstr>
      <vt:lpstr>※必ずはじめにお読みください※!Print_Area</vt:lpstr>
      <vt:lpstr>'01 使用承認申請書'!Print_Area</vt:lpstr>
      <vt:lpstr>'02-1 利用計画書'!Print_Area</vt:lpstr>
      <vt:lpstr>'02-2 利用計画書 (冬季)'!Print_Area</vt:lpstr>
      <vt:lpstr>'03 食事申込書'!Print_Area</vt:lpstr>
      <vt:lpstr>'04 食物アレルギー確認書'!Print_Area</vt:lpstr>
      <vt:lpstr>'05 利用者名簿'!Print_Area</vt:lpstr>
      <vt:lpstr>'06-1　人数報告用紙（4.20～11.10用）'!Print_Area</vt:lpstr>
      <vt:lpstr>'06-2　人数報告用紙（11.11~4.19用）'!Print_Area</vt:lpstr>
      <vt:lpstr>'07 使用料減免申請書'!Print_Area</vt:lpstr>
      <vt:lpstr>'08-1 補助的指導者（使用申込書）'!Print_Area</vt:lpstr>
      <vt:lpstr>'08-2 補助的指導者（駐車カード）'!Print_Area</vt:lpstr>
      <vt:lpstr>'09 車両動向報告書 '!Print_Area</vt:lpstr>
      <vt:lpstr>'10 利用日変更（取消）報告書'!Print_Area</vt:lpstr>
      <vt:lpstr>一</vt:lpstr>
      <vt:lpstr>引</vt:lpstr>
      <vt:lpstr>携帯食</vt:lpstr>
      <vt:lpstr>'09 車両動向報告書 '!時機</vt:lpstr>
      <vt:lpstr>時機</vt:lpstr>
      <vt:lpstr>小</vt:lpstr>
      <vt:lpstr>食事時機</vt:lpstr>
      <vt:lpstr>食堂</vt:lpstr>
      <vt:lpstr>炊事</vt:lpstr>
      <vt:lpstr>中</vt:lpstr>
      <vt:lpstr>通常食</vt:lpstr>
      <vt:lpstr>'09 車両動向報告書 '!料金区分</vt:lpstr>
      <vt:lpstr>料金区分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00はじめにお読みください</dc:title>
  <dc:creator>公財）さっぽろ青少年女性活動協会;臼井平</dc:creator>
  <cp:lastModifiedBy>user03</cp:lastModifiedBy>
  <cp:lastPrinted>2022-04-15T06:37:12Z</cp:lastPrinted>
  <dcterms:created xsi:type="dcterms:W3CDTF">2011-11-13T05:32:05Z</dcterms:created>
  <dcterms:modified xsi:type="dcterms:W3CDTF">2022-05-19T00:24:28Z</dcterms:modified>
</cp:coreProperties>
</file>